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TEUILLAC (33) - GFA CHATEAU RELAIS DE LA POSTE - SWC 9B\Dossier déposé le 9-12-2024\"/>
    </mc:Choice>
  </mc:AlternateContent>
  <xr:revisionPtr revIDLastSave="0" documentId="13_ncr:1_{3B5B2A73-3E3A-400A-B4B5-DB8ED6EFF666}" xr6:coauthVersionLast="36" xr6:coauthVersionMax="36" xr10:uidLastSave="{00000000-0000-0000-0000-000000000000}"/>
  <bookViews>
    <workbookView xWindow="0" yWindow="0" windowWidth="14370" windowHeight="1207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Feuil1" sheetId="8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DH156" i="2" l="1"/>
  <c r="ED155" i="2"/>
  <c r="EB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D160" i="2"/>
  <c r="AB161" i="2"/>
  <c r="AW161" i="2"/>
  <c r="EC161" i="2"/>
  <c r="ED161" i="2" s="1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C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A164" i="2" l="1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B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D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D194" i="2"/>
  <c r="EA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D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84" i="2" a="1"/>
  <c r="BC84" i="2" s="1"/>
  <c r="BC31" i="2" a="1"/>
  <c r="BC3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32" i="2" a="1"/>
  <c r="BC32" i="2" s="1"/>
  <c r="BC65" i="2" a="1"/>
  <c r="BC65" i="2" s="1"/>
  <c r="BC164" i="2" a="1"/>
  <c r="BC164" i="2" s="1"/>
  <c r="BC114" i="2" a="1"/>
  <c r="BC114" i="2" s="1"/>
  <c r="BC151" i="2" a="1"/>
  <c r="BC151" i="2" s="1"/>
  <c r="BC7" i="2" a="1"/>
  <c r="BC7" i="2" s="1"/>
  <c r="BC34" i="2" a="1"/>
  <c r="BC34" i="2" s="1"/>
  <c r="BC58" i="2" a="1"/>
  <c r="BC58" i="2" s="1"/>
  <c r="BC185" i="2" a="1"/>
  <c r="BC185" i="2" s="1"/>
  <c r="BC143" i="2" a="1"/>
  <c r="BC143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<sst xmlns="http://schemas.openxmlformats.org/spreadsheetml/2006/main" count="1174" uniqueCount="324">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</sst>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7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4.3926046297979076</c:v>
                </c:pt>
                <c:pt idx="2">
                  <c:v>8.3612614966873711</c:v>
                </c:pt>
                <c:pt idx="3">
                  <c:v>15.935083980933408</c:v>
                </c:pt>
                <c:pt idx="4">
                  <c:v>30.405468314778947</c:v>
                </c:pt>
                <c:pt idx="5">
                  <c:v>58.082485530805052</c:v>
                </c:pt>
                <c:pt idx="6">
                  <c:v>72.155748931369416</c:v>
                </c:pt>
                <c:pt idx="7">
                  <c:v>94.133673128860323</c:v>
                </c:pt>
                <c:pt idx="8">
                  <c:v>115.98283085356282</c:v>
                </c:pt>
                <c:pt idx="9">
                  <c:v>137.73104312742694</c:v>
                </c:pt>
                <c:pt idx="10">
                  <c:v>159.39654402501074</c:v>
                </c:pt>
                <c:pt idx="11">
                  <c:v>139.70382844505221</c:v>
                </c:pt>
                <c:pt idx="12">
                  <c:v>161.362507950626</c:v>
                </c:pt>
                <c:pt idx="13">
                  <c:v>182.95230030612535</c:v>
                </c:pt>
                <c:pt idx="14">
                  <c:v>204.48248491014036</c:v>
                </c:pt>
                <c:pt idx="15">
                  <c:v>225.96022281826015</c:v>
                </c:pt>
                <c:pt idx="16">
                  <c:v>211.90768212600287</c:v>
                </c:pt>
                <c:pt idx="17">
                  <c:v>231.02975966933766</c:v>
                </c:pt>
                <c:pt idx="18">
                  <c:v>250.11566977871595</c:v>
                </c:pt>
                <c:pt idx="19">
                  <c:v>269.16856029275453</c:v>
                </c:pt>
                <c:pt idx="20">
                  <c:v>288.19109683703851</c:v>
                </c:pt>
                <c:pt idx="21">
                  <c:v>277.32465175371152</c:v>
                </c:pt>
                <c:pt idx="22">
                  <c:v>293.62085999795471</c:v>
                </c:pt>
                <c:pt idx="23">
                  <c:v>309.89688707897216</c:v>
                </c:pt>
                <c:pt idx="24">
                  <c:v>326.1539420224164</c:v>
                </c:pt>
                <c:pt idx="25">
                  <c:v>342.39310348379212</c:v>
                </c:pt>
                <c:pt idx="26">
                  <c:v>334.27569654819109</c:v>
                </c:pt>
                <c:pt idx="27">
                  <c:v>347.41603793627536</c:v>
                </c:pt>
                <c:pt idx="28">
                  <c:v>360.54547259299108</c:v>
                </c:pt>
                <c:pt idx="29">
                  <c:v>373.66445368853493</c:v>
                </c:pt>
                <c:pt idx="30">
                  <c:v>386.77339997206712</c:v>
                </c:pt>
                <c:pt idx="31">
                  <c:v>380.60570876556693</c:v>
                </c:pt>
                <c:pt idx="32">
                  <c:v>391.78307456466808</c:v>
                </c:pt>
                <c:pt idx="33">
                  <c:v>402.95352523018465</c:v>
                </c:pt>
                <c:pt idx="34">
                  <c:v>414.1172795224561</c:v>
                </c:pt>
                <c:pt idx="35">
                  <c:v>425.27454344239999</c:v>
                </c:pt>
                <c:pt idx="36">
                  <c:v>421.04322924291415</c:v>
                </c:pt>
                <c:pt idx="37">
                  <c:v>430.2740205592209</c:v>
                </c:pt>
                <c:pt idx="38">
                  <c:v>439.50055712660497</c:v>
                </c:pt>
                <c:pt idx="39">
                  <c:v>448.72294089251392</c:v>
                </c:pt>
                <c:pt idx="40">
                  <c:v>457.94126927057533</c:v>
                </c:pt>
                <c:pt idx="41">
                  <c:v>456.02111397099492</c:v>
                </c:pt>
                <c:pt idx="42">
                  <c:v>465.6201790592072</c:v>
                </c:pt>
                <c:pt idx="43">
                  <c:v>475.2150257772908</c:v>
                </c:pt>
                <c:pt idx="44">
                  <c:v>484.80575132371115</c:v>
                </c:pt>
                <c:pt idx="45">
                  <c:v>494.39244873679655</c:v>
                </c:pt>
                <c:pt idx="46">
                  <c:v>4.7119831685935622E-12</c:v>
                </c:pt>
                <c:pt idx="47">
                  <c:v>4.7119831685935622E-12</c:v>
                </c:pt>
                <c:pt idx="48">
                  <c:v>4.7119831685935622E-12</c:v>
                </c:pt>
                <c:pt idx="49">
                  <c:v>4.7119831685935622E-12</c:v>
                </c:pt>
                <c:pt idx="50">
                  <c:v>4.7119831685935622E-12</c:v>
                </c:pt>
                <c:pt idx="51">
                  <c:v>4.7119831685935622E-12</c:v>
                </c:pt>
                <c:pt idx="52">
                  <c:v>4.7119831685935622E-12</c:v>
                </c:pt>
                <c:pt idx="53">
                  <c:v>4.7119831685935622E-12</c:v>
                </c:pt>
                <c:pt idx="54">
                  <c:v>4.7119831685935622E-12</c:v>
                </c:pt>
                <c:pt idx="55">
                  <c:v>4.7119831685935622E-12</c:v>
                </c:pt>
                <c:pt idx="56">
                  <c:v>4.7119831685935622E-12</c:v>
                </c:pt>
                <c:pt idx="57">
                  <c:v>4.7119831685935622E-12</c:v>
                </c:pt>
                <c:pt idx="58">
                  <c:v>4.7119831685935622E-12</c:v>
                </c:pt>
                <c:pt idx="59">
                  <c:v>4.7119831685935622E-12</c:v>
                </c:pt>
                <c:pt idx="60">
                  <c:v>4.7119831685935622E-12</c:v>
                </c:pt>
                <c:pt idx="61">
                  <c:v>4.7119831685935622E-12</c:v>
                </c:pt>
                <c:pt idx="62">
                  <c:v>4.7119831685935622E-12</c:v>
                </c:pt>
                <c:pt idx="63">
                  <c:v>4.7119831685935622E-12</c:v>
                </c:pt>
                <c:pt idx="64">
                  <c:v>4.7119831685935622E-12</c:v>
                </c:pt>
                <c:pt idx="65">
                  <c:v>4.7119831685935622E-12</c:v>
                </c:pt>
                <c:pt idx="66">
                  <c:v>4.7119831685935622E-12</c:v>
                </c:pt>
                <c:pt idx="67">
                  <c:v>4.7119831685935622E-12</c:v>
                </c:pt>
                <c:pt idx="68">
                  <c:v>4.7119831685935622E-12</c:v>
                </c:pt>
                <c:pt idx="69">
                  <c:v>4.7119831685935622E-12</c:v>
                </c:pt>
                <c:pt idx="70">
                  <c:v>4.7119831685935622E-12</c:v>
                </c:pt>
                <c:pt idx="71">
                  <c:v>4.7119831685935622E-12</c:v>
                </c:pt>
                <c:pt idx="72">
                  <c:v>4.7119831685935622E-12</c:v>
                </c:pt>
                <c:pt idx="73">
                  <c:v>4.7119831685935622E-12</c:v>
                </c:pt>
                <c:pt idx="74">
                  <c:v>4.7119831685935622E-12</c:v>
                </c:pt>
                <c:pt idx="75">
                  <c:v>4.7119831685935622E-12</c:v>
                </c:pt>
                <c:pt idx="76">
                  <c:v>4.7119831685935622E-12</c:v>
                </c:pt>
                <c:pt idx="77">
                  <c:v>4.7119831685935622E-12</c:v>
                </c:pt>
                <c:pt idx="78">
                  <c:v>4.7119831685935622E-12</c:v>
                </c:pt>
                <c:pt idx="79">
                  <c:v>4.7119831685935622E-12</c:v>
                </c:pt>
                <c:pt idx="80">
                  <c:v>4.7119831685935622E-12</c:v>
                </c:pt>
                <c:pt idx="81">
                  <c:v>4.7119831685935622E-12</c:v>
                </c:pt>
                <c:pt idx="82">
                  <c:v>4.7119831685935622E-12</c:v>
                </c:pt>
                <c:pt idx="83">
                  <c:v>4.7119831685935622E-12</c:v>
                </c:pt>
                <c:pt idx="84">
                  <c:v>4.7119831685935622E-12</c:v>
                </c:pt>
                <c:pt idx="85">
                  <c:v>4.7119831685935622E-12</c:v>
                </c:pt>
                <c:pt idx="86">
                  <c:v>4.7119831685935622E-12</c:v>
                </c:pt>
                <c:pt idx="87">
                  <c:v>4.7119831685935622E-12</c:v>
                </c:pt>
                <c:pt idx="88">
                  <c:v>4.7119831685935622E-12</c:v>
                </c:pt>
                <c:pt idx="89">
                  <c:v>4.7119831685935622E-12</c:v>
                </c:pt>
                <c:pt idx="90">
                  <c:v>4.7119831685935622E-12</c:v>
                </c:pt>
                <c:pt idx="91">
                  <c:v>4.7119831685935622E-12</c:v>
                </c:pt>
                <c:pt idx="92">
                  <c:v>4.7119831685935622E-12</c:v>
                </c:pt>
                <c:pt idx="93">
                  <c:v>4.7119831685935622E-12</c:v>
                </c:pt>
                <c:pt idx="94">
                  <c:v>4.7119831685935622E-12</c:v>
                </c:pt>
                <c:pt idx="95">
                  <c:v>4.7119831685935622E-12</c:v>
                </c:pt>
                <c:pt idx="96">
                  <c:v>4.7119831685935622E-12</c:v>
                </c:pt>
                <c:pt idx="97">
                  <c:v>4.7119831685935622E-12</c:v>
                </c:pt>
                <c:pt idx="98">
                  <c:v>4.7119831685935622E-12</c:v>
                </c:pt>
                <c:pt idx="99">
                  <c:v>4.7119831685935622E-12</c:v>
                </c:pt>
                <c:pt idx="100">
                  <c:v>4.7119831685935622E-12</c:v>
                </c:pt>
                <c:pt idx="101">
                  <c:v>4.7119831685935622E-12</c:v>
                </c:pt>
                <c:pt idx="102">
                  <c:v>4.7119831685935622E-12</c:v>
                </c:pt>
                <c:pt idx="103">
                  <c:v>4.7119831685935622E-12</c:v>
                </c:pt>
                <c:pt idx="104">
                  <c:v>4.7119831685935622E-12</c:v>
                </c:pt>
                <c:pt idx="105">
                  <c:v>4.7119831685935622E-12</c:v>
                </c:pt>
                <c:pt idx="106">
                  <c:v>4.7119831685935622E-12</c:v>
                </c:pt>
                <c:pt idx="107">
                  <c:v>4.7119831685935622E-12</c:v>
                </c:pt>
                <c:pt idx="108">
                  <c:v>4.7119831685935622E-12</c:v>
                </c:pt>
                <c:pt idx="109">
                  <c:v>4.7119831685935622E-12</c:v>
                </c:pt>
                <c:pt idx="110">
                  <c:v>4.7119831685935622E-12</c:v>
                </c:pt>
                <c:pt idx="111">
                  <c:v>4.7119831685935622E-12</c:v>
                </c:pt>
                <c:pt idx="112">
                  <c:v>4.7119831685935622E-12</c:v>
                </c:pt>
                <c:pt idx="113">
                  <c:v>4.7119831685935622E-12</c:v>
                </c:pt>
                <c:pt idx="114">
                  <c:v>4.7119831685935622E-12</c:v>
                </c:pt>
                <c:pt idx="115">
                  <c:v>4.7119831685935622E-12</c:v>
                </c:pt>
                <c:pt idx="116">
                  <c:v>4.7119831685935622E-12</c:v>
                </c:pt>
                <c:pt idx="117">
                  <c:v>4.7119831685935622E-12</c:v>
                </c:pt>
                <c:pt idx="118">
                  <c:v>4.7119831685935622E-12</c:v>
                </c:pt>
                <c:pt idx="119">
                  <c:v>4.7119831685935622E-12</c:v>
                </c:pt>
                <c:pt idx="120">
                  <c:v>4.7119831685935622E-12</c:v>
                </c:pt>
                <c:pt idx="121">
                  <c:v>4.7119831685935622E-12</c:v>
                </c:pt>
                <c:pt idx="122">
                  <c:v>4.7119831685935622E-12</c:v>
                </c:pt>
                <c:pt idx="123">
                  <c:v>4.7119831685935622E-12</c:v>
                </c:pt>
                <c:pt idx="124">
                  <c:v>4.7119831685935622E-12</c:v>
                </c:pt>
                <c:pt idx="125">
                  <c:v>4.7119831685935622E-12</c:v>
                </c:pt>
                <c:pt idx="126">
                  <c:v>4.7119831685935622E-12</c:v>
                </c:pt>
                <c:pt idx="127">
                  <c:v>4.7119831685935622E-12</c:v>
                </c:pt>
                <c:pt idx="128">
                  <c:v>4.7119831685935622E-12</c:v>
                </c:pt>
                <c:pt idx="129">
                  <c:v>4.7119831685935622E-12</c:v>
                </c:pt>
                <c:pt idx="130">
                  <c:v>4.7119831685935622E-12</c:v>
                </c:pt>
                <c:pt idx="131">
                  <c:v>4.7119831685935622E-12</c:v>
                </c:pt>
                <c:pt idx="132">
                  <c:v>4.7119831685935622E-12</c:v>
                </c:pt>
                <c:pt idx="133">
                  <c:v>4.7119831685935622E-12</c:v>
                </c:pt>
                <c:pt idx="134">
                  <c:v>4.7119831685935622E-12</c:v>
                </c:pt>
                <c:pt idx="135">
                  <c:v>4.7119831685935622E-12</c:v>
                </c:pt>
                <c:pt idx="136">
                  <c:v>4.7119831685935622E-12</c:v>
                </c:pt>
                <c:pt idx="137">
                  <c:v>4.7119831685935622E-12</c:v>
                </c:pt>
                <c:pt idx="138">
                  <c:v>4.7119831685935622E-12</c:v>
                </c:pt>
                <c:pt idx="139">
                  <c:v>4.7119831685935622E-12</c:v>
                </c:pt>
                <c:pt idx="140">
                  <c:v>4.7119831685935622E-12</c:v>
                </c:pt>
                <c:pt idx="141">
                  <c:v>4.7119831685935622E-12</c:v>
                </c:pt>
                <c:pt idx="142">
                  <c:v>4.7119831685935622E-12</c:v>
                </c:pt>
                <c:pt idx="143">
                  <c:v>4.7119831685935622E-12</c:v>
                </c:pt>
                <c:pt idx="144">
                  <c:v>4.7119831685935622E-12</c:v>
                </c:pt>
                <c:pt idx="145">
                  <c:v>4.7119831685935622E-12</c:v>
                </c:pt>
                <c:pt idx="146">
                  <c:v>4.7119831685935622E-12</c:v>
                </c:pt>
                <c:pt idx="147">
                  <c:v>4.7119831685935622E-12</c:v>
                </c:pt>
                <c:pt idx="148">
                  <c:v>4.7119831685935622E-12</c:v>
                </c:pt>
                <c:pt idx="149">
                  <c:v>4.7119831685935622E-12</c:v>
                </c:pt>
                <c:pt idx="150">
                  <c:v>4.7119831685935622E-12</c:v>
                </c:pt>
                <c:pt idx="151">
                  <c:v>4.7119831685935622E-12</c:v>
                </c:pt>
                <c:pt idx="152">
                  <c:v>4.7119831685935622E-12</c:v>
                </c:pt>
                <c:pt idx="153">
                  <c:v>4.7119831685935622E-12</c:v>
                </c:pt>
                <c:pt idx="154">
                  <c:v>4.7119831685935622E-12</c:v>
                </c:pt>
                <c:pt idx="155">
                  <c:v>4.7119831685935622E-12</c:v>
                </c:pt>
                <c:pt idx="156">
                  <c:v>4.7119831685935622E-12</c:v>
                </c:pt>
                <c:pt idx="157">
                  <c:v>4.7119831685935622E-12</c:v>
                </c:pt>
                <c:pt idx="158">
                  <c:v>4.7119831685935622E-12</c:v>
                </c:pt>
                <c:pt idx="159">
                  <c:v>4.7119831685935622E-12</c:v>
                </c:pt>
                <c:pt idx="160">
                  <c:v>4.7119831685935622E-12</c:v>
                </c:pt>
                <c:pt idx="161">
                  <c:v>4.7119831685935622E-12</c:v>
                </c:pt>
                <c:pt idx="162">
                  <c:v>4.7119831685935622E-12</c:v>
                </c:pt>
                <c:pt idx="163">
                  <c:v>4.7119831685935622E-12</c:v>
                </c:pt>
                <c:pt idx="164">
                  <c:v>4.7119831685935622E-12</c:v>
                </c:pt>
                <c:pt idx="165">
                  <c:v>4.7119831685935622E-12</c:v>
                </c:pt>
                <c:pt idx="166">
                  <c:v>4.7119831685935622E-12</c:v>
                </c:pt>
                <c:pt idx="167">
                  <c:v>4.7119831685935622E-12</c:v>
                </c:pt>
                <c:pt idx="168">
                  <c:v>4.7119831685935622E-12</c:v>
                </c:pt>
                <c:pt idx="169">
                  <c:v>4.7119831685935622E-12</c:v>
                </c:pt>
                <c:pt idx="170">
                  <c:v>4.7119831685935622E-12</c:v>
                </c:pt>
                <c:pt idx="171">
                  <c:v>4.7119831685935622E-12</c:v>
                </c:pt>
                <c:pt idx="172">
                  <c:v>4.7119831685935622E-12</c:v>
                </c:pt>
                <c:pt idx="173">
                  <c:v>4.7119831685935622E-12</c:v>
                </c:pt>
                <c:pt idx="174">
                  <c:v>4.7119831685935622E-12</c:v>
                </c:pt>
                <c:pt idx="175">
                  <c:v>4.7119831685935622E-12</c:v>
                </c:pt>
                <c:pt idx="176">
                  <c:v>4.7119831685935622E-12</c:v>
                </c:pt>
                <c:pt idx="177">
                  <c:v>4.7119831685935622E-12</c:v>
                </c:pt>
                <c:pt idx="178">
                  <c:v>4.7119831685935622E-12</c:v>
                </c:pt>
                <c:pt idx="179">
                  <c:v>4.7119831685935622E-12</c:v>
                </c:pt>
                <c:pt idx="180">
                  <c:v>4.7119831685935622E-12</c:v>
                </c:pt>
                <c:pt idx="181">
                  <c:v>4.7119831685935622E-12</c:v>
                </c:pt>
                <c:pt idx="182">
                  <c:v>4.7119831685935622E-12</c:v>
                </c:pt>
                <c:pt idx="183">
                  <c:v>4.7119831685935622E-12</c:v>
                </c:pt>
                <c:pt idx="184">
                  <c:v>4.7119831685935622E-12</c:v>
                </c:pt>
                <c:pt idx="185">
                  <c:v>4.7119831685935622E-12</c:v>
                </c:pt>
                <c:pt idx="186">
                  <c:v>4.7119831685935622E-12</c:v>
                </c:pt>
                <c:pt idx="187">
                  <c:v>4.7119831685935622E-12</c:v>
                </c:pt>
                <c:pt idx="188">
                  <c:v>4.7119831685935622E-12</c:v>
                </c:pt>
                <c:pt idx="189">
                  <c:v>4.7119831685935622E-12</c:v>
                </c:pt>
                <c:pt idx="190">
                  <c:v>4.7119831685935622E-12</c:v>
                </c:pt>
                <c:pt idx="191">
                  <c:v>4.7119831685935622E-12</c:v>
                </c:pt>
                <c:pt idx="192">
                  <c:v>4.7119831685935622E-12</c:v>
                </c:pt>
                <c:pt idx="193">
                  <c:v>4.7119831685935622E-12</c:v>
                </c:pt>
                <c:pt idx="194">
                  <c:v>4.7119831685935622E-12</c:v>
                </c:pt>
                <c:pt idx="195">
                  <c:v>4.7119831685935622E-12</c:v>
                </c:pt>
                <c:pt idx="196">
                  <c:v>4.7119831685935622E-12</c:v>
                </c:pt>
                <c:pt idx="197">
                  <c:v>4.7119831685935622E-12</c:v>
                </c:pt>
                <c:pt idx="198">
                  <c:v>4.7119831685935622E-12</c:v>
                </c:pt>
                <c:pt idx="199">
                  <c:v>4.7119831685935622E-12</c:v>
                </c:pt>
                <c:pt idx="200">
                  <c:v>4.7119831685935622E-12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2.0341675219503847</c:v>
                </c:pt>
                <c:pt idx="2">
                  <c:v>2.8347591435222044</c:v>
                </c:pt>
                <c:pt idx="3">
                  <c:v>3.9518072626471956</c:v>
                </c:pt>
                <c:pt idx="4">
                  <c:v>5.5109084535423527</c:v>
                </c:pt>
                <c:pt idx="5">
                  <c:v>7.6876948308875681</c:v>
                </c:pt>
                <c:pt idx="6">
                  <c:v>10.727836809695605</c:v>
                </c:pt>
                <c:pt idx="7">
                  <c:v>14.975067915558755</c:v>
                </c:pt>
                <c:pt idx="8">
                  <c:v>20.910458215418888</c:v>
                </c:pt>
                <c:pt idx="9">
                  <c:v>29.207464119865651</c:v>
                </c:pt>
                <c:pt idx="10">
                  <c:v>40.809109459480105</c:v>
                </c:pt>
                <c:pt idx="11">
                  <c:v>57.036218921931741</c:v>
                </c:pt>
                <c:pt idx="12">
                  <c:v>79.739229686775857</c:v>
                </c:pt>
                <c:pt idx="13">
                  <c:v>111.51117156942793</c:v>
                </c:pt>
                <c:pt idx="14">
                  <c:v>155.98652243366038</c:v>
                </c:pt>
                <c:pt idx="15">
                  <c:v>218.26064700620523</c:v>
                </c:pt>
                <c:pt idx="16">
                  <c:v>305.47858516141065</c:v>
                </c:pt>
                <c:pt idx="17">
                  <c:v>427.66171846396475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290.76583591551019</c:v>
                </c:pt>
                <c:pt idx="32">
                  <c:v>315.60720104640671</c:v>
                </c:pt>
                <c:pt idx="33">
                  <c:v>340.40524529090209</c:v>
                </c:pt>
                <c:pt idx="34">
                  <c:v>365.16356584619308</c:v>
                </c:pt>
                <c:pt idx="35">
                  <c:v>389.88523246274644</c:v>
                </c:pt>
                <c:pt idx="36">
                  <c:v>345.25783856692897</c:v>
                </c:pt>
                <c:pt idx="37">
                  <c:v>366.94879686196276</c:v>
                </c:pt>
                <c:pt idx="38">
                  <c:v>388.61177214775807</c:v>
                </c:pt>
                <c:pt idx="39">
                  <c:v>410.24854266397227</c:v>
                </c:pt>
                <c:pt idx="40">
                  <c:v>431.86068387305659</c:v>
                </c:pt>
                <c:pt idx="41">
                  <c:v>396.25118655434926</c:v>
                </c:pt>
                <c:pt idx="42">
                  <c:v>421.69323961894673</c:v>
                </c:pt>
                <c:pt idx="43">
                  <c:v>447.10225323882611</c:v>
                </c:pt>
                <c:pt idx="44">
                  <c:v>472.48036714392612</c:v>
                </c:pt>
                <c:pt idx="45">
                  <c:v>497.82947264900895</c:v>
                </c:pt>
                <c:pt idx="46">
                  <c:v>447.61011165255604</c:v>
                </c:pt>
                <c:pt idx="47">
                  <c:v>469.69022691951324</c:v>
                </c:pt>
                <c:pt idx="48">
                  <c:v>491.74823970258626</c:v>
                </c:pt>
                <c:pt idx="49">
                  <c:v>513.78528004261875</c:v>
                </c:pt>
                <c:pt idx="50">
                  <c:v>535.80237321728089</c:v>
                </c:pt>
                <c:pt idx="51">
                  <c:v>500.61617734977273</c:v>
                </c:pt>
                <c:pt idx="52">
                  <c:v>524.92279412001767</c:v>
                </c:pt>
                <c:pt idx="53">
                  <c:v>549.20570960219936</c:v>
                </c:pt>
                <c:pt idx="54">
                  <c:v>573.46611798533206</c:v>
                </c:pt>
                <c:pt idx="55">
                  <c:v>597.70510428718887</c:v>
                </c:pt>
                <c:pt idx="56">
                  <c:v>558.55867937490245</c:v>
                </c:pt>
                <c:pt idx="57">
                  <c:v>580.03291566489872</c:v>
                </c:pt>
                <c:pt idx="58">
                  <c:v>601.49057626451417</c:v>
                </c:pt>
                <c:pt idx="59">
                  <c:v>622.93233512534755</c:v>
                </c:pt>
                <c:pt idx="60">
                  <c:v>644.3588160673238</c:v>
                </c:pt>
                <c:pt idx="61">
                  <c:v>625.95816246291997</c:v>
                </c:pt>
                <c:pt idx="62">
                  <c:v>647.8864587817734</c:v>
                </c:pt>
                <c:pt idx="63">
                  <c:v>669.79945190168894</c:v>
                </c:pt>
                <c:pt idx="64">
                  <c:v>691.69771238133626</c:v>
                </c:pt>
                <c:pt idx="65">
                  <c:v>713.58177174919831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7" t="s">
        <v>291</v>
      </c>
      <c r="C12" s="297"/>
      <c r="D12" s="297"/>
      <c r="E12" s="297"/>
      <c r="F12" s="297"/>
      <c r="G12" s="297"/>
      <c r="H12" s="297"/>
      <c r="I12" s="297"/>
      <c r="J12" s="297"/>
      <c r="K12" s="297"/>
      <c r="L12" s="297"/>
      <c r="M12" s="297"/>
    </row>
    <row r="13" spans="2:13" ht="15" customHeight="1" x14ac:dyDescent="0.25">
      <c r="B13" s="297"/>
      <c r="C13" s="297"/>
      <c r="D13" s="297"/>
      <c r="E13" s="297"/>
      <c r="F13" s="297"/>
      <c r="G13" s="297"/>
      <c r="H13" s="297"/>
      <c r="I13" s="297"/>
      <c r="J13" s="297"/>
      <c r="K13" s="297"/>
      <c r="L13" s="297"/>
      <c r="M13" s="297"/>
    </row>
    <row r="14" spans="2:13" ht="15" customHeight="1" x14ac:dyDescent="0.25">
      <c r="B14" s="297"/>
      <c r="C14" s="297"/>
      <c r="D14" s="297"/>
      <c r="E14" s="297"/>
      <c r="F14" s="297"/>
      <c r="G14" s="297"/>
      <c r="H14" s="297"/>
      <c r="I14" s="297"/>
      <c r="J14" s="297"/>
      <c r="K14" s="297"/>
      <c r="L14" s="297"/>
      <c r="M14" s="297"/>
    </row>
    <row r="15" spans="2:13" ht="18.75" customHeight="1" x14ac:dyDescent="0.25">
      <c r="B15" s="297"/>
      <c r="C15" s="297"/>
      <c r="D15" s="297"/>
      <c r="E15" s="297"/>
      <c r="F15" s="297"/>
      <c r="G15" s="297"/>
      <c r="H15" s="297"/>
      <c r="I15" s="297"/>
      <c r="J15" s="297"/>
      <c r="K15" s="297"/>
      <c r="L15" s="297"/>
      <c r="M15" s="297"/>
    </row>
    <row r="16" spans="2:13" ht="18.75" customHeight="1" x14ac:dyDescent="0.25">
      <c r="B16" s="297"/>
      <c r="C16" s="297"/>
      <c r="D16" s="297"/>
      <c r="E16" s="297"/>
      <c r="F16" s="297"/>
      <c r="G16" s="297"/>
      <c r="H16" s="297"/>
      <c r="I16" s="297"/>
      <c r="J16" s="297"/>
      <c r="K16" s="297"/>
      <c r="L16" s="297"/>
      <c r="M16" s="297"/>
    </row>
    <row r="18" spans="2:13" ht="12" customHeight="1" x14ac:dyDescent="0.25">
      <c r="B18" s="297" t="s">
        <v>292</v>
      </c>
      <c r="C18" s="297"/>
      <c r="D18" s="297"/>
      <c r="E18" s="297"/>
      <c r="F18" s="297"/>
      <c r="G18" s="297"/>
      <c r="H18" s="297"/>
      <c r="I18" s="297"/>
      <c r="J18" s="297"/>
      <c r="K18" s="297"/>
      <c r="L18" s="297"/>
      <c r="M18" s="297"/>
    </row>
    <row r="19" spans="2:13" ht="12" customHeight="1" x14ac:dyDescent="0.25"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</row>
    <row r="20" spans="2:13" ht="12" customHeight="1" x14ac:dyDescent="0.25"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</row>
    <row r="21" spans="2:13" ht="12" customHeight="1" x14ac:dyDescent="0.25">
      <c r="B21" s="297"/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</row>
    <row r="22" spans="2:13" ht="12" customHeight="1" x14ac:dyDescent="0.25">
      <c r="B22" s="297"/>
      <c r="C22" s="297"/>
      <c r="D22" s="297"/>
      <c r="E22" s="297"/>
      <c r="F22" s="297"/>
      <c r="G22" s="297"/>
      <c r="H22" s="297"/>
      <c r="I22" s="297"/>
      <c r="J22" s="297"/>
      <c r="K22" s="297"/>
      <c r="L22" s="297"/>
      <c r="M22" s="297"/>
    </row>
    <row r="23" spans="2:13" ht="12" customHeight="1" x14ac:dyDescent="0.25">
      <c r="B23" s="297"/>
      <c r="C23" s="297"/>
      <c r="D23" s="297"/>
      <c r="E23" s="297"/>
      <c r="F23" s="297"/>
      <c r="G23" s="297"/>
      <c r="H23" s="297"/>
      <c r="I23" s="297"/>
      <c r="J23" s="297"/>
      <c r="K23" s="297"/>
      <c r="L23" s="297"/>
      <c r="M23" s="297"/>
    </row>
    <row r="24" spans="2:13" ht="12" customHeight="1" x14ac:dyDescent="0.25"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297"/>
    </row>
    <row r="25" spans="2:13" ht="12" customHeight="1" x14ac:dyDescent="0.25">
      <c r="B25" s="297"/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</row>
    <row r="26" spans="2:13" ht="12" customHeight="1" x14ac:dyDescent="0.25"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</row>
    <row r="27" spans="2:13" ht="12" customHeight="1" x14ac:dyDescent="0.25">
      <c r="B27" s="297"/>
      <c r="C27" s="297"/>
      <c r="D27" s="297"/>
      <c r="E27" s="297"/>
      <c r="F27" s="297"/>
      <c r="G27" s="297"/>
      <c r="H27" s="297"/>
      <c r="I27" s="297"/>
      <c r="J27" s="297"/>
      <c r="K27" s="297"/>
      <c r="L27" s="297"/>
      <c r="M27" s="297"/>
    </row>
    <row r="28" spans="2:13" ht="12" customHeight="1" x14ac:dyDescent="0.25">
      <c r="B28" s="297"/>
      <c r="C28" s="297"/>
      <c r="D28" s="297"/>
      <c r="E28" s="297"/>
      <c r="F28" s="297"/>
      <c r="G28" s="297"/>
      <c r="H28" s="297"/>
      <c r="I28" s="297"/>
      <c r="J28" s="297"/>
      <c r="K28" s="297"/>
      <c r="L28" s="297"/>
      <c r="M28" s="297"/>
    </row>
    <row r="29" spans="2:13" ht="12" customHeight="1" x14ac:dyDescent="0.25"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  <c r="M29" s="297"/>
    </row>
    <row r="30" spans="2:13" ht="12" customHeight="1" x14ac:dyDescent="0.25">
      <c r="B30" s="297"/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</row>
    <row r="31" spans="2:13" ht="12" customHeight="1" x14ac:dyDescent="0.25"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0" sqref="F1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3" t="s">
        <v>192</v>
      </c>
      <c r="C3" s="304"/>
      <c r="D3" s="304"/>
      <c r="E3" s="304"/>
      <c r="F3" s="305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9" t="s">
        <v>231</v>
      </c>
      <c r="B5" s="309"/>
      <c r="C5" s="26">
        <v>13.4</v>
      </c>
      <c r="D5" s="310" t="s">
        <v>229</v>
      </c>
      <c r="E5" s="311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7" t="s">
        <v>226</v>
      </c>
      <c r="B7" s="307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0.20499999999999999</v>
      </c>
      <c r="D9" s="36">
        <f t="shared" ref="D9:D18" si="0">C9*$C$5</f>
        <v>2.7469999999999999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0.20899999999999999</v>
      </c>
      <c r="D10" s="36">
        <f t="shared" si="0"/>
        <v>2.8005999999999998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138</v>
      </c>
      <c r="C11" s="35">
        <v>8.5999999999999993E-2</v>
      </c>
      <c r="D11" s="36">
        <f t="shared" si="0"/>
        <v>1.1523999999999999</v>
      </c>
      <c r="E11" s="37">
        <v>34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44</v>
      </c>
      <c r="C12" s="35">
        <v>0.16400000000000001</v>
      </c>
      <c r="D12" s="36">
        <f t="shared" si="0"/>
        <v>2.1976</v>
      </c>
      <c r="E12" s="37">
        <v>45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117</v>
      </c>
      <c r="C13" s="35">
        <v>5.1999999999999998E-2</v>
      </c>
      <c r="D13" s="36">
        <f t="shared" si="0"/>
        <v>0.69679999999999997</v>
      </c>
      <c r="E13" s="37">
        <v>17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35</v>
      </c>
      <c r="C14" s="35">
        <v>0.28399999999999997</v>
      </c>
      <c r="D14" s="36">
        <f t="shared" si="0"/>
        <v>3.8055999999999996</v>
      </c>
      <c r="E14" s="37">
        <v>65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13.399999999999999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6" t="s">
        <v>232</v>
      </c>
      <c r="B22" s="306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8" t="s">
        <v>227</v>
      </c>
      <c r="B30" s="308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9" t="s">
        <v>186</v>
      </c>
      <c r="D34" s="299"/>
      <c r="E34" s="300" t="s">
        <v>187</v>
      </c>
      <c r="F34" s="301"/>
      <c r="G34" s="301"/>
      <c r="H34" s="302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>
        <v>1</v>
      </c>
      <c r="H36" s="54"/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>
        <v>1</v>
      </c>
      <c r="H37" s="54"/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0.2</v>
      </c>
      <c r="G38" s="54">
        <v>0.8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9" t="s">
        <v>186</v>
      </c>
      <c r="D60" s="299"/>
      <c r="E60" s="300" t="s">
        <v>187</v>
      </c>
      <c r="F60" s="301"/>
      <c r="G60" s="301"/>
      <c r="H60" s="302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293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taeda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9" t="s">
        <v>186</v>
      </c>
      <c r="D86" s="299"/>
      <c r="E86" s="300" t="s">
        <v>187</v>
      </c>
      <c r="F86" s="301"/>
      <c r="G86" s="301"/>
      <c r="H86" s="302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101</v>
      </c>
      <c r="C88" s="63">
        <v>1</v>
      </c>
      <c r="D88" s="63">
        <v>28</v>
      </c>
      <c r="E88" s="54"/>
      <c r="F88" s="54"/>
      <c r="G88" s="54">
        <v>1</v>
      </c>
      <c r="H88" s="93"/>
      <c r="I88" s="56">
        <f>IFERROR(B88/A88,"")</f>
        <v>7.7692307692307692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3">
        <v>166</v>
      </c>
      <c r="C89" s="63">
        <v>2</v>
      </c>
      <c r="D89" s="63">
        <v>40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18.600000000000001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23</v>
      </c>
      <c r="B90" s="63">
        <v>215</v>
      </c>
      <c r="C90" s="63">
        <v>3</v>
      </c>
      <c r="D90" s="63">
        <v>52</v>
      </c>
      <c r="E90" s="54">
        <v>0.5</v>
      </c>
      <c r="F90" s="54"/>
      <c r="G90" s="54">
        <v>0.5</v>
      </c>
      <c r="H90" s="93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3">
        <v>269</v>
      </c>
      <c r="C91" s="63">
        <v>4</v>
      </c>
      <c r="D91" s="63">
        <v>0</v>
      </c>
      <c r="E91" s="54"/>
      <c r="F91" s="54"/>
      <c r="G91" s="54"/>
      <c r="H91" s="93"/>
      <c r="I91" s="56">
        <f t="shared" si="3"/>
        <v>15.142857142857142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34</v>
      </c>
      <c r="B92" s="63">
        <v>325</v>
      </c>
      <c r="C92" s="63">
        <v>5</v>
      </c>
      <c r="D92" s="63">
        <v>325</v>
      </c>
      <c r="E92" s="54">
        <v>0.7</v>
      </c>
      <c r="F92" s="54"/>
      <c r="G92" s="54">
        <v>0.3</v>
      </c>
      <c r="H92" s="93"/>
      <c r="I92" s="56">
        <f t="shared" si="3"/>
        <v>14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Robinier faux-acacia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9" t="s">
        <v>186</v>
      </c>
      <c r="D112" s="299"/>
      <c r="E112" s="300" t="s">
        <v>187</v>
      </c>
      <c r="F112" s="301"/>
      <c r="G112" s="301"/>
      <c r="H112" s="302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5</v>
      </c>
      <c r="B114" s="63">
        <v>28</v>
      </c>
      <c r="C114" s="53">
        <v>1</v>
      </c>
      <c r="D114" s="63">
        <v>4</v>
      </c>
      <c r="E114" s="54"/>
      <c r="F114" s="54"/>
      <c r="G114" s="54">
        <v>1</v>
      </c>
      <c r="H114" s="54"/>
      <c r="I114" s="56">
        <f>IFERROR(B114/A114,"")</f>
        <v>5.6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10</v>
      </c>
      <c r="B115" s="63">
        <v>79</v>
      </c>
      <c r="C115" s="53">
        <v>2</v>
      </c>
      <c r="D115" s="63">
        <v>21</v>
      </c>
      <c r="E115" s="54">
        <v>0.8</v>
      </c>
      <c r="F115" s="54">
        <v>0.2</v>
      </c>
      <c r="G115" s="54"/>
      <c r="H115" s="54"/>
      <c r="I115" s="56">
        <f t="shared" ref="I115:I133" si="4">IF(A115&lt;&gt;0,(B115-(B114-D114))/(A115-A114),"")</f>
        <v>11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15</v>
      </c>
      <c r="B116" s="63">
        <v>113</v>
      </c>
      <c r="C116" s="53">
        <v>3</v>
      </c>
      <c r="D116" s="63">
        <v>17</v>
      </c>
      <c r="E116" s="54">
        <v>0.8</v>
      </c>
      <c r="F116" s="54">
        <v>0.2</v>
      </c>
      <c r="G116" s="54"/>
      <c r="H116" s="54"/>
      <c r="I116" s="56">
        <f t="shared" si="4"/>
        <v>11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20</v>
      </c>
      <c r="B117" s="63">
        <v>145</v>
      </c>
      <c r="C117" s="53">
        <v>4</v>
      </c>
      <c r="D117" s="63">
        <v>14</v>
      </c>
      <c r="E117" s="54">
        <v>0.8</v>
      </c>
      <c r="F117" s="54">
        <v>0.2</v>
      </c>
      <c r="G117" s="54"/>
      <c r="H117" s="54"/>
      <c r="I117" s="56">
        <f t="shared" si="4"/>
        <v>9.8000000000000007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25</v>
      </c>
      <c r="B118" s="63">
        <v>173</v>
      </c>
      <c r="C118" s="53">
        <v>5</v>
      </c>
      <c r="D118" s="63">
        <v>11</v>
      </c>
      <c r="E118" s="54">
        <v>0.8</v>
      </c>
      <c r="F118" s="54">
        <v>0.2</v>
      </c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3">
        <v>196</v>
      </c>
      <c r="C119" s="53">
        <v>6</v>
      </c>
      <c r="D119" s="63">
        <v>9</v>
      </c>
      <c r="E119" s="54">
        <v>0.8</v>
      </c>
      <c r="F119" s="54">
        <v>0.2</v>
      </c>
      <c r="G119" s="54"/>
      <c r="H119" s="54"/>
      <c r="I119" s="56">
        <f t="shared" si="4"/>
        <v>6.8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35</v>
      </c>
      <c r="B120" s="63">
        <v>216</v>
      </c>
      <c r="C120" s="63">
        <v>7</v>
      </c>
      <c r="D120" s="63">
        <v>7</v>
      </c>
      <c r="E120" s="93"/>
      <c r="F120" s="93"/>
      <c r="G120" s="93"/>
      <c r="H120" s="93"/>
      <c r="I120" s="56">
        <f t="shared" si="4"/>
        <v>5.8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40</v>
      </c>
      <c r="B121" s="63">
        <v>233</v>
      </c>
      <c r="C121" s="63">
        <v>8</v>
      </c>
      <c r="D121" s="63">
        <v>6</v>
      </c>
      <c r="E121" s="93"/>
      <c r="F121" s="93"/>
      <c r="G121" s="93"/>
      <c r="H121" s="93"/>
      <c r="I121" s="56">
        <f t="shared" si="4"/>
        <v>4.8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45</v>
      </c>
      <c r="B122" s="63">
        <v>252</v>
      </c>
      <c r="C122" s="63">
        <v>9</v>
      </c>
      <c r="D122" s="63">
        <v>252</v>
      </c>
      <c r="E122" s="93"/>
      <c r="F122" s="93"/>
      <c r="G122" s="93"/>
      <c r="H122" s="93"/>
      <c r="I122" s="56">
        <f t="shared" si="4"/>
        <v>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Peuplier Soligo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9" t="s">
        <v>186</v>
      </c>
      <c r="D138" s="299"/>
      <c r="E138" s="300" t="s">
        <v>187</v>
      </c>
      <c r="F138" s="301"/>
      <c r="G138" s="301"/>
      <c r="H138" s="302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17</v>
      </c>
      <c r="B140" s="63">
        <v>350</v>
      </c>
      <c r="C140" s="53">
        <v>1</v>
      </c>
      <c r="D140" s="63">
        <v>350</v>
      </c>
      <c r="E140" s="54">
        <v>0.8</v>
      </c>
      <c r="F140" s="54">
        <v>0.2</v>
      </c>
      <c r="G140" s="54"/>
      <c r="H140" s="54"/>
      <c r="I140" s="60">
        <f>IFERROR(B140/A140,"")</f>
        <v>20.588235294117649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Pin laricio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9" t="s">
        <v>186</v>
      </c>
      <c r="D164" s="299"/>
      <c r="E164" s="300" t="s">
        <v>187</v>
      </c>
      <c r="F164" s="301"/>
      <c r="G164" s="301"/>
      <c r="H164" s="302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17</v>
      </c>
      <c r="B166" s="63">
        <v>118</v>
      </c>
      <c r="C166" s="63">
        <v>1</v>
      </c>
      <c r="D166" s="63">
        <v>15</v>
      </c>
      <c r="E166" s="54"/>
      <c r="F166" s="54"/>
      <c r="G166" s="54">
        <v>1</v>
      </c>
      <c r="H166" s="54"/>
      <c r="I166" s="52">
        <f>IFERROR(B166/A166,"")</f>
        <v>6.9411764705882355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20</v>
      </c>
      <c r="B167" s="63">
        <v>137</v>
      </c>
      <c r="C167" s="63">
        <v>2</v>
      </c>
      <c r="D167" s="63">
        <v>15</v>
      </c>
      <c r="E167" s="54">
        <v>0.3</v>
      </c>
      <c r="F167" s="293"/>
      <c r="G167" s="54">
        <v>0.7</v>
      </c>
      <c r="H167" s="54"/>
      <c r="I167" s="52">
        <f t="shared" ref="I167:I185" si="6">IF(A167&lt;&gt;0,(B167-(B166-D166))/(A167-A166),"")</f>
        <v>11.333333333333334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25</v>
      </c>
      <c r="B168" s="63">
        <v>204</v>
      </c>
      <c r="C168" s="63">
        <v>3</v>
      </c>
      <c r="D168" s="63">
        <v>36</v>
      </c>
      <c r="E168" s="54">
        <v>0.4</v>
      </c>
      <c r="F168" s="54">
        <v>0.2</v>
      </c>
      <c r="G168" s="54">
        <v>0.4</v>
      </c>
      <c r="H168" s="54"/>
      <c r="I168" s="52">
        <f t="shared" si="6"/>
        <v>16.399999999999999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30</v>
      </c>
      <c r="B169" s="63">
        <v>256</v>
      </c>
      <c r="C169" s="63">
        <v>4</v>
      </c>
      <c r="D169" s="63">
        <v>54</v>
      </c>
      <c r="E169" s="54">
        <v>0.7</v>
      </c>
      <c r="F169" s="54"/>
      <c r="G169" s="54">
        <v>0.3</v>
      </c>
      <c r="H169" s="54"/>
      <c r="I169" s="52">
        <f t="shared" si="6"/>
        <v>17.600000000000001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35</v>
      </c>
      <c r="B170" s="63">
        <v>299</v>
      </c>
      <c r="C170" s="63">
        <v>5</v>
      </c>
      <c r="D170" s="63">
        <v>52</v>
      </c>
      <c r="E170" s="54"/>
      <c r="F170" s="54"/>
      <c r="G170" s="54"/>
      <c r="H170" s="54"/>
      <c r="I170" s="52">
        <f t="shared" si="6"/>
        <v>19.399999999999999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40</v>
      </c>
      <c r="B171" s="63">
        <v>332</v>
      </c>
      <c r="C171" s="63">
        <v>6</v>
      </c>
      <c r="D171" s="63">
        <v>48</v>
      </c>
      <c r="E171" s="54"/>
      <c r="F171" s="54"/>
      <c r="G171" s="54"/>
      <c r="H171" s="54"/>
      <c r="I171" s="52">
        <f t="shared" si="6"/>
        <v>17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45</v>
      </c>
      <c r="B172" s="63">
        <v>384</v>
      </c>
      <c r="C172" s="63">
        <v>7</v>
      </c>
      <c r="D172" s="63">
        <v>57</v>
      </c>
      <c r="E172" s="54"/>
      <c r="F172" s="54"/>
      <c r="G172" s="54"/>
      <c r="H172" s="54"/>
      <c r="I172" s="52">
        <f t="shared" si="6"/>
        <v>20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50</v>
      </c>
      <c r="B173" s="53">
        <v>414</v>
      </c>
      <c r="C173" s="53">
        <v>8</v>
      </c>
      <c r="D173" s="53">
        <v>47</v>
      </c>
      <c r="E173" s="54"/>
      <c r="F173" s="54"/>
      <c r="G173" s="54"/>
      <c r="H173" s="54"/>
      <c r="I173" s="52">
        <f t="shared" si="6"/>
        <v>17.399999999999999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55</v>
      </c>
      <c r="B174" s="53">
        <v>463</v>
      </c>
      <c r="C174" s="53">
        <v>9</v>
      </c>
      <c r="D174" s="53">
        <v>48</v>
      </c>
      <c r="E174" s="54"/>
      <c r="F174" s="54"/>
      <c r="G174" s="54"/>
      <c r="H174" s="54"/>
      <c r="I174" s="52">
        <f t="shared" si="6"/>
        <v>19.2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60</v>
      </c>
      <c r="B175" s="53">
        <v>500</v>
      </c>
      <c r="C175" s="53">
        <v>10</v>
      </c>
      <c r="D175" s="53">
        <v>32</v>
      </c>
      <c r="E175" s="54"/>
      <c r="F175" s="54"/>
      <c r="G175" s="54"/>
      <c r="H175" s="54"/>
      <c r="I175" s="52">
        <f t="shared" si="6"/>
        <v>17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65</v>
      </c>
      <c r="B176" s="53">
        <v>555</v>
      </c>
      <c r="C176" s="53">
        <v>11</v>
      </c>
      <c r="D176" s="53">
        <v>555</v>
      </c>
      <c r="E176" s="54"/>
      <c r="F176" s="54"/>
      <c r="G176" s="54"/>
      <c r="H176" s="54"/>
      <c r="I176" s="52">
        <f t="shared" si="6"/>
        <v>17.399999999999999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9" t="s">
        <v>186</v>
      </c>
      <c r="D190" s="299"/>
      <c r="E190" s="300" t="s">
        <v>187</v>
      </c>
      <c r="F190" s="301"/>
      <c r="G190" s="301"/>
      <c r="H190" s="302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9" t="s">
        <v>186</v>
      </c>
      <c r="D216" s="299"/>
      <c r="E216" s="300" t="s">
        <v>187</v>
      </c>
      <c r="F216" s="301"/>
      <c r="G216" s="301"/>
      <c r="H216" s="302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9" t="s">
        <v>186</v>
      </c>
      <c r="D242" s="299"/>
      <c r="E242" s="300" t="s">
        <v>187</v>
      </c>
      <c r="F242" s="301"/>
      <c r="G242" s="301"/>
      <c r="H242" s="302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9" t="s">
        <v>186</v>
      </c>
      <c r="D268" s="299"/>
      <c r="E268" s="300" t="s">
        <v>187</v>
      </c>
      <c r="F268" s="301"/>
      <c r="G268" s="301"/>
      <c r="H268" s="302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3" sqref="D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3" t="s">
        <v>191</v>
      </c>
      <c r="C2" s="314"/>
      <c r="D2" s="314"/>
      <c r="E2" s="314"/>
      <c r="F2" s="314"/>
      <c r="G2" s="315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2"/>
      <c r="C4" s="312"/>
      <c r="D4" s="312"/>
      <c r="E4" s="312"/>
      <c r="F4" s="312"/>
      <c r="G4" s="312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9" t="s">
        <v>176</v>
      </c>
      <c r="C1" s="320"/>
      <c r="D1" s="320"/>
      <c r="E1" s="320"/>
      <c r="F1" s="320"/>
      <c r="G1" s="320"/>
      <c r="H1" s="321"/>
      <c r="I1" s="316" t="str">
        <f>IF('Données projet'!$B$9="","",'Données projet'!$B$9)</f>
        <v>Chêne sessile</v>
      </c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8"/>
      <c r="AD1" s="317" t="str">
        <f>IF('Données projet'!$B$10="","",'Données projet'!$B$10)</f>
        <v>Pin maritime</v>
      </c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317"/>
      <c r="AR1" s="317"/>
      <c r="AS1" s="317"/>
      <c r="AT1" s="317"/>
      <c r="AU1" s="317"/>
      <c r="AV1" s="317"/>
      <c r="AW1" s="317"/>
      <c r="AX1" s="318"/>
      <c r="AY1" s="316" t="str">
        <f>IF('Données projet'!$B$11="","",'Données projet'!$B$11)</f>
        <v>Pin taeda</v>
      </c>
      <c r="AZ1" s="317"/>
      <c r="BA1" s="317"/>
      <c r="BB1" s="317"/>
      <c r="BC1" s="317"/>
      <c r="BD1" s="317"/>
      <c r="BE1" s="317"/>
      <c r="BF1" s="317"/>
      <c r="BG1" s="317"/>
      <c r="BH1" s="317"/>
      <c r="BI1" s="317"/>
      <c r="BJ1" s="317"/>
      <c r="BK1" s="317"/>
      <c r="BL1" s="317"/>
      <c r="BM1" s="317"/>
      <c r="BN1" s="317"/>
      <c r="BO1" s="317"/>
      <c r="BP1" s="317"/>
      <c r="BQ1" s="317"/>
      <c r="BR1" s="317"/>
      <c r="BS1" s="318"/>
      <c r="BT1" s="316" t="str">
        <f>IF('Données projet'!$B$12="","",'Données projet'!$B$12)</f>
        <v>Robinier faux-acacia</v>
      </c>
      <c r="BU1" s="317"/>
      <c r="BV1" s="317"/>
      <c r="BW1" s="317"/>
      <c r="BX1" s="317"/>
      <c r="BY1" s="317"/>
      <c r="BZ1" s="317"/>
      <c r="CA1" s="317"/>
      <c r="CB1" s="317"/>
      <c r="CC1" s="317"/>
      <c r="CD1" s="317"/>
      <c r="CE1" s="317"/>
      <c r="CF1" s="317"/>
      <c r="CG1" s="317"/>
      <c r="CH1" s="317"/>
      <c r="CI1" s="317"/>
      <c r="CJ1" s="317"/>
      <c r="CK1" s="317"/>
      <c r="CL1" s="317"/>
      <c r="CM1" s="317"/>
      <c r="CN1" s="318"/>
      <c r="CO1" s="316" t="str">
        <f>IF('Données projet'!$B$13="","",'Données projet'!$B$13)</f>
        <v>Peuplier Soligo</v>
      </c>
      <c r="CP1" s="317"/>
      <c r="CQ1" s="317"/>
      <c r="CR1" s="317"/>
      <c r="CS1" s="317"/>
      <c r="CT1" s="317"/>
      <c r="CU1" s="317"/>
      <c r="CV1" s="317"/>
      <c r="CW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8"/>
      <c r="DJ1" s="316" t="str">
        <f>IF('Données projet'!$B$14="","",'Données projet'!$B$14)</f>
        <v>Pin laricio</v>
      </c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8"/>
      <c r="EE1" s="316" t="str">
        <f>IF('Données projet'!$B$15="","",'Données projet'!$B$15)</f>
        <v/>
      </c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8"/>
      <c r="EZ1" s="316" t="str">
        <f>IF('Données projet'!$B$16="","",'Données projet'!$B$16)</f>
        <v/>
      </c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8"/>
      <c r="FU1" s="316" t="str">
        <f>IF('Données projet'!$B$17="","",'Données projet'!$B$17)</f>
        <v/>
      </c>
      <c r="FV1" s="317"/>
      <c r="FW1" s="317"/>
      <c r="FX1" s="317"/>
      <c r="FY1" s="317"/>
      <c r="FZ1" s="317"/>
      <c r="GA1" s="317"/>
      <c r="GB1" s="317"/>
      <c r="GC1" s="317"/>
      <c r="GD1" s="317"/>
      <c r="GE1" s="317"/>
      <c r="GF1" s="317"/>
      <c r="GG1" s="317"/>
      <c r="GH1" s="317"/>
      <c r="GI1" s="317"/>
      <c r="GJ1" s="317"/>
      <c r="GK1" s="317"/>
      <c r="GL1" s="317"/>
      <c r="GM1" s="317"/>
      <c r="GN1" s="317"/>
      <c r="GO1" s="318"/>
      <c r="GP1" s="316" t="str">
        <f>IF('Données projet'!$B$18="","",'Données projet'!$B$18)</f>
        <v/>
      </c>
      <c r="GQ1" s="317"/>
      <c r="GR1" s="317"/>
      <c r="GS1" s="317"/>
      <c r="GT1" s="317"/>
      <c r="GU1" s="317"/>
      <c r="GV1" s="317"/>
      <c r="GW1" s="317"/>
      <c r="GX1" s="317"/>
      <c r="GY1" s="317"/>
      <c r="GZ1" s="317"/>
      <c r="HA1" s="317"/>
      <c r="HB1" s="317"/>
      <c r="HC1" s="317"/>
      <c r="HD1" s="317"/>
      <c r="HE1" s="317"/>
      <c r="HF1" s="317"/>
      <c r="HG1" s="317"/>
      <c r="HH1" s="317"/>
      <c r="HI1" s="317"/>
      <c r="HJ1" s="318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499.92116338695428</v>
      </c>
      <c r="T3" s="62">
        <f>IF('Données projet'!E9&gt;30,$R$33-$H$33,LOOKUP('Données projet'!$E$9,$A$3:$A$203,R3:R203)-LOOKUP('Données projet'!$E$9,$A$3:$A$203,$H$3:$H$203))</f>
        <v>316.79403154855652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117.33333333333333</v>
      </c>
      <c r="AN3" s="62">
        <f ca="1">AVERAGE(OFFSET($AM$3,0,0,'Données projet'!$E$10+1,1))-AVERAGE(OFFSET($H$3,0,0,'Données projet'!$E$10+1,1))</f>
        <v>225.71928466161592</v>
      </c>
      <c r="AO3" s="62">
        <f>IF('Données projet'!E10&gt;30,$AM$33-$H$33,LOOKUP('Données projet'!$E$10,$A$3:$A$203,AM3:AM203)-LOOKUP('Données projet'!$E$10,$A$3:$A$203,$H$3:$H$203))</f>
        <v>385.98818770742025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117.33333333333333</v>
      </c>
      <c r="BI3" s="62">
        <f ca="1">AVERAGE(OFFSET($BH$3,0,0,'Données projet'!$E$11+1,1))-AVERAGE(OFFSET($H$3,0,0,'Données projet'!$E$11+1,1))</f>
        <v>211.70619219850786</v>
      </c>
      <c r="BJ3" s="62">
        <f>IF('Données projet'!E11&gt;30,$BH$33-$H$33,LOOKUP('Données projet'!$E$11,$A$3:$A$203,BH3:BH203)-LOOKUP('Données projet'!$E$11,$A$3:$A$203,$H$3:$H$203))</f>
        <v>426.883837098247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117.33333333333333</v>
      </c>
      <c r="CD3" s="62">
        <f ca="1">AVERAGE(OFFSET($CC$3,0,0,'Données projet'!$E$12+1,1))-AVERAGE(OFFSET($H$3,0,0,'Données projet'!$E$12+1,1))</f>
        <v>327.07074355218322</v>
      </c>
      <c r="CE3" s="62">
        <f>IF('Données projet'!E12&gt;30,$CC$33-$H$33,LOOKUP('Données projet'!$E$12,$A$3:$A$203,CC3:CC203)-LOOKUP('Données projet'!$E$12,$A$3:$A$203,$H$3:$H$203))</f>
        <v>462.01668587029087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117.33333333333333</v>
      </c>
      <c r="CY3" s="62">
        <f ca="1">AVERAGE(OFFSET($CX$3,0,0,'Données projet'!$E$13+1,1))-AVERAGE(OFFSET($H$3,0,0,'Données projet'!$E$13+1,1))</f>
        <v>93.836028041880496</v>
      </c>
      <c r="CZ3" s="62">
        <f>IF('Données projet'!E13&gt;30,$CX$33-$H$33,LOOKUP('Données projet'!$E$13,$A$3:$A$203,CX3:CX203)-LOOKUP('Données projet'!$E$13,$A$3:$A$203,$H$3:$H$203))</f>
        <v>465.96044964631358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117.33333333333333</v>
      </c>
      <c r="DT3" s="62">
        <f ca="1">AVERAGE(OFFSET($DS$3,0,0,'Données projet'!$E$14+1,1))-AVERAGE(OFFSET($H$3,0,0,'Données projet'!$E$14+1,1))</f>
        <v>386.56102661082468</v>
      </c>
      <c r="DU3" s="62">
        <f>IF('Données projet'!E14&gt;30,$DS$33-$H$33,LOOKUP('Données projet'!$E$14,$A$3:$A$203,DS3:DS203)-LOOKUP('Données projet'!$E$14,$A$3:$A$203,$H$3:$H$203))</f>
        <v>410.28336627719011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123.81366715839503</v>
      </c>
      <c r="S4" s="62">
        <f ca="1">AVERAGE(OFFSET($R$3,0,0,'Données projet'!$E$9+1,1))-AVERAGE(OFFSET($H$3,0,0,'Données projet'!$E$9+1,1))</f>
        <v>499.92116338695428</v>
      </c>
      <c r="T4" s="62">
        <f>$T$3</f>
        <v>316.79403154855652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123.10783169518258</v>
      </c>
      <c r="AN4" s="62">
        <f ca="1">AVERAGE(OFFSET($AM$3,0,0,'Données projet'!$E$10+1,1))-AVERAGE(OFFSET($H$3,0,0,'Données projet'!$E$10+1,1))</f>
        <v>225.71928466161592</v>
      </c>
      <c r="AO4" s="62">
        <f>$AO$3</f>
        <v>385.98818770742025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7.7692307692307692</v>
      </c>
      <c r="BD4" s="13">
        <f>IF('Données projet'!$A$88&gt;35,BD3+BC4-BL3,IF(A4&lt;'Données projet'!$A$88,$BA$205^A4,IF(A4='Données projet'!$A$88,'Données projet'!$B$88,BD3+BC4-BL3)))</f>
        <v>1.4261938757879591</v>
      </c>
      <c r="BE4" s="14">
        <f>BD4*VLOOKUP('Données projet'!$B$11,Paramètres!$A$1:$I$89,3,0)*VLOOKUP('Données projet'!$B$11,Paramètres!$A$1:$I$89,5,0)</f>
        <v>0.85286393772119951</v>
      </c>
      <c r="BF4" s="14">
        <f>EXP(-1.0587+0.8836*LN(BE4)+0.284)</f>
        <v>0.40038464441801103</v>
      </c>
      <c r="BG4" s="22">
        <f t="shared" ref="BG4:BG67" si="7">(BE4+BF4)*0.475*44/12</f>
        <v>2.1827412805591249</v>
      </c>
      <c r="BH4" s="62">
        <f t="shared" ref="BH4:BH67" si="8">BG4+(AY4+AZ4)*44/12</f>
        <v>123.15541866678116</v>
      </c>
      <c r="BI4" s="62">
        <f ca="1">AVERAGE(OFFSET($BH$3,0,0,'Données projet'!$E$11+1,1))-AVERAGE(OFFSET($H$3,0,0,'Données projet'!$E$11+1,1))</f>
        <v>211.70619219850786</v>
      </c>
      <c r="BJ4" s="62">
        <f>$BJ$3</f>
        <v>426.883837098247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</v>
      </c>
      <c r="BY4" s="13">
        <f>IF('Données projet'!$A$114&gt;35,BY3+BX4-CG3,IF(A4&lt;'Données projet'!$A$114,$BV$205^A4,IF(A4='Données projet'!$A$114,'Données projet'!$B$114,BY3+BX4-CG3)))</f>
        <v>1.9472943612303364</v>
      </c>
      <c r="BZ4" s="14">
        <f>BY4*VLOOKUP('Données projet'!$B$12,Paramètres!$A$1:$I$89,3,0)*VLOOKUP('Données projet'!$B$12,Paramètres!$A$1:$I$89,5,0)</f>
        <v>1.7619119380412083</v>
      </c>
      <c r="CA4" s="14">
        <f>EXP(-1.0587+0.8836*LN(BZ4)+0.284)</f>
        <v>0.76015770586189668</v>
      </c>
      <c r="CB4" s="22">
        <f t="shared" ref="CB4:CB67" si="10">(BZ4+CA4)*0.475*44/12</f>
        <v>4.3926046297979076</v>
      </c>
      <c r="CC4" s="62">
        <f t="shared" ref="CC4:CC67" si="11">CB4+(BT4+BU4)*44/12</f>
        <v>125.36528201601993</v>
      </c>
      <c r="CD4" s="62">
        <f ca="1">AVERAGE(OFFSET($CC$3,0,0,'Données projet'!$E$12+1,1))-AVERAGE(OFFSET($H$3,0,0,'Données projet'!$E$12+1,1))</f>
        <v>327.07074355218322</v>
      </c>
      <c r="CE4" s="62">
        <f>$CE$3</f>
        <v>462.01668587029087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20.588235294117649</v>
      </c>
      <c r="CT4" s="13">
        <f>IF('Données projet'!$A$140&gt;35,CT3+CS4-DB3,IF(A4&lt;'Données projet'!$A$140,$CQ$205^A4,IF(A4='Données projet'!$A$140,'Données projet'!$B$140,CT3+CS4-DB3)))</f>
        <v>1.4114030819650796</v>
      </c>
      <c r="CU4" s="18">
        <f>CT4*VLOOKUP('Données projet'!$B$13,Paramètres!$A$1:$I$89,3,0)*VLOOKUP('Données projet'!$B$13,Paramètres!$A$1:$I$89,5,0)</f>
        <v>0.79264397083158866</v>
      </c>
      <c r="CV4" s="14">
        <f>EXP(-1.0587+0.8836*LN(CU4)+0.284)</f>
        <v>0.37529910397246019</v>
      </c>
      <c r="CW4" s="22">
        <f t="shared" ref="CW4:CW67" si="13">(CU4+CV4)*0.475*44/12</f>
        <v>2.0341675219503847</v>
      </c>
      <c r="CX4" s="62">
        <f t="shared" ref="CX4:CX67" si="14">CW4+(CO4+CP4)*44/12</f>
        <v>123.00684490817241</v>
      </c>
      <c r="CY4" s="62">
        <f ca="1">AVERAGE(OFFSET($CX$3,0,0,'Données projet'!$E$13+1,1))-AVERAGE(OFFSET($H$3,0,0,'Données projet'!$E$13+1,1))</f>
        <v>93.836028041880496</v>
      </c>
      <c r="CZ4" s="62">
        <f>$CZ$3</f>
        <v>465.96044964631358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6.9411764705882355</v>
      </c>
      <c r="DO4" s="13">
        <f>IF('Données projet'!$A$166&gt;35,DO3+DN4-DW3,IF(A4&lt;'Données projet'!$A$166,$DL$205^A4,IF(A4='Données projet'!$A$166,'Données projet'!$B$166,DO3+DN4-DW3)))</f>
        <v>1.3239616704988877</v>
      </c>
      <c r="DP4" s="18">
        <f>DO4*VLOOKUP('Données projet'!$B$14,Paramètres!$A$1:$I$89,3,0)*VLOOKUP('Données projet'!$B$14,Paramètres!$A$1:$I$89,5,0)</f>
        <v>0.79172907895833489</v>
      </c>
      <c r="DQ4" s="14">
        <f>EXP(-1.0587+0.8836*LN(DP4)+0.284)</f>
        <v>0.37491631974909195</v>
      </c>
      <c r="DR4" s="22">
        <f t="shared" ref="DR4:DR67" si="16">(DP4+DQ4)*0.475*44/12</f>
        <v>2.031907402748768</v>
      </c>
      <c r="DS4" s="62">
        <f t="shared" ref="DS4:DS67" si="17">DR4+(DJ4+DK4)*44/12</f>
        <v>123.0045847889708</v>
      </c>
      <c r="DT4" s="62">
        <f ca="1">AVERAGE(OFFSET($DS$3,0,0,'Données projet'!$E$14+1,1))-AVERAGE(OFFSET($H$3,0,0,'Données projet'!$E$14+1,1))</f>
        <v>386.56102661082468</v>
      </c>
      <c r="DU4" s="62">
        <f>$DU$3</f>
        <v>410.28336627719011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128.06370355598918</v>
      </c>
      <c r="S5" s="62">
        <f ca="1">AVERAGE(OFFSET($R$3,0,0,'Données projet'!$E$9+1,1))-AVERAGE(OFFSET($H$3,0,0,'Données projet'!$E$9+1,1))</f>
        <v>499.92116338695428</v>
      </c>
      <c r="T5" s="62">
        <f t="shared" ref="T5:T68" si="34">$T$3</f>
        <v>316.79403154855652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127.51018636796731</v>
      </c>
      <c r="AN5" s="62">
        <f ca="1">AVERAGE(OFFSET($AM$3,0,0,'Données projet'!$E$10+1,1))-AVERAGE(OFFSET($H$3,0,0,'Données projet'!$E$10+1,1))</f>
        <v>225.71928466161592</v>
      </c>
      <c r="AO5" s="62">
        <f t="shared" ref="AO5:AO68" si="36">$AO$3</f>
        <v>385.98818770742025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7.7692307692307692</v>
      </c>
      <c r="BD5" s="13">
        <f>IF('Données projet'!$A$88&gt;35,BD4+BC5-BL4,IF(A5&lt;'Données projet'!$A$88,$BA$205^A5,IF(A5='Données projet'!$A$88,'Données projet'!$B$88,BD4+BC5-BL4)))</f>
        <v>2.0340289713350805</v>
      </c>
      <c r="BE5" s="14">
        <f>BD5*VLOOKUP('Données projet'!$B$11,Paramètres!$A$1:$I$89,3,0)*VLOOKUP('Données projet'!$B$11,Paramètres!$A$1:$I$89,5,0)</f>
        <v>1.2163493248583781</v>
      </c>
      <c r="BF5" s="14">
        <f t="shared" ref="BF5:BF68" si="37">EXP(-1.0587+0.8836*LN(BE5)+0.284)</f>
        <v>0.54791046443869817</v>
      </c>
      <c r="BG5" s="22">
        <f t="shared" si="7"/>
        <v>3.072752466359074</v>
      </c>
      <c r="BH5" s="62">
        <f t="shared" si="8"/>
        <v>127.6428422455826</v>
      </c>
      <c r="BI5" s="62">
        <f ca="1">AVERAGE(OFFSET($BH$3,0,0,'Données projet'!$E$11+1,1))-AVERAGE(OFFSET($H$3,0,0,'Données projet'!$E$11+1,1))</f>
        <v>211.70619219850786</v>
      </c>
      <c r="BJ5" s="62">
        <f t="shared" ref="BJ5:BJ68" si="38">$BJ$3</f>
        <v>426.883837098247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</v>
      </c>
      <c r="BY5" s="13">
        <f>IF('Données projet'!$A$114&gt;35,BY4+BX5-CG4,IF(A5&lt;'Données projet'!$A$114,$BV$205^A5,IF(A5='Données projet'!$A$114,'Données projet'!$B$114,BY4+BX5-CG4)))</f>
        <v>3.7919553292794639</v>
      </c>
      <c r="BZ5" s="14">
        <f>BY5*VLOOKUP('Données projet'!$B$12,Paramètres!$A$1:$I$89,3,0)*VLOOKUP('Données projet'!$B$12,Paramètres!$A$1:$I$89,5,0)</f>
        <v>3.4309611819320587</v>
      </c>
      <c r="CA5" s="14">
        <f t="shared" ref="CA5:CA68" si="39">EXP(-1.0587+0.8836*LN(BZ5)+0.284)</f>
        <v>1.3697631223860498</v>
      </c>
      <c r="CB5" s="22">
        <f t="shared" si="10"/>
        <v>8.3612614966873711</v>
      </c>
      <c r="CC5" s="62">
        <f t="shared" si="11"/>
        <v>132.93135127591088</v>
      </c>
      <c r="CD5" s="62">
        <f ca="1">AVERAGE(OFFSET($CC$3,0,0,'Données projet'!$E$12+1,1))-AVERAGE(OFFSET($H$3,0,0,'Données projet'!$E$12+1,1))</f>
        <v>327.07074355218322</v>
      </c>
      <c r="CE5" s="62">
        <f t="shared" ref="CE5:CE68" si="40">$CE$3</f>
        <v>462.01668587029087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20.588235294117649</v>
      </c>
      <c r="CT5" s="13">
        <f>IF('Données projet'!$A$140&gt;35,CT4+CS5-DB4,IF(A5&lt;'Données projet'!$A$140,$CQ$205^A5,IF(A5='Données projet'!$A$140,'Données projet'!$B$140,CT4+CS5-DB4)))</f>
        <v>1.9920586597805252</v>
      </c>
      <c r="CU5" s="18">
        <f>CT5*VLOOKUP('Données projet'!$B$13,Paramètres!$A$1:$I$89,3,0)*VLOOKUP('Données projet'!$B$13,Paramètres!$A$1:$I$89,5,0)</f>
        <v>1.1187401433327431</v>
      </c>
      <c r="CV5" s="14">
        <f t="shared" ref="CV5:CV68" si="41">EXP(-1.0587+0.8836*LN(CU5)+0.284)</f>
        <v>0.50887276203885767</v>
      </c>
      <c r="CW5" s="22">
        <f t="shared" si="13"/>
        <v>2.8347591435222044</v>
      </c>
      <c r="CX5" s="62">
        <f t="shared" si="14"/>
        <v>127.40484892274573</v>
      </c>
      <c r="CY5" s="62">
        <f ca="1">AVERAGE(OFFSET($CX$3,0,0,'Données projet'!$E$13+1,1))-AVERAGE(OFFSET($H$3,0,0,'Données projet'!$E$13+1,1))</f>
        <v>93.836028041880496</v>
      </c>
      <c r="CZ5" s="62">
        <f t="shared" ref="CZ5:CZ68" si="42">$CZ$3</f>
        <v>465.96044964631358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6.9411764705882355</v>
      </c>
      <c r="DO5" s="13">
        <f>IF('Données projet'!$A$166&gt;35,DO4+DN5-DW4,IF(A5&lt;'Données projet'!$A$166,$DL$205^A5,IF(A5='Données projet'!$A$166,'Données projet'!$B$166,DO4+DN5-DW4)))</f>
        <v>1.7528745049502052</v>
      </c>
      <c r="DP5" s="18">
        <f>DO5*VLOOKUP('Données projet'!$B$14,Paramètres!$A$1:$I$89,3,0)*VLOOKUP('Données projet'!$B$14,Paramètres!$A$1:$I$89,5,0)</f>
        <v>1.0482189539602227</v>
      </c>
      <c r="DQ5" s="14">
        <f t="shared" ref="DQ5:DQ68" si="43">EXP(-1.0587+0.8836*LN(DP5)+0.284)</f>
        <v>0.48042263342477459</v>
      </c>
      <c r="DR5" s="22">
        <f t="shared" si="16"/>
        <v>2.6623840980288702</v>
      </c>
      <c r="DS5" s="62">
        <f t="shared" si="17"/>
        <v>127.23247387725239</v>
      </c>
      <c r="DT5" s="62">
        <f ca="1">AVERAGE(OFFSET($DS$3,0,0,'Données projet'!$E$14+1,1))-AVERAGE(OFFSET($H$3,0,0,'Données projet'!$E$14+1,1))</f>
        <v>386.56102661082468</v>
      </c>
      <c r="DU5" s="62">
        <f t="shared" ref="DU5:DU68" si="44">$DU$3</f>
        <v>410.28336627719011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132.42302482389755</v>
      </c>
      <c r="S6" s="62">
        <f ca="1">AVERAGE(OFFSET($R$3,0,0,'Données projet'!$E$9+1,1))-AVERAGE(OFFSET($H$3,0,0,'Données projet'!$E$9+1,1))</f>
        <v>499.92116338695428</v>
      </c>
      <c r="T6" s="62">
        <f t="shared" si="34"/>
        <v>316.79403154855652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132.17609414911485</v>
      </c>
      <c r="AN6" s="62">
        <f ca="1">AVERAGE(OFFSET($AM$3,0,0,'Données projet'!$E$10+1,1))-AVERAGE(OFFSET($H$3,0,0,'Données projet'!$E$10+1,1))</f>
        <v>225.71928466161592</v>
      </c>
      <c r="AO6" s="62">
        <f t="shared" si="36"/>
        <v>385.98818770742025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7.7692307692307692</v>
      </c>
      <c r="BD6" s="13">
        <f>IF('Données projet'!$A$88&gt;35,BD5+BC6-BL5,IF(A6&lt;'Données projet'!$A$88,$BA$205^A6,IF(A6='Données projet'!$A$88,'Données projet'!$B$88,BD5+BC6-BL5)))</f>
        <v>2.9009196620933739</v>
      </c>
      <c r="BE6" s="14">
        <f>BD6*VLOOKUP('Données projet'!$B$11,Paramètres!$A$1:$I$89,3,0)*VLOOKUP('Données projet'!$B$11,Paramètres!$A$1:$I$89,5,0)</f>
        <v>1.7347499579318377</v>
      </c>
      <c r="BF6" s="14">
        <f t="shared" si="37"/>
        <v>0.74979368271678282</v>
      </c>
      <c r="BG6" s="22">
        <f t="shared" si="7"/>
        <v>4.3272468407963478</v>
      </c>
      <c r="BH6" s="62">
        <f t="shared" si="8"/>
        <v>132.45354477368804</v>
      </c>
      <c r="BI6" s="62">
        <f ca="1">AVERAGE(OFFSET($BH$3,0,0,'Données projet'!$E$11+1,1))-AVERAGE(OFFSET($H$3,0,0,'Données projet'!$E$11+1,1))</f>
        <v>211.70619219850786</v>
      </c>
      <c r="BJ6" s="62">
        <f t="shared" si="38"/>
        <v>426.883837098247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</v>
      </c>
      <c r="BY6" s="13">
        <f>IF('Données projet'!$A$114&gt;35,BY5+BX6-CG5,IF(A6&lt;'Données projet'!$A$114,$BV$205^A6,IF(A6='Données projet'!$A$114,'Données projet'!$B$114,BY5+BX6-CG5)))</f>
        <v>7.3840532307432234</v>
      </c>
      <c r="BZ6" s="14">
        <f>BY6*VLOOKUP('Données projet'!$B$12,Paramètres!$A$1:$I$89,3,0)*VLOOKUP('Données projet'!$B$12,Paramètres!$A$1:$I$89,5,0)</f>
        <v>6.6810913631764679</v>
      </c>
      <c r="CA6" s="14">
        <f t="shared" si="39"/>
        <v>2.4682391521919964</v>
      </c>
      <c r="CB6" s="22">
        <f t="shared" si="10"/>
        <v>15.935083980933408</v>
      </c>
      <c r="CC6" s="62">
        <f t="shared" si="11"/>
        <v>144.0613819138251</v>
      </c>
      <c r="CD6" s="62">
        <f ca="1">AVERAGE(OFFSET($CC$3,0,0,'Données projet'!$E$12+1,1))-AVERAGE(OFFSET($H$3,0,0,'Données projet'!$E$12+1,1))</f>
        <v>327.07074355218322</v>
      </c>
      <c r="CE6" s="62">
        <f t="shared" si="40"/>
        <v>462.01668587029087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20.588235294117649</v>
      </c>
      <c r="CT6" s="13">
        <f>IF('Données projet'!$A$140&gt;35,CT5+CS6-DB5,IF(A6&lt;'Données projet'!$A$140,$CQ$205^A6,IF(A6='Données projet'!$A$140,'Données projet'!$B$140,CT5+CS6-DB5)))</f>
        <v>2.8115977318694592</v>
      </c>
      <c r="CU6" s="18">
        <f>CT6*VLOOKUP('Données projet'!$B$13,Paramètres!$A$1:$I$89,3,0)*VLOOKUP('Données projet'!$B$13,Paramètres!$A$1:$I$89,5,0)</f>
        <v>1.5789932862178884</v>
      </c>
      <c r="CV6" s="14">
        <f t="shared" si="41"/>
        <v>0.68998696027810946</v>
      </c>
      <c r="CW6" s="22">
        <f t="shared" si="13"/>
        <v>3.9518072626471956</v>
      </c>
      <c r="CX6" s="62">
        <f t="shared" si="14"/>
        <v>132.07810519553891</v>
      </c>
      <c r="CY6" s="62">
        <f ca="1">AVERAGE(OFFSET($CX$3,0,0,'Données projet'!$E$13+1,1))-AVERAGE(OFFSET($H$3,0,0,'Données projet'!$E$13+1,1))</f>
        <v>93.836028041880496</v>
      </c>
      <c r="CZ6" s="62">
        <f t="shared" si="42"/>
        <v>465.96044964631358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6.9411764705882355</v>
      </c>
      <c r="DO6" s="13">
        <f>IF('Données projet'!$A$166&gt;35,DO5+DN6-DW5,IF(A6&lt;'Données projet'!$A$166,$DL$205^A6,IF(A6='Données projet'!$A$166,'Données projet'!$B$166,DO5+DN6-DW5)))</f>
        <v>2.3207386577487843</v>
      </c>
      <c r="DP6" s="18">
        <f>DO6*VLOOKUP('Données projet'!$B$14,Paramètres!$A$1:$I$89,3,0)*VLOOKUP('Données projet'!$B$14,Paramètres!$A$1:$I$89,5,0)</f>
        <v>1.3878017173337731</v>
      </c>
      <c r="DQ6" s="14">
        <f t="shared" si="43"/>
        <v>0.61561979180116611</v>
      </c>
      <c r="DR6" s="22">
        <f t="shared" si="16"/>
        <v>3.4892924617433518</v>
      </c>
      <c r="DS6" s="62">
        <f t="shared" si="17"/>
        <v>131.61559039463506</v>
      </c>
      <c r="DT6" s="62">
        <f ca="1">AVERAGE(OFFSET($DS$3,0,0,'Données projet'!$E$14+1,1))-AVERAGE(OFFSET($H$3,0,0,'Données projet'!$E$14+1,1))</f>
        <v>386.56102661082468</v>
      </c>
      <c r="DU6" s="62">
        <f t="shared" si="44"/>
        <v>410.28336627719011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136.92717112661157</v>
      </c>
      <c r="S7" s="62">
        <f ca="1">AVERAGE(OFFSET($R$3,0,0,'Données projet'!$E$9+1,1))-AVERAGE(OFFSET($H$3,0,0,'Données projet'!$E$9+1,1))</f>
        <v>499.92116338695428</v>
      </c>
      <c r="T7" s="62">
        <f t="shared" si="34"/>
        <v>316.79403154855652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137.22211595067694</v>
      </c>
      <c r="AN7" s="62">
        <f ca="1">AVERAGE(OFFSET($AM$3,0,0,'Données projet'!$E$10+1,1))-AVERAGE(OFFSET($H$3,0,0,'Données projet'!$E$10+1,1))</f>
        <v>225.71928466161592</v>
      </c>
      <c r="AO7" s="62">
        <f t="shared" si="36"/>
        <v>385.98818770742025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7.7692307692307692</v>
      </c>
      <c r="BD7" s="13">
        <f>IF('Données projet'!$A$88&gt;35,BD6+BC7-BL6,IF(A7&lt;'Données projet'!$A$88,$BA$205^A7,IF(A7='Données projet'!$A$88,'Données projet'!$B$88,BD6+BC7-BL6)))</f>
        <v>4.1372738562304461</v>
      </c>
      <c r="BE7" s="14">
        <f>BD7*VLOOKUP('Données projet'!$B$11,Paramètres!$A$1:$I$89,3,0)*VLOOKUP('Données projet'!$B$11,Paramètres!$A$1:$I$89,5,0)</f>
        <v>2.474089766025807</v>
      </c>
      <c r="BF7" s="14">
        <f t="shared" si="37"/>
        <v>1.0260628389675426</v>
      </c>
      <c r="BG7" s="22">
        <f t="shared" si="7"/>
        <v>6.0960991203634167</v>
      </c>
      <c r="BH7" s="62">
        <f t="shared" si="8"/>
        <v>137.73811576902352</v>
      </c>
      <c r="BI7" s="62">
        <f ca="1">AVERAGE(OFFSET($BH$3,0,0,'Données projet'!$E$11+1,1))-AVERAGE(OFFSET($H$3,0,0,'Données projet'!$E$11+1,1))</f>
        <v>211.70619219850786</v>
      </c>
      <c r="BJ7" s="62">
        <f t="shared" si="38"/>
        <v>426.883837098247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</v>
      </c>
      <c r="BY7" s="13">
        <f>IF('Données projet'!$A$114&gt;35,BY6+BX7-CG6,IF(A7&lt;'Données projet'!$A$114,$BV$205^A7,IF(A7='Données projet'!$A$114,'Données projet'!$B$114,BY6+BX7-CG6)))</f>
        <v>14.378925219250927</v>
      </c>
      <c r="BZ7" s="14">
        <f>BY7*VLOOKUP('Données projet'!$B$12,Paramètres!$A$1:$I$89,3,0)*VLOOKUP('Données projet'!$B$12,Paramètres!$A$1:$I$89,5,0)</f>
        <v>13.010051538378239</v>
      </c>
      <c r="CA7" s="14">
        <f t="shared" si="39"/>
        <v>4.4476336184326453</v>
      </c>
      <c r="CB7" s="22">
        <f t="shared" si="10"/>
        <v>30.405468314778947</v>
      </c>
      <c r="CC7" s="62">
        <f t="shared" si="11"/>
        <v>162.04748496343905</v>
      </c>
      <c r="CD7" s="62">
        <f ca="1">AVERAGE(OFFSET($CC$3,0,0,'Données projet'!$E$12+1,1))-AVERAGE(OFFSET($H$3,0,0,'Données projet'!$E$12+1,1))</f>
        <v>327.07074355218322</v>
      </c>
      <c r="CE7" s="62">
        <f t="shared" si="40"/>
        <v>462.01668587029087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20.588235294117649</v>
      </c>
      <c r="CT7" s="13">
        <f>IF('Données projet'!$A$140&gt;35,CT6+CS7-DB6,IF(A7&lt;'Données projet'!$A$140,$CQ$205^A7,IF(A7='Données projet'!$A$140,'Données projet'!$B$140,CT6+CS7-DB6)))</f>
        <v>3.9682977040065821</v>
      </c>
      <c r="CU7" s="18">
        <f>CT7*VLOOKUP('Données projet'!$B$13,Paramètres!$A$1:$I$89,3,0)*VLOOKUP('Données projet'!$B$13,Paramètres!$A$1:$I$89,5,0)</f>
        <v>2.2285959905700965</v>
      </c>
      <c r="CV7" s="14">
        <f t="shared" si="41"/>
        <v>0.93556197318627854</v>
      </c>
      <c r="CW7" s="22">
        <f t="shared" si="13"/>
        <v>5.5109084535423527</v>
      </c>
      <c r="CX7" s="62">
        <f t="shared" si="14"/>
        <v>137.15292510220246</v>
      </c>
      <c r="CY7" s="62">
        <f ca="1">AVERAGE(OFFSET($CX$3,0,0,'Données projet'!$E$13+1,1))-AVERAGE(OFFSET($H$3,0,0,'Données projet'!$E$13+1,1))</f>
        <v>93.836028041880496</v>
      </c>
      <c r="CZ7" s="62">
        <f t="shared" si="42"/>
        <v>465.96044964631358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6.9411764705882355</v>
      </c>
      <c r="DO7" s="13">
        <f>IF('Données projet'!$A$166&gt;35,DO6+DN7-DW6,IF(A7&lt;'Données projet'!$A$166,$DL$205^A7,IF(A7='Données projet'!$A$166,'Données projet'!$B$166,DO6+DN7-DW6)))</f>
        <v>3.0725690301044271</v>
      </c>
      <c r="DP7" s="18">
        <f>DO7*VLOOKUP('Données projet'!$B$14,Paramètres!$A$1:$I$89,3,0)*VLOOKUP('Données projet'!$B$14,Paramètres!$A$1:$I$89,5,0)</f>
        <v>1.8373962800024475</v>
      </c>
      <c r="DQ7" s="14">
        <f t="shared" si="43"/>
        <v>0.78886318355909346</v>
      </c>
      <c r="DR7" s="22">
        <f t="shared" si="16"/>
        <v>4.5740685657030165</v>
      </c>
      <c r="DS7" s="62">
        <f t="shared" si="17"/>
        <v>136.21608521436312</v>
      </c>
      <c r="DT7" s="62">
        <f ca="1">AVERAGE(OFFSET($DS$3,0,0,'Données projet'!$E$14+1,1))-AVERAGE(OFFSET($H$3,0,0,'Données projet'!$E$14+1,1))</f>
        <v>386.56102661082468</v>
      </c>
      <c r="DU7" s="62">
        <f t="shared" si="44"/>
        <v>410.28336627719011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141.61975616682096</v>
      </c>
      <c r="S8" s="62">
        <f ca="1">AVERAGE(OFFSET($R$3,0,0,'Données projet'!$E$9+1,1))-AVERAGE(OFFSET($H$3,0,0,'Données projet'!$E$9+1,1))</f>
        <v>499.92116338695428</v>
      </c>
      <c r="T8" s="62">
        <f t="shared" si="34"/>
        <v>316.79403154855652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142.8090005330352</v>
      </c>
      <c r="AN8" s="62">
        <f ca="1">AVERAGE(OFFSET($AM$3,0,0,'Données projet'!$E$10+1,1))-AVERAGE(OFFSET($H$3,0,0,'Données projet'!$E$10+1,1))</f>
        <v>225.71928466161592</v>
      </c>
      <c r="AO8" s="62">
        <f t="shared" si="36"/>
        <v>385.98818770742025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7.7692307692307692</v>
      </c>
      <c r="BD8" s="13">
        <f>IF('Données projet'!$A$88&gt;35,BD7+BC8-BL7,IF(A8&lt;'Données projet'!$A$88,$BA$205^A8,IF(A8='Données projet'!$A$88,'Données projet'!$B$88,BD7+BC8-BL7)))</f>
        <v>5.9005546362134957</v>
      </c>
      <c r="BE8" s="14">
        <f>BD8*VLOOKUP('Données projet'!$B$11,Paramètres!$A$1:$I$89,3,0)*VLOOKUP('Données projet'!$B$11,Paramètres!$A$1:$I$89,5,0)</f>
        <v>3.5285316724556708</v>
      </c>
      <c r="BF8" s="14">
        <f t="shared" si="37"/>
        <v>1.404126193348852</v>
      </c>
      <c r="BG8" s="22">
        <f t="shared" si="7"/>
        <v>8.5910457829428761</v>
      </c>
      <c r="BH8" s="62">
        <f t="shared" si="8"/>
        <v>143.70899411069837</v>
      </c>
      <c r="BI8" s="62">
        <f ca="1">AVERAGE(OFFSET($BH$3,0,0,'Données projet'!$E$11+1,1))-AVERAGE(OFFSET($H$3,0,0,'Données projet'!$E$11+1,1))</f>
        <v>211.70619219850786</v>
      </c>
      <c r="BJ8" s="62">
        <f t="shared" si="38"/>
        <v>426.883837098247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>
        <f>VLOOKUP(A8,'Données projet'!$A$113:$I$133,2,0)</f>
        <v>28</v>
      </c>
      <c r="BW8" s="13">
        <f>VLOOKUP(A8,'Données projet'!$A$113:$I$133,9,0)</f>
        <v>5.6</v>
      </c>
      <c r="BX8" s="13">
        <f t="array" ref="BX8">INDEX(BW:BW,MIN(IF(ISNUMBER(BW8:BW204),ROW(BW8:BW204),"")))</f>
        <v>5.6</v>
      </c>
      <c r="BY8" s="13">
        <f>IF('Données projet'!$A$114&gt;35,BY7+BX8-CG7,IF(A8&lt;'Données projet'!$A$114,$BV$205^A8,IF(A8='Données projet'!$A$114,'Données projet'!$B$114,BY7+BX8-CG7)))</f>
        <v>28</v>
      </c>
      <c r="BZ8" s="14">
        <f>BY8*VLOOKUP('Données projet'!$B$12,Paramètres!$A$1:$I$89,3,0)*VLOOKUP('Données projet'!$B$12,Paramètres!$A$1:$I$89,5,0)</f>
        <v>25.334399999999999</v>
      </c>
      <c r="CA8" s="14">
        <f t="shared" si="39"/>
        <v>8.0143955200794572</v>
      </c>
      <c r="CB8" s="22">
        <f t="shared" si="10"/>
        <v>58.082485530805052</v>
      </c>
      <c r="CC8" s="62">
        <f t="shared" si="11"/>
        <v>193.20043385856056</v>
      </c>
      <c r="CD8" s="62">
        <f ca="1">AVERAGE(OFFSET($CC$3,0,0,'Données projet'!$E$12+1,1))-AVERAGE(OFFSET($H$3,0,0,'Données projet'!$E$12+1,1))</f>
        <v>327.07074355218322</v>
      </c>
      <c r="CE8" s="62">
        <f t="shared" si="40"/>
        <v>462.01668587029087</v>
      </c>
      <c r="CF8" s="16">
        <f>IF(ISNA(VLOOKUP(A8,'Données projet'!$A$113:$I$133,3,0)),0,VLOOKUP(A8,'Données projet'!$A$113:$I$133,3,0))</f>
        <v>1</v>
      </c>
      <c r="CG8" s="16">
        <f>IF(ISNA(VLOOKUP(A8,'Données projet'!$A$113:$I$133,4,0)),0,VLOOKUP(A8,'Données projet'!$A$113:$I$133,4,0))</f>
        <v>4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1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3.4148126093398208</v>
      </c>
      <c r="CN8" s="24">
        <f t="shared" si="12"/>
        <v>3.4148126093398208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20.588235294117649</v>
      </c>
      <c r="CT8" s="13">
        <f>IF('Données projet'!$A$140&gt;35,CT7+CS8-DB7,IF(A8&lt;'Données projet'!$A$140,$CQ$205^A8,IF(A8='Données projet'!$A$140,'Données projet'!$B$140,CT7+CS8-DB7)))</f>
        <v>5.6008676095898391</v>
      </c>
      <c r="CU8" s="18">
        <f>CT8*VLOOKUP('Données projet'!$B$13,Paramètres!$A$1:$I$89,3,0)*VLOOKUP('Données projet'!$B$13,Paramètres!$A$1:$I$89,5,0)</f>
        <v>3.1454472495456534</v>
      </c>
      <c r="CV8" s="14">
        <f t="shared" si="41"/>
        <v>1.2685402131649126</v>
      </c>
      <c r="CW8" s="22">
        <f t="shared" si="13"/>
        <v>7.6876948308875681</v>
      </c>
      <c r="CX8" s="62">
        <f t="shared" si="14"/>
        <v>142.80564315864308</v>
      </c>
      <c r="CY8" s="62">
        <f ca="1">AVERAGE(OFFSET($CX$3,0,0,'Données projet'!$E$13+1,1))-AVERAGE(OFFSET($H$3,0,0,'Données projet'!$E$13+1,1))</f>
        <v>93.836028041880496</v>
      </c>
      <c r="CZ8" s="62">
        <f t="shared" si="42"/>
        <v>465.96044964631358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6.9411764705882355</v>
      </c>
      <c r="DO8" s="13">
        <f>IF('Données projet'!$A$166&gt;35,DO7+DN8-DW7,IF(A8&lt;'Données projet'!$A$166,$DL$205^A8,IF(A8='Données projet'!$A$166,'Données projet'!$B$166,DO7+DN8-DW7)))</f>
        <v>4.0679636258202043</v>
      </c>
      <c r="DP8" s="18">
        <f>DO8*VLOOKUP('Données projet'!$B$14,Paramètres!$A$1:$I$89,3,0)*VLOOKUP('Données projet'!$B$14,Paramètres!$A$1:$I$89,5,0)</f>
        <v>2.4326422482404824</v>
      </c>
      <c r="DQ8" s="14">
        <f t="shared" si="43"/>
        <v>1.0108595120931088</v>
      </c>
      <c r="DR8" s="22">
        <f t="shared" si="16"/>
        <v>5.9974322325810041</v>
      </c>
      <c r="DS8" s="62">
        <f t="shared" si="17"/>
        <v>141.11538056033649</v>
      </c>
      <c r="DT8" s="62">
        <f ca="1">AVERAGE(OFFSET($DS$3,0,0,'Données projet'!$E$14+1,1))-AVERAGE(OFFSET($H$3,0,0,'Données projet'!$E$14+1,1))</f>
        <v>386.56102661082468</v>
      </c>
      <c r="DU8" s="62">
        <f t="shared" si="44"/>
        <v>410.28336627719011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146.55435062961644</v>
      </c>
      <c r="S9" s="62">
        <f ca="1">AVERAGE(OFFSET($R$3,0,0,'Données projet'!$E$9+1,1))-AVERAGE(OFFSET($H$3,0,0,'Données projet'!$E$9+1,1))</f>
        <v>499.92116338695428</v>
      </c>
      <c r="T9" s="62">
        <f t="shared" si="34"/>
        <v>316.79403154855652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149.15860702462544</v>
      </c>
      <c r="AN9" s="62">
        <f ca="1">AVERAGE(OFFSET($AM$3,0,0,'Données projet'!$E$10+1,1))-AVERAGE(OFFSET($H$3,0,0,'Données projet'!$E$10+1,1))</f>
        <v>225.71928466161592</v>
      </c>
      <c r="AO9" s="62">
        <f t="shared" si="36"/>
        <v>385.98818770742025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7.7692307692307692</v>
      </c>
      <c r="BD9" s="13">
        <f>IF('Données projet'!$A$88&gt;35,BD8+BC9-BL8,IF(A9&lt;'Données projet'!$A$88,$BA$205^A9,IF(A9='Données projet'!$A$88,'Données projet'!$B$88,BD8+BC9-BL8)))</f>
        <v>8.4153348859199362</v>
      </c>
      <c r="BE9" s="14">
        <f>BD9*VLOOKUP('Données projet'!$B$11,Paramètres!$A$1:$I$89,3,0)*VLOOKUP('Données projet'!$B$11,Paramètres!$A$1:$I$89,5,0)</f>
        <v>5.0323702617801223</v>
      </c>
      <c r="BF9" s="14">
        <f t="shared" si="37"/>
        <v>1.9214908599868947</v>
      </c>
      <c r="BG9" s="22">
        <f t="shared" si="7"/>
        <v>12.111308120410888</v>
      </c>
      <c r="BH9" s="62">
        <f t="shared" si="8"/>
        <v>150.66609130672455</v>
      </c>
      <c r="BI9" s="62">
        <f ca="1">AVERAGE(OFFSET($BH$3,0,0,'Données projet'!$E$11+1,1))-AVERAGE(OFFSET($H$3,0,0,'Données projet'!$E$11+1,1))</f>
        <v>211.70619219850786</v>
      </c>
      <c r="BJ9" s="62">
        <f t="shared" si="38"/>
        <v>426.883837098247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11</v>
      </c>
      <c r="BY9" s="13">
        <f>IF('Données projet'!$A$114&gt;35,BY8+BX9-CG8,IF(A9&lt;'Données projet'!$A$114,$BV$205^A9,IF(A9='Données projet'!$A$114,'Données projet'!$B$114,BY8+BX9-CG8)))</f>
        <v>35</v>
      </c>
      <c r="BZ9" s="14">
        <f>BY9*VLOOKUP('Données projet'!$B$12,Paramètres!$A$1:$I$89,3,0)*VLOOKUP('Données projet'!$B$12,Paramètres!$A$1:$I$89,5,0)</f>
        <v>31.667999999999996</v>
      </c>
      <c r="CA9" s="14">
        <f t="shared" si="39"/>
        <v>9.7611381424130652</v>
      </c>
      <c r="CB9" s="22">
        <f t="shared" si="10"/>
        <v>72.155748931369416</v>
      </c>
      <c r="CC9" s="62">
        <f t="shared" si="11"/>
        <v>210.7105321176831</v>
      </c>
      <c r="CD9" s="62">
        <f ca="1">AVERAGE(OFFSET($CC$3,0,0,'Données projet'!$E$12+1,1))-AVERAGE(OFFSET($H$3,0,0,'Données projet'!$E$12+1,1))</f>
        <v>327.07074355218322</v>
      </c>
      <c r="CE9" s="62">
        <f t="shared" si="40"/>
        <v>462.01668587029087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2.4146371525455161</v>
      </c>
      <c r="CN9" s="24">
        <f t="shared" si="12"/>
        <v>2.4146371525455161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20.588235294117649</v>
      </c>
      <c r="CT9" s="13">
        <f>IF('Données projet'!$A$140&gt;35,CT8+CS9-DB8,IF(A9&lt;'Données projet'!$A$140,$CQ$205^A9,IF(A9='Données projet'!$A$140,'Données projet'!$B$140,CT8+CS9-DB8)))</f>
        <v>7.9050818058534871</v>
      </c>
      <c r="CU9" s="18">
        <f>CT9*VLOOKUP('Données projet'!$B$13,Paramètres!$A$1:$I$89,3,0)*VLOOKUP('Données projet'!$B$13,Paramètres!$A$1:$I$89,5,0)</f>
        <v>4.4394939421673181</v>
      </c>
      <c r="CV9" s="14">
        <f t="shared" si="41"/>
        <v>1.7200295849306366</v>
      </c>
      <c r="CW9" s="22">
        <f t="shared" si="13"/>
        <v>10.727836809695605</v>
      </c>
      <c r="CX9" s="62">
        <f t="shared" si="14"/>
        <v>149.28261999600929</v>
      </c>
      <c r="CY9" s="62">
        <f ca="1">AVERAGE(OFFSET($CX$3,0,0,'Données projet'!$E$13+1,1))-AVERAGE(OFFSET($H$3,0,0,'Données projet'!$E$13+1,1))</f>
        <v>93.836028041880496</v>
      </c>
      <c r="CZ9" s="62">
        <f t="shared" si="42"/>
        <v>465.96044964631358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6.9411764705882355</v>
      </c>
      <c r="DO9" s="13">
        <f>IF('Données projet'!$A$166&gt;35,DO8+DN9-DW8,IF(A9&lt;'Données projet'!$A$166,$DL$205^A9,IF(A9='Données projet'!$A$166,'Données projet'!$B$166,DO8+DN9-DW8)))</f>
        <v>5.38582791756963</v>
      </c>
      <c r="DP9" s="18">
        <f>DO9*VLOOKUP('Données projet'!$B$14,Paramètres!$A$1:$I$89,3,0)*VLOOKUP('Données projet'!$B$14,Paramètres!$A$1:$I$89,5,0)</f>
        <v>3.2207250947066388</v>
      </c>
      <c r="DQ9" s="14">
        <f t="shared" si="43"/>
        <v>1.2953284859599137</v>
      </c>
      <c r="DR9" s="22">
        <f t="shared" si="16"/>
        <v>7.8654599863275783</v>
      </c>
      <c r="DS9" s="62">
        <f t="shared" si="17"/>
        <v>146.42024317264125</v>
      </c>
      <c r="DT9" s="62">
        <f ca="1">AVERAGE(OFFSET($DS$3,0,0,'Données projet'!$E$14+1,1))-AVERAGE(OFFSET($H$3,0,0,'Données projet'!$E$14+1,1))</f>
        <v>386.56102661082468</v>
      </c>
      <c r="DU9" s="62">
        <f t="shared" si="44"/>
        <v>410.28336627719011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151.79680547618636</v>
      </c>
      <c r="S10" s="62">
        <f ca="1">AVERAGE(OFFSET($R$3,0,0,'Données projet'!$E$9+1,1))-AVERAGE(OFFSET($H$3,0,0,'Données projet'!$E$9+1,1))</f>
        <v>499.92116338695428</v>
      </c>
      <c r="T10" s="62">
        <f t="shared" si="34"/>
        <v>316.79403154855652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156.57732666286358</v>
      </c>
      <c r="AN10" s="62">
        <f ca="1">AVERAGE(OFFSET($AM$3,0,0,'Données projet'!$E$10+1,1))-AVERAGE(OFFSET($H$3,0,0,'Données projet'!$E$10+1,1))</f>
        <v>225.71928466161592</v>
      </c>
      <c r="AO10" s="62">
        <f t="shared" si="36"/>
        <v>385.98818770742025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7.7692307692307692</v>
      </c>
      <c r="BD10" s="13">
        <f>IF('Données projet'!$A$88&gt;35,BD9+BC10-BL9,IF(A10&lt;'Données projet'!$A$88,$BA$205^A10,IF(A10='Données projet'!$A$88,'Données projet'!$B$88,BD9+BC10-BL9)))</f>
        <v>12.001899077003776</v>
      </c>
      <c r="BE10" s="14">
        <f>BD10*VLOOKUP('Données projet'!$B$11,Paramètres!$A$1:$I$89,3,0)*VLOOKUP('Données projet'!$B$11,Paramètres!$A$1:$I$89,5,0)</f>
        <v>7.1771356480482584</v>
      </c>
      <c r="BF10" s="14">
        <f t="shared" si="37"/>
        <v>2.6294838330787229</v>
      </c>
      <c r="BG10" s="22">
        <f t="shared" si="7"/>
        <v>17.079862262962827</v>
      </c>
      <c r="BH10" s="62">
        <f t="shared" si="8"/>
        <v>159.03306172972634</v>
      </c>
      <c r="BI10" s="62">
        <f ca="1">AVERAGE(OFFSET($BH$3,0,0,'Données projet'!$E$11+1,1))-AVERAGE(OFFSET($H$3,0,0,'Données projet'!$E$11+1,1))</f>
        <v>211.70619219850786</v>
      </c>
      <c r="BJ10" s="62">
        <f t="shared" si="38"/>
        <v>426.883837098247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11</v>
      </c>
      <c r="BY10" s="13">
        <f>IF('Données projet'!$A$114&gt;35,BY9+BX10-CG9,IF(A10&lt;'Données projet'!$A$114,$BV$205^A10,IF(A10='Données projet'!$A$114,'Données projet'!$B$114,BY9+BX10-CG9)))</f>
        <v>46</v>
      </c>
      <c r="BZ10" s="14">
        <f>BY10*VLOOKUP('Données projet'!$B$12,Paramètres!$A$1:$I$89,3,0)*VLOOKUP('Données projet'!$B$12,Paramètres!$A$1:$I$89,5,0)</f>
        <v>41.620800000000003</v>
      </c>
      <c r="CA10" s="14">
        <f t="shared" si="39"/>
        <v>12.427241987862391</v>
      </c>
      <c r="CB10" s="22">
        <f t="shared" si="10"/>
        <v>94.133673128860323</v>
      </c>
      <c r="CC10" s="62">
        <f t="shared" si="11"/>
        <v>236.08687259562384</v>
      </c>
      <c r="CD10" s="62">
        <f ca="1">AVERAGE(OFFSET($CC$3,0,0,'Données projet'!$E$12+1,1))-AVERAGE(OFFSET($H$3,0,0,'Données projet'!$E$12+1,1))</f>
        <v>327.07074355218322</v>
      </c>
      <c r="CE10" s="62">
        <f t="shared" si="40"/>
        <v>462.01668587029087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1.7074063046699106</v>
      </c>
      <c r="CN10" s="24">
        <f t="shared" si="12"/>
        <v>1.7074063046699106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20.588235294117649</v>
      </c>
      <c r="CT10" s="13">
        <f>IF('Données projet'!$A$140&gt;35,CT9+CS10-DB9,IF(A10&lt;'Données projet'!$A$140,$CQ$205^A10,IF(A10='Données projet'!$A$140,'Données projet'!$B$140,CT9+CS10-DB9)))</f>
        <v>11.157256823967689</v>
      </c>
      <c r="CU10" s="18">
        <f>CT10*VLOOKUP('Données projet'!$B$13,Paramètres!$A$1:$I$89,3,0)*VLOOKUP('Données projet'!$B$13,Paramètres!$A$1:$I$89,5,0)</f>
        <v>6.2659154323402548</v>
      </c>
      <c r="CV10" s="14">
        <f t="shared" si="41"/>
        <v>2.3322096866408502</v>
      </c>
      <c r="CW10" s="22">
        <f t="shared" si="13"/>
        <v>14.975067915558755</v>
      </c>
      <c r="CX10" s="62">
        <f t="shared" si="14"/>
        <v>156.92826738232228</v>
      </c>
      <c r="CY10" s="62">
        <f ca="1">AVERAGE(OFFSET($CX$3,0,0,'Données projet'!$E$13+1,1))-AVERAGE(OFFSET($H$3,0,0,'Données projet'!$E$13+1,1))</f>
        <v>93.836028041880496</v>
      </c>
      <c r="CZ10" s="62">
        <f t="shared" si="42"/>
        <v>465.96044964631358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6.9411764705882355</v>
      </c>
      <c r="DO10" s="13">
        <f>IF('Données projet'!$A$166&gt;35,DO9+DN10-DW9,IF(A10&lt;'Données projet'!$A$166,$DL$205^A10,IF(A10='Données projet'!$A$166,'Données projet'!$B$166,DO9+DN10-DW9)))</f>
        <v>7.130629726765032</v>
      </c>
      <c r="DP10" s="18">
        <f>DO10*VLOOKUP('Données projet'!$B$14,Paramètres!$A$1:$I$89,3,0)*VLOOKUP('Données projet'!$B$14,Paramètres!$A$1:$I$89,5,0)</f>
        <v>4.26411657660549</v>
      </c>
      <c r="DQ10" s="14">
        <f t="shared" si="43"/>
        <v>1.6598507175986843</v>
      </c>
      <c r="DR10" s="22">
        <f t="shared" si="16"/>
        <v>10.317576370738935</v>
      </c>
      <c r="DS10" s="62">
        <f t="shared" si="17"/>
        <v>152.27077583750247</v>
      </c>
      <c r="DT10" s="62">
        <f ca="1">AVERAGE(OFFSET($DS$3,0,0,'Données projet'!$E$14+1,1))-AVERAGE(OFFSET($H$3,0,0,'Données projet'!$E$14+1,1))</f>
        <v>386.56102661082468</v>
      </c>
      <c r="DU10" s="62">
        <f t="shared" si="44"/>
        <v>410.28336627719011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157.42811808779004</v>
      </c>
      <c r="S11" s="62">
        <f ca="1">AVERAGE(OFFSET($R$3,0,0,'Données projet'!$E$9+1,1))-AVERAGE(OFFSET($H$3,0,0,'Données projet'!$E$9+1,1))</f>
        <v>499.92116338695428</v>
      </c>
      <c r="T11" s="62">
        <f t="shared" si="34"/>
        <v>316.79403154855652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165.48850703440951</v>
      </c>
      <c r="AN11" s="62">
        <f ca="1">AVERAGE(OFFSET($AM$3,0,0,'Données projet'!$E$10+1,1))-AVERAGE(OFFSET($H$3,0,0,'Données projet'!$E$10+1,1))</f>
        <v>225.71928466161592</v>
      </c>
      <c r="AO11" s="62">
        <f t="shared" si="36"/>
        <v>385.98818770742025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7.7692307692307692</v>
      </c>
      <c r="BD11" s="13">
        <f>IF('Données projet'!$A$88&gt;35,BD10+BC11-BL10,IF(A11&lt;'Données projet'!$A$88,$BA$205^A11,IF(A11='Données projet'!$A$88,'Données projet'!$B$88,BD10+BC11-BL10)))</f>
        <v>17.117034961447946</v>
      </c>
      <c r="BE11" s="14">
        <f>BD11*VLOOKUP('Données projet'!$B$11,Paramètres!$A$1:$I$89,3,0)*VLOOKUP('Données projet'!$B$11,Paramètres!$A$1:$I$89,5,0)</f>
        <v>10.235986906945872</v>
      </c>
      <c r="BF11" s="14">
        <f t="shared" si="37"/>
        <v>3.5983440631455994</v>
      </c>
      <c r="BG11" s="22">
        <f t="shared" si="7"/>
        <v>24.094793106242644</v>
      </c>
      <c r="BH11" s="62">
        <f t="shared" si="8"/>
        <v>169.40865675178679</v>
      </c>
      <c r="BI11" s="62">
        <f ca="1">AVERAGE(OFFSET($BH$3,0,0,'Données projet'!$E$11+1,1))-AVERAGE(OFFSET($H$3,0,0,'Données projet'!$E$11+1,1))</f>
        <v>211.70619219850786</v>
      </c>
      <c r="BJ11" s="62">
        <f t="shared" si="38"/>
        <v>426.883837098247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11</v>
      </c>
      <c r="BY11" s="13">
        <f>IF('Données projet'!$A$114&gt;35,BY10+BX11-CG10,IF(A11&lt;'Données projet'!$A$114,$BV$205^A11,IF(A11='Données projet'!$A$114,'Données projet'!$B$114,BY10+BX11-CG10)))</f>
        <v>57</v>
      </c>
      <c r="BZ11" s="14">
        <f>BY11*VLOOKUP('Données projet'!$B$12,Paramètres!$A$1:$I$89,3,0)*VLOOKUP('Données projet'!$B$12,Paramètres!$A$1:$I$89,5,0)</f>
        <v>51.573599999999992</v>
      </c>
      <c r="CA11" s="14">
        <f t="shared" si="39"/>
        <v>15.019412930275323</v>
      </c>
      <c r="CB11" s="22">
        <f t="shared" si="10"/>
        <v>115.98283085356282</v>
      </c>
      <c r="CC11" s="62">
        <f t="shared" si="11"/>
        <v>261.29669449910699</v>
      </c>
      <c r="CD11" s="62">
        <f ca="1">AVERAGE(OFFSET($CC$3,0,0,'Données projet'!$E$12+1,1))-AVERAGE(OFFSET($H$3,0,0,'Données projet'!$E$12+1,1))</f>
        <v>327.07074355218322</v>
      </c>
      <c r="CE11" s="62">
        <f t="shared" si="40"/>
        <v>462.01668587029087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1.2073185762727583</v>
      </c>
      <c r="CN11" s="24">
        <f t="shared" si="12"/>
        <v>1.2073185762727583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20.588235294117649</v>
      </c>
      <c r="CT11" s="13">
        <f>IF('Données projet'!$A$140&gt;35,CT10+CS11-DB10,IF(A11&lt;'Données projet'!$A$140,$CQ$205^A11,IF(A11='Données projet'!$A$140,'Données projet'!$B$140,CT10+CS11-DB10)))</f>
        <v>15.74738666762391</v>
      </c>
      <c r="CU11" s="18">
        <f>CT11*VLOOKUP('Données projet'!$B$13,Paramètres!$A$1:$I$89,3,0)*VLOOKUP('Données projet'!$B$13,Paramètres!$A$1:$I$89,5,0)</f>
        <v>8.8437323525375877</v>
      </c>
      <c r="CV11" s="14">
        <f t="shared" si="41"/>
        <v>3.1622723644493349</v>
      </c>
      <c r="CW11" s="22">
        <f t="shared" si="13"/>
        <v>20.910458215418888</v>
      </c>
      <c r="CX11" s="62">
        <f t="shared" si="14"/>
        <v>166.22432186096304</v>
      </c>
      <c r="CY11" s="62">
        <f ca="1">AVERAGE(OFFSET($CX$3,0,0,'Données projet'!$E$13+1,1))-AVERAGE(OFFSET($H$3,0,0,'Données projet'!$E$13+1,1))</f>
        <v>93.836028041880496</v>
      </c>
      <c r="CZ11" s="62">
        <f t="shared" si="42"/>
        <v>465.96044964631358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6.9411764705882355</v>
      </c>
      <c r="DO11" s="13">
        <f>IF('Données projet'!$A$166&gt;35,DO10+DN11-DW10,IF(A11&lt;'Données projet'!$A$166,$DL$205^A11,IF(A11='Données projet'!$A$166,'Données projet'!$B$166,DO10+DN11-DW10)))</f>
        <v>9.4406804447568593</v>
      </c>
      <c r="DP11" s="18">
        <f>DO11*VLOOKUP('Données projet'!$B$14,Paramètres!$A$1:$I$89,3,0)*VLOOKUP('Données projet'!$B$14,Paramètres!$A$1:$I$89,5,0)</f>
        <v>5.6455269059646023</v>
      </c>
      <c r="DQ11" s="14">
        <f t="shared" si="43"/>
        <v>2.1269542317454508</v>
      </c>
      <c r="DR11" s="22">
        <f t="shared" si="16"/>
        <v>13.53707131484501</v>
      </c>
      <c r="DS11" s="62">
        <f t="shared" si="17"/>
        <v>158.85093496038917</v>
      </c>
      <c r="DT11" s="62">
        <f ca="1">AVERAGE(OFFSET($DS$3,0,0,'Données projet'!$E$14+1,1))-AVERAGE(OFFSET($H$3,0,0,'Données projet'!$E$14+1,1))</f>
        <v>386.56102661082468</v>
      </c>
      <c r="DU11" s="62">
        <f t="shared" si="44"/>
        <v>410.28336627719011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163.54796843765274</v>
      </c>
      <c r="S12" s="62">
        <f ca="1">AVERAGE(OFFSET($R$3,0,0,'Données projet'!$E$9+1,1))-AVERAGE(OFFSET($H$3,0,0,'Données projet'!$E$9+1,1))</f>
        <v>499.92116338695428</v>
      </c>
      <c r="T12" s="62">
        <f t="shared" si="34"/>
        <v>316.79403154855652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176.47734877716766</v>
      </c>
      <c r="AN12" s="62">
        <f ca="1">AVERAGE(OFFSET($AM$3,0,0,'Données projet'!$E$10+1,1))-AVERAGE(OFFSET($H$3,0,0,'Données projet'!$E$10+1,1))</f>
        <v>225.71928466161592</v>
      </c>
      <c r="AO12" s="62">
        <f t="shared" si="36"/>
        <v>385.98818770742025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7.7692307692307692</v>
      </c>
      <c r="BD12" s="13">
        <f>IF('Données projet'!$A$88&gt;35,BD11+BC12-BL11,IF(A12&lt;'Données projet'!$A$88,$BA$205^A12,IF(A12='Données projet'!$A$88,'Données projet'!$B$88,BD11+BC12-BL11)))</f>
        <v>24.412210433665443</v>
      </c>
      <c r="BE12" s="14">
        <f>BD12*VLOOKUP('Données projet'!$B$11,Paramètres!$A$1:$I$89,3,0)*VLOOKUP('Données projet'!$B$11,Paramètres!$A$1:$I$89,5,0)</f>
        <v>14.598501839331936</v>
      </c>
      <c r="BF12" s="14">
        <f t="shared" si="37"/>
        <v>4.9241907608973428</v>
      </c>
      <c r="BG12" s="22">
        <f t="shared" si="7"/>
        <v>34.002022945399325</v>
      </c>
      <c r="BH12" s="62">
        <f t="shared" si="8"/>
        <v>182.63945358261782</v>
      </c>
      <c r="BI12" s="62">
        <f ca="1">AVERAGE(OFFSET($BH$3,0,0,'Données projet'!$E$11+1,1))-AVERAGE(OFFSET($H$3,0,0,'Données projet'!$E$11+1,1))</f>
        <v>211.70619219850786</v>
      </c>
      <c r="BJ12" s="62">
        <f t="shared" si="38"/>
        <v>426.883837098247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11</v>
      </c>
      <c r="BY12" s="13">
        <f>IF('Données projet'!$A$114&gt;35,BY11+BX12-CG11,IF(A12&lt;'Données projet'!$A$114,$BV$205^A12,IF(A12='Données projet'!$A$114,'Données projet'!$B$114,BY11+BX12-CG11)))</f>
        <v>68</v>
      </c>
      <c r="BZ12" s="14">
        <f>BY12*VLOOKUP('Données projet'!$B$12,Paramètres!$A$1:$I$89,3,0)*VLOOKUP('Données projet'!$B$12,Paramètres!$A$1:$I$89,5,0)</f>
        <v>61.526399999999995</v>
      </c>
      <c r="CA12" s="14">
        <f t="shared" si="39"/>
        <v>17.553624762159014</v>
      </c>
      <c r="CB12" s="22">
        <f t="shared" si="10"/>
        <v>137.73104312742694</v>
      </c>
      <c r="CC12" s="62">
        <f t="shared" si="11"/>
        <v>286.36847376464544</v>
      </c>
      <c r="CD12" s="62">
        <f ca="1">AVERAGE(OFFSET($CC$3,0,0,'Données projet'!$E$12+1,1))-AVERAGE(OFFSET($H$3,0,0,'Données projet'!$E$12+1,1))</f>
        <v>327.07074355218322</v>
      </c>
      <c r="CE12" s="62">
        <f t="shared" si="40"/>
        <v>462.01668587029087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0.85370315233495542</v>
      </c>
      <c r="CN12" s="24">
        <f t="shared" si="12"/>
        <v>0.85370315233495542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20.588235294117649</v>
      </c>
      <c r="CT12" s="13">
        <f>IF('Données projet'!$A$140&gt;35,CT11+CS12-DB11,IF(A12&lt;'Données projet'!$A$140,$CQ$205^A12,IF(A12='Données projet'!$A$140,'Données projet'!$B$140,CT11+CS12-DB11)))</f>
        <v>22.225910075580192</v>
      </c>
      <c r="CU12" s="18">
        <f>CT12*VLOOKUP('Données projet'!$B$13,Paramètres!$A$1:$I$89,3,0)*VLOOKUP('Données projet'!$B$13,Paramètres!$A$1:$I$89,5,0)</f>
        <v>12.482071098445838</v>
      </c>
      <c r="CV12" s="14">
        <f t="shared" si="41"/>
        <v>4.28776475985023</v>
      </c>
      <c r="CW12" s="22">
        <f t="shared" si="13"/>
        <v>29.207464119865651</v>
      </c>
      <c r="CX12" s="62">
        <f t="shared" si="14"/>
        <v>177.84489475708415</v>
      </c>
      <c r="CY12" s="62">
        <f ca="1">AVERAGE(OFFSET($CX$3,0,0,'Données projet'!$E$13+1,1))-AVERAGE(OFFSET($H$3,0,0,'Données projet'!$E$13+1,1))</f>
        <v>93.836028041880496</v>
      </c>
      <c r="CZ12" s="62">
        <f t="shared" si="42"/>
        <v>465.96044964631358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6.9411764705882355</v>
      </c>
      <c r="DO12" s="13">
        <f>IF('Données projet'!$A$166&gt;35,DO11+DN12-DW11,IF(A12&lt;'Données projet'!$A$166,$DL$205^A12,IF(A12='Données projet'!$A$166,'Données projet'!$B$166,DO11+DN12-DW11)))</f>
        <v>12.499099052286473</v>
      </c>
      <c r="DP12" s="18">
        <f>DO12*VLOOKUP('Données projet'!$B$14,Paramètres!$A$1:$I$89,3,0)*VLOOKUP('Données projet'!$B$14,Paramètres!$A$1:$I$89,5,0)</f>
        <v>7.474461233267311</v>
      </c>
      <c r="DQ12" s="14">
        <f t="shared" si="43"/>
        <v>2.7255067314033421</v>
      </c>
      <c r="DR12" s="22">
        <f t="shared" si="16"/>
        <v>17.764944205134721</v>
      </c>
      <c r="DS12" s="62">
        <f t="shared" si="17"/>
        <v>166.40237484235323</v>
      </c>
      <c r="DT12" s="62">
        <f ca="1">AVERAGE(OFFSET($DS$3,0,0,'Données projet'!$E$14+1,1))-AVERAGE(OFFSET($H$3,0,0,'Données projet'!$E$14+1,1))</f>
        <v>386.56102661082468</v>
      </c>
      <c r="DU12" s="62">
        <f t="shared" si="44"/>
        <v>410.28336627719011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170.27908233238728</v>
      </c>
      <c r="S13" s="62">
        <f ca="1">AVERAGE(OFFSET($R$3,0,0,'Données projet'!$E$9+1,1))-AVERAGE(OFFSET($H$3,0,0,'Données projet'!$E$9+1,1))</f>
        <v>499.92116338695428</v>
      </c>
      <c r="T13" s="62">
        <f t="shared" si="34"/>
        <v>316.79403154855652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190.35308556723737</v>
      </c>
      <c r="AN13" s="62">
        <f ca="1">AVERAGE(OFFSET($AM$3,0,0,'Données projet'!$E$10+1,1))-AVERAGE(OFFSET($H$3,0,0,'Données projet'!$E$10+1,1))</f>
        <v>225.71928466161592</v>
      </c>
      <c r="AO13" s="62">
        <f t="shared" si="36"/>
        <v>385.98818770742025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7.7692307692307692</v>
      </c>
      <c r="BD13" s="13">
        <f>IF('Données projet'!$A$88&gt;35,BD12+BC13-BL12,IF(A13&lt;'Données projet'!$A$88,$BA$205^A13,IF(A13='Données projet'!$A$88,'Données projet'!$B$88,BD12+BC13-BL12)))</f>
        <v>34.816545014940573</v>
      </c>
      <c r="BE13" s="14">
        <f>BD13*VLOOKUP('Données projet'!$B$11,Paramètres!$A$1:$I$89,3,0)*VLOOKUP('Données projet'!$B$11,Paramètres!$A$1:$I$89,5,0)</f>
        <v>20.820293918934464</v>
      </c>
      <c r="BF13" s="14">
        <f t="shared" si="37"/>
        <v>6.7385592439734481</v>
      </c>
      <c r="BG13" s="22">
        <f t="shared" si="7"/>
        <v>47.998335925397946</v>
      </c>
      <c r="BH13" s="62">
        <f t="shared" si="8"/>
        <v>199.92287992044396</v>
      </c>
      <c r="BI13" s="62">
        <f ca="1">AVERAGE(OFFSET($BH$3,0,0,'Données projet'!$E$11+1,1))-AVERAGE(OFFSET($H$3,0,0,'Données projet'!$E$11+1,1))</f>
        <v>211.70619219850786</v>
      </c>
      <c r="BJ13" s="62">
        <f t="shared" si="38"/>
        <v>426.883837098247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79</v>
      </c>
      <c r="BW13" s="13">
        <f>VLOOKUP(A13,'Données projet'!$A$113:$I$133,9,0)</f>
        <v>11</v>
      </c>
      <c r="BX13" s="13">
        <f t="array" ref="BX13">INDEX(BW:BW,MIN(IF(ISNUMBER(BW13:BW209),ROW(BW13:BW209),"")))</f>
        <v>11</v>
      </c>
      <c r="BY13" s="13">
        <f>IF('Données projet'!$A$114&gt;35,BY12+BX13-CG12,IF(A13&lt;'Données projet'!$A$114,$BV$205^A13,IF(A13='Données projet'!$A$114,'Données projet'!$B$114,BY12+BX13-CG12)))</f>
        <v>79</v>
      </c>
      <c r="BZ13" s="14">
        <f>BY13*VLOOKUP('Données projet'!$B$12,Paramètres!$A$1:$I$89,3,0)*VLOOKUP('Données projet'!$B$12,Paramètres!$A$1:$I$89,5,0)</f>
        <v>71.479200000000006</v>
      </c>
      <c r="CA13" s="14">
        <f t="shared" si="39"/>
        <v>20.040346808618612</v>
      </c>
      <c r="CB13" s="22">
        <f t="shared" si="10"/>
        <v>159.39654402501074</v>
      </c>
      <c r="CC13" s="62">
        <f t="shared" si="11"/>
        <v>311.32108802005678</v>
      </c>
      <c r="CD13" s="62">
        <f ca="1">AVERAGE(OFFSET($CC$3,0,0,'Données projet'!$E$12+1,1))-AVERAGE(OFFSET($H$3,0,0,'Données projet'!$E$12+1,1))</f>
        <v>327.07074355218322</v>
      </c>
      <c r="CE13" s="62">
        <f t="shared" si="40"/>
        <v>462.01668587029087</v>
      </c>
      <c r="CF13" s="16">
        <f>IF(ISNA(VLOOKUP(A13,'Données projet'!$A$113:$I$133,3,0)),0,VLOOKUP(A13,'Données projet'!$A$113:$I$133,3,0))</f>
        <v>2</v>
      </c>
      <c r="CG13" s="16">
        <f>IF(ISNA(VLOOKUP(A13,'Données projet'!$A$113:$I$133,4,0)),0,VLOOKUP(A13,'Données projet'!$A$113:$I$133,4,0))</f>
        <v>21</v>
      </c>
      <c r="CH13" s="17">
        <f>IF(ISNA(VLOOKUP(A13,'Données projet'!$A$113:$I$133,5,0)),0%,VLOOKUP(A13,'Données projet'!$A$113:$I$133,5,0)*VLOOKUP('Données projet'!$B$12,Paramètres!$A$1:$I$89,7,0))</f>
        <v>0.24</v>
      </c>
      <c r="CI13" s="17">
        <f>IF(ISNA(VLOOKUP(A13,'Données projet'!$A$113:$I$133,6,0)),0%,VLOOKUP(A13,'Données projet'!$A$113:$I$133,6,0)*VLOOKUP('Données projet'!$B$12,Paramètres!$A$1:$I$89,7,0))</f>
        <v>0.06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5.0411571809831228</v>
      </c>
      <c r="CL13" s="23">
        <f>EXP(-LN(2)/25)*CL12+(1-EXP(-LN(2)/25))/(LN(2)/25)*Calculateur!CG13*Calculateur!CI13*VLOOKUP('Données projet'!$B$12,Paramètres!$A$1:$I$89,3,0)*0.475*44/12</f>
        <v>1.2553270560825289</v>
      </c>
      <c r="CM13" s="23">
        <f>EXP(-LN(2)/2)*CM12+(1-EXP(-LN(2)/2))/(LN(2)/2)*CG13*CJ13*VLOOKUP('Données projet'!$B$12,Paramètres!$A$1:$I$89,3,0)*0.475*44/12</f>
        <v>0.60365928813637926</v>
      </c>
      <c r="CN13" s="24">
        <f t="shared" si="12"/>
        <v>6.9001435252020311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20.588235294117649</v>
      </c>
      <c r="CT13" s="13">
        <f>IF('Données projet'!$A$140&gt;35,CT12+CS13-DB12,IF(A13&lt;'Données projet'!$A$140,$CQ$205^A13,IF(A13='Données projet'!$A$140,'Données projet'!$B$140,CT12+CS13-DB12)))</f>
        <v>31.369717980152597</v>
      </c>
      <c r="CU13" s="18">
        <f>CT13*VLOOKUP('Données projet'!$B$13,Paramètres!$A$1:$I$89,3,0)*VLOOKUP('Données projet'!$B$13,Paramètres!$A$1:$I$89,5,0)</f>
        <v>17.617233617653699</v>
      </c>
      <c r="CV13" s="14">
        <f t="shared" si="41"/>
        <v>5.81383401458368</v>
      </c>
      <c r="CW13" s="22">
        <f t="shared" si="13"/>
        <v>40.809109459480105</v>
      </c>
      <c r="CX13" s="62">
        <f t="shared" si="14"/>
        <v>192.73365345452612</v>
      </c>
      <c r="CY13" s="62">
        <f ca="1">AVERAGE(OFFSET($CX$3,0,0,'Données projet'!$E$13+1,1))-AVERAGE(OFFSET($H$3,0,0,'Données projet'!$E$13+1,1))</f>
        <v>93.836028041880496</v>
      </c>
      <c r="CZ13" s="62">
        <f t="shared" si="42"/>
        <v>465.96044964631358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6.9411764705882355</v>
      </c>
      <c r="DO13" s="13">
        <f>IF('Données projet'!$A$166&gt;35,DO12+DN13-DW12,IF(A13&lt;'Données projet'!$A$166,$DL$205^A13,IF(A13='Données projet'!$A$166,'Données projet'!$B$166,DO12+DN13-DW12)))</f>
        <v>16.548328060996262</v>
      </c>
      <c r="DP13" s="18">
        <f>DO13*VLOOKUP('Données projet'!$B$14,Paramètres!$A$1:$I$89,3,0)*VLOOKUP('Données projet'!$B$14,Paramètres!$A$1:$I$89,5,0)</f>
        <v>9.8959001804757651</v>
      </c>
      <c r="DQ13" s="14">
        <f t="shared" si="43"/>
        <v>3.4924996655094662</v>
      </c>
      <c r="DR13" s="22">
        <f t="shared" si="16"/>
        <v>23.318129731757608</v>
      </c>
      <c r="DS13" s="62">
        <f t="shared" si="17"/>
        <v>175.24267372680362</v>
      </c>
      <c r="DT13" s="62">
        <f ca="1">AVERAGE(OFFSET($DS$3,0,0,'Données projet'!$E$14+1,1))-AVERAGE(OFFSET($H$3,0,0,'Données projet'!$E$14+1,1))</f>
        <v>386.56102661082468</v>
      </c>
      <c r="DU13" s="62">
        <f t="shared" si="44"/>
        <v>410.28336627719011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177.77261565596979</v>
      </c>
      <c r="S14" s="62">
        <f ca="1">AVERAGE(OFFSET($R$3,0,0,'Données projet'!$E$9+1,1))-AVERAGE(OFFSET($H$3,0,0,'Données projet'!$E$9+1,1))</f>
        <v>499.92116338695428</v>
      </c>
      <c r="T14" s="62">
        <f t="shared" si="34"/>
        <v>316.79403154855652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208.23511838898966</v>
      </c>
      <c r="AN14" s="62">
        <f ca="1">AVERAGE(OFFSET($AM$3,0,0,'Données projet'!$E$10+1,1))-AVERAGE(OFFSET($H$3,0,0,'Données projet'!$E$10+1,1))</f>
        <v>225.71928466161592</v>
      </c>
      <c r="AO14" s="62">
        <f t="shared" si="36"/>
        <v>385.98818770742025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7.7692307692307692</v>
      </c>
      <c r="BD14" s="13">
        <f>IF('Données projet'!$A$88&gt;35,BD13+BC14-BL13,IF(A14&lt;'Données projet'!$A$88,$BA$205^A14,IF(A14='Données projet'!$A$88,'Données projet'!$B$88,BD13+BC14-BL13)))</f>
        <v>49.65514327640404</v>
      </c>
      <c r="BE14" s="14">
        <f>BD14*VLOOKUP('Données projet'!$B$11,Paramètres!$A$1:$I$89,3,0)*VLOOKUP('Données projet'!$B$11,Paramètres!$A$1:$I$89,5,0)</f>
        <v>29.693775679289619</v>
      </c>
      <c r="BF14" s="14">
        <f t="shared" si="37"/>
        <v>9.2214503640117265</v>
      </c>
      <c r="BG14" s="22">
        <f t="shared" si="7"/>
        <v>67.777352025416505</v>
      </c>
      <c r="BH14" s="62">
        <f t="shared" si="8"/>
        <v>222.95318813349218</v>
      </c>
      <c r="BI14" s="62">
        <f ca="1">AVERAGE(OFFSET($BH$3,0,0,'Données projet'!$E$11+1,1))-AVERAGE(OFFSET($H$3,0,0,'Données projet'!$E$11+1,1))</f>
        <v>211.70619219850786</v>
      </c>
      <c r="BJ14" s="62">
        <f t="shared" si="38"/>
        <v>426.883837098247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11</v>
      </c>
      <c r="BY14" s="13">
        <f>IF('Données projet'!$A$114&gt;35,BY13+BX14-CG13,IF(A14&lt;'Données projet'!$A$114,$BV$205^A14,IF(A14='Données projet'!$A$114,'Données projet'!$B$114,BY13+BX14-CG13)))</f>
        <v>69</v>
      </c>
      <c r="BZ14" s="14">
        <f>BY14*VLOOKUP('Données projet'!$B$12,Paramètres!$A$1:$I$89,3,0)*VLOOKUP('Données projet'!$B$12,Paramètres!$A$1:$I$89,5,0)</f>
        <v>62.431199999999997</v>
      </c>
      <c r="CA14" s="14">
        <f t="shared" si="39"/>
        <v>17.781524466058684</v>
      </c>
      <c r="CB14" s="22">
        <f t="shared" si="10"/>
        <v>139.70382844505221</v>
      </c>
      <c r="CC14" s="62">
        <f t="shared" si="11"/>
        <v>294.8796645531279</v>
      </c>
      <c r="CD14" s="62">
        <f ca="1">AVERAGE(OFFSET($CC$3,0,0,'Données projet'!$E$12+1,1))-AVERAGE(OFFSET($H$3,0,0,'Données projet'!$E$12+1,1))</f>
        <v>327.07074355218322</v>
      </c>
      <c r="CE14" s="62">
        <f t="shared" si="40"/>
        <v>462.01668587029087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4.9423031634663124</v>
      </c>
      <c r="CL14" s="23">
        <f>EXP(-LN(2)/25)*CL13+(1-EXP(-LN(2)/25))/(LN(2)/25)*Calculateur!CG14*Calculateur!CI14*VLOOKUP('Données projet'!$B$12,Paramètres!$A$1:$I$89,3,0)*0.475*44/12</f>
        <v>1.2210000717191714</v>
      </c>
      <c r="CM14" s="23">
        <f>EXP(-LN(2)/2)*CM13+(1-EXP(-LN(2)/2))/(LN(2)/2)*CG14*CJ14*VLOOKUP('Données projet'!$B$12,Paramètres!$A$1:$I$89,3,0)*0.475*44/12</f>
        <v>0.42685157616747782</v>
      </c>
      <c r="CN14" s="24">
        <f t="shared" si="12"/>
        <v>6.5901548113529618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20.588235294117649</v>
      </c>
      <c r="CT14" s="13">
        <f>IF('Données projet'!$A$140&gt;35,CT13+CS14-DB13,IF(A14&lt;'Données projet'!$A$140,$CQ$205^A14,IF(A14='Données projet'!$A$140,'Données projet'!$B$140,CT13+CS14-DB13)))</f>
        <v>44.275316637562746</v>
      </c>
      <c r="CU14" s="18">
        <f>CT14*VLOOKUP('Données projet'!$B$13,Paramètres!$A$1:$I$89,3,0)*VLOOKUP('Données projet'!$B$13,Paramètres!$A$1:$I$89,5,0)</f>
        <v>24.865017823655236</v>
      </c>
      <c r="CV14" s="14">
        <f t="shared" si="41"/>
        <v>7.8830504568797348</v>
      </c>
      <c r="CW14" s="22">
        <f t="shared" si="13"/>
        <v>57.036218921931741</v>
      </c>
      <c r="CX14" s="62">
        <f t="shared" si="14"/>
        <v>212.21205503000743</v>
      </c>
      <c r="CY14" s="62">
        <f ca="1">AVERAGE(OFFSET($CX$3,0,0,'Données projet'!$E$13+1,1))-AVERAGE(OFFSET($H$3,0,0,'Données projet'!$E$13+1,1))</f>
        <v>93.836028041880496</v>
      </c>
      <c r="CZ14" s="62">
        <f t="shared" si="42"/>
        <v>465.96044964631358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6.9411764705882355</v>
      </c>
      <c r="DO14" s="13">
        <f>IF('Données projet'!$A$166&gt;35,DO13+DN14-DW13,IF(A14&lt;'Données projet'!$A$166,$DL$205^A14,IF(A14='Données projet'!$A$166,'Données projet'!$B$166,DO13+DN14-DW13)))</f>
        <v>21.909352063600231</v>
      </c>
      <c r="DP14" s="18">
        <f>DO14*VLOOKUP('Données projet'!$B$14,Paramètres!$A$1:$I$89,3,0)*VLOOKUP('Données projet'!$B$14,Paramètres!$A$1:$I$89,5,0)</f>
        <v>13.101792534032938</v>
      </c>
      <c r="DQ14" s="14">
        <f t="shared" si="43"/>
        <v>4.4753343563761101</v>
      </c>
      <c r="DR14" s="22">
        <f t="shared" si="16"/>
        <v>30.613496000795752</v>
      </c>
      <c r="DS14" s="62">
        <f t="shared" si="17"/>
        <v>185.78933210887143</v>
      </c>
      <c r="DT14" s="62">
        <f ca="1">AVERAGE(OFFSET($DS$3,0,0,'Données projet'!$E$14+1,1))-AVERAGE(OFFSET($H$3,0,0,'Données projet'!$E$14+1,1))</f>
        <v>386.56102661082468</v>
      </c>
      <c r="DU14" s="62">
        <f t="shared" si="44"/>
        <v>410.28336627719011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186.21479912499538</v>
      </c>
      <c r="S15" s="62">
        <f ca="1">AVERAGE(OFFSET($R$3,0,0,'Données projet'!$E$9+1,1))-AVERAGE(OFFSET($H$3,0,0,'Données projet'!$E$9+1,1))</f>
        <v>499.92116338695428</v>
      </c>
      <c r="T15" s="62">
        <f t="shared" si="34"/>
        <v>316.79403154855652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231.67235611553059</v>
      </c>
      <c r="AN15" s="62">
        <f ca="1">AVERAGE(OFFSET($AM$3,0,0,'Données projet'!$E$10+1,1))-AVERAGE(OFFSET($H$3,0,0,'Données projet'!$E$10+1,1))</f>
        <v>225.71928466161592</v>
      </c>
      <c r="AO15" s="62">
        <f t="shared" si="36"/>
        <v>385.98818770742025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7.7692307692307692</v>
      </c>
      <c r="BD15" s="13">
        <f>IF('Données projet'!$A$88&gt;35,BD14+BC15-BL14,IF(A15&lt;'Données projet'!$A$88,$BA$205^A15,IF(A15='Données projet'!$A$88,'Données projet'!$B$88,BD14+BC15-BL14)))</f>
        <v>70.81786124218111</v>
      </c>
      <c r="BE15" s="14">
        <f>BD15*VLOOKUP('Données projet'!$B$11,Paramètres!$A$1:$I$89,3,0)*VLOOKUP('Données projet'!$B$11,Paramètres!$A$1:$I$89,5,0)</f>
        <v>42.349081022824308</v>
      </c>
      <c r="BF15" s="14">
        <f t="shared" si="37"/>
        <v>12.61918812867636</v>
      </c>
      <c r="BG15" s="22">
        <f t="shared" si="7"/>
        <v>95.736402105530317</v>
      </c>
      <c r="BH15" s="62">
        <f t="shared" si="8"/>
        <v>254.12833050035093</v>
      </c>
      <c r="BI15" s="62">
        <f ca="1">AVERAGE(OFFSET($BH$3,0,0,'Données projet'!$E$11+1,1))-AVERAGE(OFFSET($H$3,0,0,'Données projet'!$E$11+1,1))</f>
        <v>211.70619219850786</v>
      </c>
      <c r="BJ15" s="62">
        <f t="shared" si="38"/>
        <v>426.883837098247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11</v>
      </c>
      <c r="BY15" s="13">
        <f>IF('Données projet'!$A$114&gt;35,BY14+BX15-CG14,IF(A15&lt;'Données projet'!$A$114,$BV$205^A15,IF(A15='Données projet'!$A$114,'Données projet'!$B$114,BY14+BX15-CG14)))</f>
        <v>80</v>
      </c>
      <c r="BZ15" s="14">
        <f>BY15*VLOOKUP('Données projet'!$B$12,Paramètres!$A$1:$I$89,3,0)*VLOOKUP('Données projet'!$B$12,Paramètres!$A$1:$I$89,5,0)</f>
        <v>72.384</v>
      </c>
      <c r="CA15" s="14">
        <f t="shared" si="39"/>
        <v>20.264329923804397</v>
      </c>
      <c r="CB15" s="22">
        <f t="shared" si="10"/>
        <v>161.362507950626</v>
      </c>
      <c r="CC15" s="62">
        <f t="shared" si="11"/>
        <v>319.75443634544661</v>
      </c>
      <c r="CD15" s="62">
        <f ca="1">AVERAGE(OFFSET($CC$3,0,0,'Données projet'!$E$12+1,1))-AVERAGE(OFFSET($H$3,0,0,'Données projet'!$E$12+1,1))</f>
        <v>327.07074355218322</v>
      </c>
      <c r="CE15" s="62">
        <f t="shared" si="40"/>
        <v>462.01668587029087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4.8453876129380102</v>
      </c>
      <c r="CL15" s="23">
        <f>EXP(-LN(2)/25)*CL14+(1-EXP(-LN(2)/25))/(LN(2)/25)*Calculateur!CG15*Calculateur!CI15*VLOOKUP('Données projet'!$B$12,Paramètres!$A$1:$I$89,3,0)*0.475*44/12</f>
        <v>1.1876117605484076</v>
      </c>
      <c r="CM15" s="23">
        <f>EXP(-LN(2)/2)*CM14+(1-EXP(-LN(2)/2))/(LN(2)/2)*CG15*CJ15*VLOOKUP('Données projet'!$B$12,Paramètres!$A$1:$I$89,3,0)*0.475*44/12</f>
        <v>0.30182964406818968</v>
      </c>
      <c r="CN15" s="24">
        <f t="shared" si="12"/>
        <v>6.3348290175546076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20.588235294117649</v>
      </c>
      <c r="CT15" s="13">
        <f>IF('Données projet'!$A$140&gt;35,CT14+CS15-DB14,IF(A15&lt;'Données projet'!$A$140,$CQ$205^A15,IF(A15='Données projet'!$A$140,'Données projet'!$B$140,CT14+CS15-DB14)))</f>
        <v>62.490318357235829</v>
      </c>
      <c r="CU15" s="18">
        <f>CT15*VLOOKUP('Données projet'!$B$13,Paramètres!$A$1:$I$89,3,0)*VLOOKUP('Données projet'!$B$13,Paramètres!$A$1:$I$89,5,0)</f>
        <v>35.094562789423641</v>
      </c>
      <c r="CV15" s="14">
        <f t="shared" si="41"/>
        <v>10.688726982887855</v>
      </c>
      <c r="CW15" s="22">
        <f t="shared" si="13"/>
        <v>79.739229686775857</v>
      </c>
      <c r="CX15" s="62">
        <f t="shared" si="14"/>
        <v>238.13115808159648</v>
      </c>
      <c r="CY15" s="62">
        <f ca="1">AVERAGE(OFFSET($CX$3,0,0,'Données projet'!$E$13+1,1))-AVERAGE(OFFSET($H$3,0,0,'Données projet'!$E$13+1,1))</f>
        <v>93.836028041880496</v>
      </c>
      <c r="CZ15" s="62">
        <f t="shared" si="42"/>
        <v>465.96044964631358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6.9411764705882355</v>
      </c>
      <c r="DO15" s="13">
        <f>IF('Données projet'!$A$166&gt;35,DO14+DN15-DW14,IF(A15&lt;'Données projet'!$A$166,$DL$205^A15,IF(A15='Données projet'!$A$166,'Données projet'!$B$166,DO14+DN15-DW14)))</f>
        <v>29.007142357672414</v>
      </c>
      <c r="DP15" s="18">
        <f>DO15*VLOOKUP('Données projet'!$B$14,Paramètres!$A$1:$I$89,3,0)*VLOOKUP('Données projet'!$B$14,Paramètres!$A$1:$I$89,5,0)</f>
        <v>17.346271129888105</v>
      </c>
      <c r="DQ15" s="14">
        <f t="shared" si="43"/>
        <v>5.7347514730366376</v>
      </c>
      <c r="DR15" s="22">
        <f t="shared" si="16"/>
        <v>40.19944770009392</v>
      </c>
      <c r="DS15" s="62">
        <f t="shared" si="17"/>
        <v>198.59137609491452</v>
      </c>
      <c r="DT15" s="62">
        <f ca="1">AVERAGE(OFFSET($DS$3,0,0,'Données projet'!$E$14+1,1))-AVERAGE(OFFSET($H$3,0,0,'Données projet'!$E$14+1,1))</f>
        <v>386.56102661082468</v>
      </c>
      <c r="DU15" s="62">
        <f t="shared" si="44"/>
        <v>410.28336627719011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195.83513937200854</v>
      </c>
      <c r="S16" s="62">
        <f ca="1">AVERAGE(OFFSET($R$3,0,0,'Données projet'!$E$9+1,1))-AVERAGE(OFFSET($H$3,0,0,'Données projet'!$E$9+1,1))</f>
        <v>499.92116338695428</v>
      </c>
      <c r="T16" s="62">
        <f t="shared" si="34"/>
        <v>316.79403154855652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262.80859620760788</v>
      </c>
      <c r="AN16" s="62">
        <f ca="1">AVERAGE(OFFSET($AM$3,0,0,'Données projet'!$E$10+1,1))-AVERAGE(OFFSET($H$3,0,0,'Données projet'!$E$10+1,1))</f>
        <v>225.71928466161592</v>
      </c>
      <c r="AO16" s="62">
        <f t="shared" si="36"/>
        <v>385.98818770742025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>
        <f>VLOOKUP(A16,'Données projet'!$A$87:$I$107,2,0)</f>
        <v>101</v>
      </c>
      <c r="BB16" s="13">
        <f>VLOOKUP(A16,'Données projet'!$A$87:$I$107,9,0)</f>
        <v>7.7692307692307692</v>
      </c>
      <c r="BC16" s="13">
        <f t="array" ref="BC16">INDEX(BB:BB,MIN(IF(ISNUMBER(BB16:BB212),ROW(BB16:BB212),"")))</f>
        <v>7.7692307692307692</v>
      </c>
      <c r="BD16" s="13">
        <f>IF('Données projet'!$A$88&gt;35,BD15+BC16-BL15,IF(A16&lt;'Données projet'!$A$88,$BA$205^A16,IF(A16='Données projet'!$A$88,'Données projet'!$B$88,BD15+BC16-BL15)))</f>
        <v>101</v>
      </c>
      <c r="BE16" s="14">
        <f>BD16*VLOOKUP('Données projet'!$B$11,Paramètres!$A$1:$I$89,3,0)*VLOOKUP('Données projet'!$B$11,Paramètres!$A$1:$I$89,5,0)</f>
        <v>60.398000000000003</v>
      </c>
      <c r="BF16" s="14">
        <f t="shared" si="37"/>
        <v>17.26885714728807</v>
      </c>
      <c r="BG16" s="22">
        <f t="shared" si="7"/>
        <v>135.26977619819337</v>
      </c>
      <c r="BH16" s="62">
        <f t="shared" si="8"/>
        <v>296.84320769176509</v>
      </c>
      <c r="BI16" s="62">
        <f ca="1">AVERAGE(OFFSET($BH$3,0,0,'Données projet'!$E$11+1,1))-AVERAGE(OFFSET($H$3,0,0,'Données projet'!$E$11+1,1))</f>
        <v>211.70619219850786</v>
      </c>
      <c r="BJ16" s="62">
        <f t="shared" si="38"/>
        <v>426.883837098247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28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18.958097589783147</v>
      </c>
      <c r="BS16" s="24">
        <f t="shared" si="9"/>
        <v>18.958097589783147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11</v>
      </c>
      <c r="BY16" s="13">
        <f>IF('Données projet'!$A$114&gt;35,BY15+BX16-CG15,IF(A16&lt;'Données projet'!$A$114,$BV$205^A16,IF(A16='Données projet'!$A$114,'Données projet'!$B$114,BY15+BX16-CG15)))</f>
        <v>91</v>
      </c>
      <c r="BZ16" s="14">
        <f>BY16*VLOOKUP('Données projet'!$B$12,Paramètres!$A$1:$I$89,3,0)*VLOOKUP('Données projet'!$B$12,Paramètres!$A$1:$I$89,5,0)</f>
        <v>82.336799999999997</v>
      </c>
      <c r="CA16" s="14">
        <f t="shared" si="39"/>
        <v>22.707582950885364</v>
      </c>
      <c r="CB16" s="22">
        <f t="shared" si="10"/>
        <v>182.95230030612535</v>
      </c>
      <c r="CC16" s="62">
        <f t="shared" si="11"/>
        <v>344.52573179969704</v>
      </c>
      <c r="CD16" s="62">
        <f ca="1">AVERAGE(OFFSET($CC$3,0,0,'Données projet'!$E$12+1,1))-AVERAGE(OFFSET($H$3,0,0,'Données projet'!$E$12+1,1))</f>
        <v>327.07074355218322</v>
      </c>
      <c r="CE16" s="62">
        <f t="shared" si="40"/>
        <v>462.01668587029087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4.7503725172429192</v>
      </c>
      <c r="CL16" s="23">
        <f>EXP(-LN(2)/25)*CL15+(1-EXP(-LN(2)/25))/(LN(2)/25)*Calculateur!CG16*Calculateur!CI16*VLOOKUP('Données projet'!$B$12,Paramètres!$A$1:$I$89,3,0)*0.475*44/12</f>
        <v>1.1551364545024232</v>
      </c>
      <c r="CM16" s="23">
        <f>EXP(-LN(2)/2)*CM15+(1-EXP(-LN(2)/2))/(LN(2)/2)*CG16*CJ16*VLOOKUP('Données projet'!$B$12,Paramètres!$A$1:$I$89,3,0)*0.475*44/12</f>
        <v>0.21342578808373894</v>
      </c>
      <c r="CN16" s="24">
        <f t="shared" si="12"/>
        <v>6.1189347598290809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20.588235294117649</v>
      </c>
      <c r="CT16" s="13">
        <f>IF('Données projet'!$A$140&gt;35,CT15+CS16-DB15,IF(A16&lt;'Données projet'!$A$140,$CQ$205^A16,IF(A16='Données projet'!$A$140,'Données projet'!$B$140,CT15+CS16-DB15)))</f>
        <v>88.199027922381632</v>
      </c>
      <c r="CU16" s="18">
        <f>CT16*VLOOKUP('Données projet'!$B$13,Paramètres!$A$1:$I$89,3,0)*VLOOKUP('Données projet'!$B$13,Paramètres!$A$1:$I$89,5,0)</f>
        <v>49.532574081209525</v>
      </c>
      <c r="CV16" s="14">
        <f t="shared" si="41"/>
        <v>14.492978973007469</v>
      </c>
      <c r="CW16" s="22">
        <f t="shared" si="13"/>
        <v>111.51117156942793</v>
      </c>
      <c r="CX16" s="62">
        <f t="shared" si="14"/>
        <v>273.08460306299963</v>
      </c>
      <c r="CY16" s="62">
        <f ca="1">AVERAGE(OFFSET($CX$3,0,0,'Données projet'!$E$13+1,1))-AVERAGE(OFFSET($H$3,0,0,'Données projet'!$E$13+1,1))</f>
        <v>93.836028041880496</v>
      </c>
      <c r="CZ16" s="62">
        <f t="shared" si="42"/>
        <v>465.96044964631358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6.9411764705882355</v>
      </c>
      <c r="DO16" s="13">
        <f>IF('Données projet'!$A$166&gt;35,DO15+DN16-DW15,IF(A16&lt;'Données projet'!$A$166,$DL$205^A16,IF(A16='Données projet'!$A$166,'Données projet'!$B$166,DO15+DN16-DW15)))</f>
        <v>38.404344652263013</v>
      </c>
      <c r="DP16" s="18">
        <f>DO16*VLOOKUP('Données projet'!$B$14,Paramètres!$A$1:$I$89,3,0)*VLOOKUP('Données projet'!$B$14,Paramètres!$A$1:$I$89,5,0)</f>
        <v>22.965798102053284</v>
      </c>
      <c r="DQ16" s="14">
        <f t="shared" si="43"/>
        <v>7.3485848963755025</v>
      </c>
      <c r="DR16" s="22">
        <f t="shared" si="16"/>
        <v>52.797550388930141</v>
      </c>
      <c r="DS16" s="62">
        <f t="shared" si="17"/>
        <v>214.37098188250184</v>
      </c>
      <c r="DT16" s="62">
        <f ca="1">AVERAGE(OFFSET($DS$3,0,0,'Données projet'!$E$14+1,1))-AVERAGE(OFFSET($H$3,0,0,'Données projet'!$E$14+1,1))</f>
        <v>386.56102661082468</v>
      </c>
      <c r="DU16" s="62">
        <f t="shared" si="44"/>
        <v>410.28336627719011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206.9165417460791</v>
      </c>
      <c r="S17" s="62">
        <f ca="1">AVERAGE(OFFSET($R$3,0,0,'Données projet'!$E$9+1,1))-AVERAGE(OFFSET($H$3,0,0,'Données projet'!$E$9+1,1))</f>
        <v>499.92116338695428</v>
      </c>
      <c r="T17" s="62">
        <f t="shared" si="34"/>
        <v>316.79403154855652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268.80195015890183</v>
      </c>
      <c r="AN17" s="62">
        <f ca="1">AVERAGE(OFFSET($AM$3,0,0,'Données projet'!$E$10+1,1))-AVERAGE(OFFSET($H$3,0,0,'Données projet'!$E$10+1,1))</f>
        <v>225.71928466161592</v>
      </c>
      <c r="AO17" s="62">
        <f t="shared" si="36"/>
        <v>385.98818770742025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18.600000000000001</v>
      </c>
      <c r="BD17" s="13">
        <f>IF('Données projet'!$A$88&gt;35,BD16+BC17-BL16,IF(A17&lt;'Données projet'!$A$88,$BA$205^A17,IF(A17='Données projet'!$A$88,'Données projet'!$B$88,BD16+BC17-BL16)))</f>
        <v>91.6</v>
      </c>
      <c r="BE17" s="14">
        <f>BD17*VLOOKUP('Données projet'!$B$11,Paramètres!$A$1:$I$89,3,0)*VLOOKUP('Données projet'!$B$11,Paramètres!$A$1:$I$89,5,0)</f>
        <v>54.776799999999994</v>
      </c>
      <c r="BF17" s="14">
        <f t="shared" si="37"/>
        <v>15.840762095818524</v>
      </c>
      <c r="BG17" s="22">
        <f t="shared" si="7"/>
        <v>122.99225398355058</v>
      </c>
      <c r="BH17" s="62">
        <f t="shared" si="8"/>
        <v>287.7131994329614</v>
      </c>
      <c r="BI17" s="62">
        <f ca="1">AVERAGE(OFFSET($BH$3,0,0,'Données projet'!$E$11+1,1))-AVERAGE(OFFSET($H$3,0,0,'Données projet'!$E$11+1,1))</f>
        <v>211.70619219850786</v>
      </c>
      <c r="BJ17" s="62">
        <f t="shared" si="38"/>
        <v>426.883837098247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13.405399364132007</v>
      </c>
      <c r="BS17" s="24">
        <f t="shared" si="9"/>
        <v>13.405399364132007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11</v>
      </c>
      <c r="BY17" s="13">
        <f>IF('Données projet'!$A$114&gt;35,BY16+BX17-CG16,IF(A17&lt;'Données projet'!$A$114,$BV$205^A17,IF(A17='Données projet'!$A$114,'Données projet'!$B$114,BY16+BX17-CG16)))</f>
        <v>102</v>
      </c>
      <c r="BZ17" s="14">
        <f>BY17*VLOOKUP('Données projet'!$B$12,Paramètres!$A$1:$I$89,3,0)*VLOOKUP('Données projet'!$B$12,Paramètres!$A$1:$I$89,5,0)</f>
        <v>92.289599999999993</v>
      </c>
      <c r="CA17" s="14">
        <f t="shared" si="39"/>
        <v>25.116611431659546</v>
      </c>
      <c r="CB17" s="22">
        <f t="shared" si="10"/>
        <v>204.48248491014036</v>
      </c>
      <c r="CC17" s="62">
        <f t="shared" si="11"/>
        <v>369.20343035955113</v>
      </c>
      <c r="CD17" s="62">
        <f ca="1">AVERAGE(OFFSET($CC$3,0,0,'Données projet'!$E$12+1,1))-AVERAGE(OFFSET($H$3,0,0,'Données projet'!$E$12+1,1))</f>
        <v>327.07074355218322</v>
      </c>
      <c r="CE17" s="62">
        <f t="shared" si="40"/>
        <v>462.01668587029087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4.6572206096209223</v>
      </c>
      <c r="CL17" s="23">
        <f>EXP(-LN(2)/25)*CL16+(1-EXP(-LN(2)/25))/(LN(2)/25)*Calculateur!CG17*Calculateur!CI17*VLOOKUP('Données projet'!$B$12,Paramètres!$A$1:$I$89,3,0)*0.475*44/12</f>
        <v>1.1235491874080683</v>
      </c>
      <c r="CM17" s="23">
        <f>EXP(-LN(2)/2)*CM16+(1-EXP(-LN(2)/2))/(LN(2)/2)*CG17*CJ17*VLOOKUP('Données projet'!$B$12,Paramètres!$A$1:$I$89,3,0)*0.475*44/12</f>
        <v>0.15091482203409487</v>
      </c>
      <c r="CN17" s="24">
        <f t="shared" si="12"/>
        <v>5.9316846190630859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20.588235294117649</v>
      </c>
      <c r="CT17" s="13">
        <f>IF('Données projet'!$A$140&gt;35,CT16+CS17-DB16,IF(A17&lt;'Données projet'!$A$140,$CQ$205^A17,IF(A17='Données projet'!$A$140,'Données projet'!$B$140,CT16+CS17-DB16)))</f>
        <v>124.48437983597354</v>
      </c>
      <c r="CU17" s="18">
        <f>CT17*VLOOKUP('Données projet'!$B$13,Paramètres!$A$1:$I$89,3,0)*VLOOKUP('Données projet'!$B$13,Paramètres!$A$1:$I$89,5,0)</f>
        <v>69.910427715882733</v>
      </c>
      <c r="CV17" s="14">
        <f t="shared" si="41"/>
        <v>19.651211958946188</v>
      </c>
      <c r="CW17" s="22">
        <f t="shared" si="13"/>
        <v>155.98652243366038</v>
      </c>
      <c r="CX17" s="62">
        <f t="shared" si="14"/>
        <v>320.70746788307122</v>
      </c>
      <c r="CY17" s="62">
        <f ca="1">AVERAGE(OFFSET($CX$3,0,0,'Données projet'!$E$13+1,1))-AVERAGE(OFFSET($H$3,0,0,'Données projet'!$E$13+1,1))</f>
        <v>93.836028041880496</v>
      </c>
      <c r="CZ17" s="62">
        <f t="shared" si="42"/>
        <v>465.96044964631358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6.9411764705882355</v>
      </c>
      <c r="DO17" s="13">
        <f>IF('Données projet'!$A$166&gt;35,DO16+DN17-DW16,IF(A17&lt;'Données projet'!$A$166,$DL$205^A17,IF(A17='Données projet'!$A$166,'Données projet'!$B$166,DO16+DN17-DW16)))</f>
        <v>50.845880300225161</v>
      </c>
      <c r="DP17" s="18">
        <f>DO17*VLOOKUP('Données projet'!$B$14,Paramètres!$A$1:$I$89,3,0)*VLOOKUP('Données projet'!$B$14,Paramètres!$A$1:$I$89,5,0)</f>
        <v>30.405836419534648</v>
      </c>
      <c r="DQ17" s="14">
        <f t="shared" si="43"/>
        <v>9.4165719705798292</v>
      </c>
      <c r="DR17" s="22">
        <f t="shared" si="16"/>
        <v>69.357361279449364</v>
      </c>
      <c r="DS17" s="62">
        <f t="shared" si="17"/>
        <v>234.07830672886018</v>
      </c>
      <c r="DT17" s="62">
        <f ca="1">AVERAGE(OFFSET($DS$3,0,0,'Données projet'!$E$14+1,1))-AVERAGE(OFFSET($H$3,0,0,'Données projet'!$E$14+1,1))</f>
        <v>386.56102661082468</v>
      </c>
      <c r="DU17" s="62">
        <f t="shared" si="44"/>
        <v>410.28336627719011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219.80780618669371</v>
      </c>
      <c r="S18" s="62">
        <f ca="1">AVERAGE(OFFSET($R$3,0,0,'Données projet'!$E$9+1,1))-AVERAGE(OFFSET($H$3,0,0,'Données projet'!$E$9+1,1))</f>
        <v>499.92116338695428</v>
      </c>
      <c r="T18" s="62">
        <f t="shared" si="34"/>
        <v>316.79403154855652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294.40031117378612</v>
      </c>
      <c r="AN18" s="62">
        <f ca="1">AVERAGE(OFFSET($AM$3,0,0,'Données projet'!$E$10+1,1))-AVERAGE(OFFSET($H$3,0,0,'Données projet'!$E$10+1,1))</f>
        <v>225.71928466161592</v>
      </c>
      <c r="AO18" s="62">
        <f t="shared" si="36"/>
        <v>385.98818770742025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18.600000000000001</v>
      </c>
      <c r="BD18" s="13">
        <f>IF('Données projet'!$A$88&gt;35,BD17+BC18-BL17,IF(A18&lt;'Données projet'!$A$88,$BA$205^A18,IF(A18='Données projet'!$A$88,'Données projet'!$B$88,BD17+BC18-BL17)))</f>
        <v>110.19999999999999</v>
      </c>
      <c r="BE18" s="14">
        <f>BD18*VLOOKUP('Données projet'!$B$11,Paramètres!$A$1:$I$89,3,0)*VLOOKUP('Données projet'!$B$11,Paramètres!$A$1:$I$89,5,0)</f>
        <v>65.899600000000007</v>
      </c>
      <c r="BF18" s="14">
        <f t="shared" si="37"/>
        <v>18.651634138580526</v>
      </c>
      <c r="BG18" s="22">
        <f t="shared" si="7"/>
        <v>147.26006612469442</v>
      </c>
      <c r="BH18" s="62">
        <f t="shared" si="8"/>
        <v>315.09512602267358</v>
      </c>
      <c r="BI18" s="62">
        <f ca="1">AVERAGE(OFFSET($BH$3,0,0,'Données projet'!$E$11+1,1))-AVERAGE(OFFSET($H$3,0,0,'Données projet'!$E$11+1,1))</f>
        <v>211.70619219850786</v>
      </c>
      <c r="BJ18" s="62">
        <f t="shared" si="38"/>
        <v>426.883837098247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9.4790487948915754</v>
      </c>
      <c r="BS18" s="24">
        <f t="shared" si="9"/>
        <v>9.4790487948915754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113</v>
      </c>
      <c r="BW18" s="13">
        <f>VLOOKUP(A18,'Données projet'!$A$113:$I$133,9,0)</f>
        <v>11</v>
      </c>
      <c r="BX18" s="13">
        <f t="array" ref="BX18">INDEX(BW:BW,MIN(IF(ISNUMBER(BW18:BW214),ROW(BW18:BW214),"")))</f>
        <v>11</v>
      </c>
      <c r="BY18" s="13">
        <f>IF('Données projet'!$A$114&gt;35,BY17+BX18-CG17,IF(A18&lt;'Données projet'!$A$114,$BV$205^A18,IF(A18='Données projet'!$A$114,'Données projet'!$B$114,BY17+BX18-CG17)))</f>
        <v>113</v>
      </c>
      <c r="BZ18" s="14">
        <f>BY18*VLOOKUP('Données projet'!$B$12,Paramètres!$A$1:$I$89,3,0)*VLOOKUP('Données projet'!$B$12,Paramètres!$A$1:$I$89,5,0)</f>
        <v>102.24239999999999</v>
      </c>
      <c r="CA18" s="14">
        <f t="shared" si="39"/>
        <v>27.495526976991481</v>
      </c>
      <c r="CB18" s="22">
        <f t="shared" si="10"/>
        <v>225.96022281826015</v>
      </c>
      <c r="CC18" s="62">
        <f t="shared" si="11"/>
        <v>393.79528271623929</v>
      </c>
      <c r="CD18" s="62">
        <f ca="1">AVERAGE(OFFSET($CC$3,0,0,'Données projet'!$E$12+1,1))-AVERAGE(OFFSET($H$3,0,0,'Données projet'!$E$12+1,1))</f>
        <v>327.07074355218322</v>
      </c>
      <c r="CE18" s="62">
        <f t="shared" si="40"/>
        <v>462.01668587029087</v>
      </c>
      <c r="CF18" s="16">
        <f>IF(ISNA(VLOOKUP(A18,'Données projet'!$A$113:$I$133,3,0)),0,VLOOKUP(A18,'Données projet'!$A$113:$I$133,3,0))</f>
        <v>3</v>
      </c>
      <c r="CG18" s="16">
        <f>IF(ISNA(VLOOKUP(A18,'Données projet'!$A$113:$I$133,4,0)),0,VLOOKUP(A18,'Données projet'!$A$113:$I$133,4,0))</f>
        <v>17</v>
      </c>
      <c r="CH18" s="17">
        <f>IF(ISNA(VLOOKUP(A18,'Données projet'!$A$113:$I$133,5,0)),0%,VLOOKUP(A18,'Données projet'!$A$113:$I$133,5,0)*VLOOKUP('Données projet'!$B$12,Paramètres!$A$1:$I$89,7,0))</f>
        <v>0.24</v>
      </c>
      <c r="CI18" s="17">
        <f>IF(ISNA(VLOOKUP(A18,'Données projet'!$A$113:$I$133,6,0)),0%,VLOOKUP(A18,'Données projet'!$A$113:$I$133,6,0)*VLOOKUP('Données projet'!$B$12,Paramètres!$A$1:$I$89,7,0))</f>
        <v>0.06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8.6468321196481064</v>
      </c>
      <c r="CL18" s="23">
        <f>EXP(-LN(2)/25)*CL17+(1-EXP(-LN(2)/25))/(LN(2)/25)*Calculateur!CG18*Calculateur!CI18*VLOOKUP('Données projet'!$B$12,Paramètres!$A$1:$I$89,3,0)*0.475*44/12</f>
        <v>2.1090428164317485</v>
      </c>
      <c r="CM18" s="23">
        <f>EXP(-LN(2)/2)*CM17+(1-EXP(-LN(2)/2))/(LN(2)/2)*CG18*CJ18*VLOOKUP('Données projet'!$B$12,Paramètres!$A$1:$I$89,3,0)*0.475*44/12</f>
        <v>0.10671289404186948</v>
      </c>
      <c r="CN18" s="24">
        <f t="shared" si="12"/>
        <v>10.862587830121726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20.588235294117649</v>
      </c>
      <c r="CT18" s="13">
        <f>IF('Données projet'!$A$140&gt;35,CT17+CS18-DB17,IF(A18&lt;'Données projet'!$A$140,$CQ$205^A18,IF(A18='Données projet'!$A$140,'Données projet'!$B$140,CT17+CS18-DB17)))</f>
        <v>175.69763735700468</v>
      </c>
      <c r="CU18" s="18">
        <f>CT18*VLOOKUP('Données projet'!$B$13,Paramètres!$A$1:$I$89,3,0)*VLOOKUP('Données projet'!$B$13,Paramètres!$A$1:$I$89,5,0)</f>
        <v>98.671793139693818</v>
      </c>
      <c r="CV18" s="14">
        <f t="shared" si="41"/>
        <v>26.645324758605849</v>
      </c>
      <c r="CW18" s="22">
        <f t="shared" si="13"/>
        <v>218.26064700620523</v>
      </c>
      <c r="CX18" s="62">
        <f t="shared" si="14"/>
        <v>386.0957069041844</v>
      </c>
      <c r="CY18" s="62">
        <f ca="1">AVERAGE(OFFSET($CX$3,0,0,'Données projet'!$E$13+1,1))-AVERAGE(OFFSET($H$3,0,0,'Données projet'!$E$13+1,1))</f>
        <v>93.836028041880496</v>
      </c>
      <c r="CZ18" s="62">
        <f t="shared" si="42"/>
        <v>465.96044964631358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6.9411764705882355</v>
      </c>
      <c r="DO18" s="13">
        <f>IF('Données projet'!$A$166&gt;35,DO17+DN18-DW17,IF(A18&lt;'Données projet'!$A$166,$DL$205^A18,IF(A18='Données projet'!$A$166,'Données projet'!$B$166,DO17+DN18-DW17)))</f>
        <v>67.317996620272581</v>
      </c>
      <c r="DP18" s="18">
        <f>DO18*VLOOKUP('Données projet'!$B$14,Paramètres!$A$1:$I$89,3,0)*VLOOKUP('Données projet'!$B$14,Paramètres!$A$1:$I$89,5,0)</f>
        <v>40.256161978923011</v>
      </c>
      <c r="DQ18" s="14">
        <f t="shared" si="43"/>
        <v>12.066517421720839</v>
      </c>
      <c r="DR18" s="22">
        <f t="shared" si="16"/>
        <v>91.128666622788032</v>
      </c>
      <c r="DS18" s="62">
        <f t="shared" si="17"/>
        <v>258.96372652076718</v>
      </c>
      <c r="DT18" s="62">
        <f ca="1">AVERAGE(OFFSET($DS$3,0,0,'Données projet'!$E$14+1,1))-AVERAGE(OFFSET($H$3,0,0,'Données projet'!$E$14+1,1))</f>
        <v>386.56102661082468</v>
      </c>
      <c r="DU18" s="62">
        <f t="shared" si="44"/>
        <v>410.28336627719011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234.93905375858239</v>
      </c>
      <c r="S19" s="62">
        <f ca="1">AVERAGE(OFFSET($R$3,0,0,'Données projet'!$E$9+1,1))-AVERAGE(OFFSET($H$3,0,0,'Données projet'!$E$9+1,1))</f>
        <v>499.92116338695428</v>
      </c>
      <c r="T19" s="62">
        <f t="shared" si="34"/>
        <v>316.79403154855652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319.86877027090753</v>
      </c>
      <c r="AN19" s="62">
        <f ca="1">AVERAGE(OFFSET($AM$3,0,0,'Données projet'!$E$10+1,1))-AVERAGE(OFFSET($H$3,0,0,'Données projet'!$E$10+1,1))</f>
        <v>225.71928466161592</v>
      </c>
      <c r="AO19" s="62">
        <f t="shared" si="36"/>
        <v>385.98818770742025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18.600000000000001</v>
      </c>
      <c r="BD19" s="13">
        <f>IF('Données projet'!$A$88&gt;35,BD18+BC19-BL18,IF(A19&lt;'Données projet'!$A$88,$BA$205^A19,IF(A19='Données projet'!$A$88,'Données projet'!$B$88,BD18+BC19-BL18)))</f>
        <v>128.79999999999998</v>
      </c>
      <c r="BE19" s="14">
        <f>BD19*VLOOKUP('Données projet'!$B$11,Paramètres!$A$1:$I$89,3,0)*VLOOKUP('Données projet'!$B$11,Paramètres!$A$1:$I$89,5,0)</f>
        <v>77.022400000000005</v>
      </c>
      <c r="BF19" s="14">
        <f t="shared" si="37"/>
        <v>21.407546084466961</v>
      </c>
      <c r="BG19" s="22">
        <f t="shared" si="7"/>
        <v>171.43215609711328</v>
      </c>
      <c r="BH19" s="62">
        <f t="shared" si="8"/>
        <v>342.34851034317109</v>
      </c>
      <c r="BI19" s="62">
        <f ca="1">AVERAGE(OFFSET($BH$3,0,0,'Données projet'!$E$11+1,1))-AVERAGE(OFFSET($H$3,0,0,'Données projet'!$E$11+1,1))</f>
        <v>211.70619219850786</v>
      </c>
      <c r="BJ19" s="62">
        <f t="shared" si="38"/>
        <v>426.883837098247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6.7026996820660045</v>
      </c>
      <c r="BS19" s="24">
        <f t="shared" si="9"/>
        <v>6.7026996820660045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9.8000000000000007</v>
      </c>
      <c r="BY19" s="13">
        <f>IF('Données projet'!$A$114&gt;35,BY18+BX19-CG18,IF(A19&lt;'Données projet'!$A$114,$BV$205^A19,IF(A19='Données projet'!$A$114,'Données projet'!$B$114,BY18+BX19-CG18)))</f>
        <v>105.8</v>
      </c>
      <c r="BZ19" s="14">
        <f>BY19*VLOOKUP('Données projet'!$B$12,Paramètres!$A$1:$I$89,3,0)*VLOOKUP('Données projet'!$B$12,Paramètres!$A$1:$I$89,5,0)</f>
        <v>95.72784</v>
      </c>
      <c r="CA19" s="14">
        <f t="shared" si="39"/>
        <v>25.941642560384413</v>
      </c>
      <c r="CB19" s="22">
        <f t="shared" si="10"/>
        <v>211.90768212600287</v>
      </c>
      <c r="CC19" s="62">
        <f t="shared" si="11"/>
        <v>382.82403637206068</v>
      </c>
      <c r="CD19" s="62">
        <f ca="1">AVERAGE(OFFSET($CC$3,0,0,'Données projet'!$E$12+1,1))-AVERAGE(OFFSET($H$3,0,0,'Données projet'!$E$12+1,1))</f>
        <v>327.07074355218322</v>
      </c>
      <c r="CE19" s="62">
        <f t="shared" si="40"/>
        <v>462.01668587029087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8.4772730158286311</v>
      </c>
      <c r="CL19" s="23">
        <f>EXP(-LN(2)/25)*CL18+(1-EXP(-LN(2)/25))/(LN(2)/25)*Calculateur!CG19*Calculateur!CI19*VLOOKUP('Données projet'!$B$12,Paramètres!$A$1:$I$89,3,0)*0.475*44/12</f>
        <v>2.0513709297066809</v>
      </c>
      <c r="CM19" s="23">
        <f>EXP(-LN(2)/2)*CM18+(1-EXP(-LN(2)/2))/(LN(2)/2)*CG19*CJ19*VLOOKUP('Données projet'!$B$12,Paramètres!$A$1:$I$89,3,0)*0.475*44/12</f>
        <v>7.5457411017047435E-2</v>
      </c>
      <c r="CN19" s="24">
        <f t="shared" si="12"/>
        <v>10.604101356552359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20.588235294117649</v>
      </c>
      <c r="CT19" s="13">
        <f>IF('Données projet'!$A$140&gt;35,CT18+CS19-DB18,IF(A19&lt;'Données projet'!$A$140,$CQ$205^A19,IF(A19='Données projet'!$A$140,'Données projet'!$B$140,CT18+CS19-DB18)))</f>
        <v>247.98018685965928</v>
      </c>
      <c r="CU19" s="18">
        <f>CT19*VLOOKUP('Données projet'!$B$13,Paramètres!$A$1:$I$89,3,0)*VLOOKUP('Données projet'!$B$13,Paramètres!$A$1:$I$89,5,0)</f>
        <v>139.26567294038466</v>
      </c>
      <c r="CV19" s="14">
        <f t="shared" si="41"/>
        <v>36.128730023104694</v>
      </c>
      <c r="CW19" s="22">
        <f t="shared" si="13"/>
        <v>305.47858516141065</v>
      </c>
      <c r="CX19" s="62">
        <f t="shared" si="14"/>
        <v>476.39493940746843</v>
      </c>
      <c r="CY19" s="62">
        <f ca="1">AVERAGE(OFFSET($CX$3,0,0,'Données projet'!$E$13+1,1))-AVERAGE(OFFSET($H$3,0,0,'Données projet'!$E$13+1,1))</f>
        <v>93.836028041880496</v>
      </c>
      <c r="CZ19" s="62">
        <f t="shared" si="42"/>
        <v>465.96044964631358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6.9411764705882355</v>
      </c>
      <c r="DO19" s="13">
        <f>IF('Données projet'!$A$166&gt;35,DO18+DN19-DW18,IF(A19&lt;'Données projet'!$A$166,$DL$205^A19,IF(A19='Données projet'!$A$166,'Données projet'!$B$166,DO18+DN19-DW18)))</f>
        <v>89.126447260014572</v>
      </c>
      <c r="DP19" s="18">
        <f>DO19*VLOOKUP('Données projet'!$B$14,Paramètres!$A$1:$I$89,3,0)*VLOOKUP('Données projet'!$B$14,Paramètres!$A$1:$I$89,5,0)</f>
        <v>53.297615461488718</v>
      </c>
      <c r="DQ19" s="14">
        <f t="shared" si="43"/>
        <v>15.46219188294774</v>
      </c>
      <c r="DR19" s="22">
        <f t="shared" si="16"/>
        <v>119.75666445822681</v>
      </c>
      <c r="DS19" s="62">
        <f t="shared" si="17"/>
        <v>290.67301870428463</v>
      </c>
      <c r="DT19" s="62">
        <f ca="1">AVERAGE(OFFSET($DS$3,0,0,'Données projet'!$E$14+1,1))-AVERAGE(OFFSET($H$3,0,0,'Données projet'!$E$14+1,1))</f>
        <v>386.56102661082468</v>
      </c>
      <c r="DU19" s="62">
        <f t="shared" si="44"/>
        <v>410.28336627719011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252.84077271642914</v>
      </c>
      <c r="S20" s="62">
        <f ca="1">AVERAGE(OFFSET($R$3,0,0,'Données projet'!$E$9+1,1))-AVERAGE(OFFSET($H$3,0,0,'Données projet'!$E$9+1,1))</f>
        <v>499.92116338695428</v>
      </c>
      <c r="T20" s="62">
        <f t="shared" si="34"/>
        <v>316.79403154855652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345.22457859424367</v>
      </c>
      <c r="AN20" s="62">
        <f ca="1">AVERAGE(OFFSET($AM$3,0,0,'Données projet'!$E$10+1,1))-AVERAGE(OFFSET($H$3,0,0,'Données projet'!$E$10+1,1))</f>
        <v>225.71928466161592</v>
      </c>
      <c r="AO20" s="62">
        <f t="shared" si="36"/>
        <v>385.98818770742025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18.600000000000001</v>
      </c>
      <c r="BD20" s="13">
        <f>IF('Données projet'!$A$88&gt;35,BD19+BC20-BL19,IF(A20&lt;'Données projet'!$A$88,$BA$205^A20,IF(A20='Données projet'!$A$88,'Données projet'!$B$88,BD19+BC20-BL19)))</f>
        <v>147.39999999999998</v>
      </c>
      <c r="BE20" s="14">
        <f>BD20*VLOOKUP('Données projet'!$B$11,Paramètres!$A$1:$I$89,3,0)*VLOOKUP('Données projet'!$B$11,Paramètres!$A$1:$I$89,5,0)</f>
        <v>88.145199999999988</v>
      </c>
      <c r="BF20" s="14">
        <f t="shared" si="37"/>
        <v>24.117351189004136</v>
      </c>
      <c r="BG20" s="22">
        <f t="shared" si="7"/>
        <v>195.52394332084884</v>
      </c>
      <c r="BH20" s="62">
        <f t="shared" si="8"/>
        <v>369.48934116986425</v>
      </c>
      <c r="BI20" s="62">
        <f ca="1">AVERAGE(OFFSET($BH$3,0,0,'Données projet'!$E$11+1,1))-AVERAGE(OFFSET($H$3,0,0,'Données projet'!$E$11+1,1))</f>
        <v>211.70619219850786</v>
      </c>
      <c r="BJ20" s="62">
        <f t="shared" si="38"/>
        <v>426.883837098247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4.7395243974457886</v>
      </c>
      <c r="BS20" s="24">
        <f t="shared" si="9"/>
        <v>4.7395243974457886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9.8000000000000007</v>
      </c>
      <c r="BY20" s="13">
        <f>IF('Données projet'!$A$114&gt;35,BY19+BX20-CG19,IF(A20&lt;'Données projet'!$A$114,$BV$205^A20,IF(A20='Données projet'!$A$114,'Données projet'!$B$114,BY19+BX20-CG19)))</f>
        <v>115.6</v>
      </c>
      <c r="BZ20" s="14">
        <f>BY20*VLOOKUP('Données projet'!$B$12,Paramètres!$A$1:$I$89,3,0)*VLOOKUP('Données projet'!$B$12,Paramètres!$A$1:$I$89,5,0)</f>
        <v>104.59487999999999</v>
      </c>
      <c r="CA20" s="14">
        <f t="shared" si="39"/>
        <v>28.053785838854211</v>
      </c>
      <c r="CB20" s="22">
        <f t="shared" si="10"/>
        <v>231.02975966933766</v>
      </c>
      <c r="CC20" s="62">
        <f t="shared" si="11"/>
        <v>404.9951575183531</v>
      </c>
      <c r="CD20" s="62">
        <f ca="1">AVERAGE(OFFSET($CC$3,0,0,'Données projet'!$E$12+1,1))-AVERAGE(OFFSET($H$3,0,0,'Données projet'!$E$12+1,1))</f>
        <v>327.07074355218322</v>
      </c>
      <c r="CE20" s="62">
        <f t="shared" si="40"/>
        <v>462.01668587029087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8.3110388626142147</v>
      </c>
      <c r="CL20" s="23">
        <f>EXP(-LN(2)/25)*CL19+(1-EXP(-LN(2)/25))/(LN(2)/25)*Calculateur!CG20*Calculateur!CI20*VLOOKUP('Données projet'!$B$12,Paramètres!$A$1:$I$89,3,0)*0.475*44/12</f>
        <v>1.995276083756943</v>
      </c>
      <c r="CM20" s="23">
        <f>EXP(-LN(2)/2)*CM19+(1-EXP(-LN(2)/2))/(LN(2)/2)*CG20*CJ20*VLOOKUP('Données projet'!$B$12,Paramètres!$A$1:$I$89,3,0)*0.475*44/12</f>
        <v>5.3356447020934741E-2</v>
      </c>
      <c r="CN20" s="24">
        <f t="shared" si="12"/>
        <v>10.359671393392093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>
        <f>VLOOKUP(A20,'Données projet'!$A$139:$I$159,2,0)</f>
        <v>350</v>
      </c>
      <c r="CR20" s="13">
        <f>VLOOKUP(A20,'Données projet'!$A$139:$I$159,9,0)</f>
        <v>20.588235294117649</v>
      </c>
      <c r="CS20" s="13">
        <f t="array" ref="CS20">INDEX(CR:CR,MIN(IF(ISNUMBER(CR20:CR216),ROW(CR20:CR216),"")))</f>
        <v>20.588235294117649</v>
      </c>
      <c r="CT20" s="13">
        <f>IF('Données projet'!$A$140&gt;35,CT19+CS20-DB19,IF(A20&lt;'Données projet'!$A$140,$CQ$205^A20,IF(A20='Données projet'!$A$140,'Données projet'!$B$140,CT19+CS20-DB19)))</f>
        <v>350</v>
      </c>
      <c r="CU20" s="18">
        <f>CT20*VLOOKUP('Données projet'!$B$13,Paramètres!$A$1:$I$89,3,0)*VLOOKUP('Données projet'!$B$13,Paramètres!$A$1:$I$89,5,0)</f>
        <v>196.56</v>
      </c>
      <c r="CV20" s="14">
        <f t="shared" si="41"/>
        <v>48.987398161128091</v>
      </c>
      <c r="CW20" s="22">
        <f t="shared" si="13"/>
        <v>427.66171846396475</v>
      </c>
      <c r="CX20" s="62">
        <f t="shared" si="14"/>
        <v>601.62711631298021</v>
      </c>
      <c r="CY20" s="62">
        <f ca="1">AVERAGE(OFFSET($CX$3,0,0,'Données projet'!$E$13+1,1))-AVERAGE(OFFSET($H$3,0,0,'Données projet'!$E$13+1,1))</f>
        <v>93.836028041880496</v>
      </c>
      <c r="CZ20" s="62">
        <f t="shared" si="42"/>
        <v>465.96044964631358</v>
      </c>
      <c r="DA20" s="16">
        <f>IF(ISNA(VLOOKUP(A20,'Données projet'!$A$139:$I$159,3,0)),0,VLOOKUP(A20,'Données projet'!$A$139:$I$159,3,0))</f>
        <v>1</v>
      </c>
      <c r="DB20" s="16">
        <f>IF(ISNA(VLOOKUP(A20,'Données projet'!$A$139:$I$159,4,0)),0,VLOOKUP(A20,'Données projet'!$A$139:$I$159,4,0))</f>
        <v>350</v>
      </c>
      <c r="DC20" s="17">
        <f>IF(ISNA(VLOOKUP(A20,'Données projet'!$A$139:$I$159,5,0)),0%,VLOOKUP(A20,'Données projet'!$A$139:$I$159,5,0)*VLOOKUP('Données projet'!$B$13,Paramètres!$A$1:$I$89,7,0))</f>
        <v>0.48</v>
      </c>
      <c r="DD20" s="17">
        <f>IF(ISNA(VLOOKUP(A20,'Données projet'!$A$139:$I$159,6,0)),0%,VLOOKUP(A20,'Données projet'!$A$139:$I$159,6,0)*VLOOKUP('Données projet'!$B$13,Paramètres!$A$1:$I$89,7,0))</f>
        <v>0.12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104.29980374447841</v>
      </c>
      <c r="DG20" s="23">
        <f>EXP(-LN(2)/25)*DG19+(1-EXP(-LN(2)/25))/(LN(2)/25)*Calculateur!DB20*Calculateur!DD20*VLOOKUP('Données projet'!$B$13,Paramètres!$A$1:$I$89,3,0)*0.475*44/12</f>
        <v>25.972283918948875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130.27208766342727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>
        <f>VLOOKUP(A20,'Données projet'!$A$165:$I$185,2,0)</f>
        <v>118</v>
      </c>
      <c r="DM20" s="13">
        <f>VLOOKUP(A20,'Données projet'!$A$165:$I$185,9,0)</f>
        <v>6.9411764705882355</v>
      </c>
      <c r="DN20" s="13">
        <f t="array" ref="DN20">INDEX(DM:DM,MIN(IF(ISNUMBER(DM20:DM216),ROW(DM20:DM216),"")))</f>
        <v>6.9411764705882355</v>
      </c>
      <c r="DO20" s="13">
        <f>IF('Données projet'!$A$166&gt;35,DO19+DN20-DW19,IF(A20&lt;'Données projet'!$A$166,$DL$205^A20,IF(A20='Données projet'!$A$166,'Données projet'!$B$166,DO19+DN20-DW19)))</f>
        <v>118</v>
      </c>
      <c r="DP20" s="18">
        <f>DO20*VLOOKUP('Données projet'!$B$14,Paramètres!$A$1:$I$89,3,0)*VLOOKUP('Données projet'!$B$14,Paramètres!$A$1:$I$89,5,0)</f>
        <v>70.564000000000007</v>
      </c>
      <c r="DQ20" s="14">
        <f t="shared" si="43"/>
        <v>19.813453167086163</v>
      </c>
      <c r="DR20" s="22">
        <f t="shared" si="16"/>
        <v>157.40739759934175</v>
      </c>
      <c r="DS20" s="62">
        <f t="shared" si="17"/>
        <v>331.37279544835718</v>
      </c>
      <c r="DT20" s="62">
        <f ca="1">AVERAGE(OFFSET($DS$3,0,0,'Données projet'!$E$14+1,1))-AVERAGE(OFFSET($H$3,0,0,'Données projet'!$E$14+1,1))</f>
        <v>386.56102661082468</v>
      </c>
      <c r="DU20" s="62">
        <f t="shared" si="44"/>
        <v>410.28336627719011</v>
      </c>
      <c r="DV20" s="16">
        <f>IF(ISNA(VLOOKUP(A20,'Données projet'!$A$165:$I$185,3,0)),0,VLOOKUP(A20,'Données projet'!$A$165:$I$185,3,0))</f>
        <v>1</v>
      </c>
      <c r="DW20" s="16">
        <f>IF(ISNA(VLOOKUP(A20,'Données projet'!$A$165:$I$185,4,0)),0,VLOOKUP(A20,'Données projet'!$A$165:$I$185,4,0))</f>
        <v>15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1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10.1561237088124</v>
      </c>
      <c r="ED20" s="24">
        <f t="shared" si="18"/>
        <v>10.1561237088124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274.16733521633716</v>
      </c>
      <c r="S21" s="62">
        <f ca="1">AVERAGE(OFFSET($R$3,0,0,'Données projet'!$E$9+1,1))-AVERAGE(OFFSET($H$3,0,0,'Données projet'!$E$9+1,1))</f>
        <v>499.92116338695428</v>
      </c>
      <c r="T21" s="62">
        <f t="shared" si="34"/>
        <v>316.79403154855652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370.48025499370112</v>
      </c>
      <c r="AN21" s="62">
        <f ca="1">AVERAGE(OFFSET($AM$3,0,0,'Données projet'!$E$10+1,1))-AVERAGE(OFFSET($H$3,0,0,'Données projet'!$E$10+1,1))</f>
        <v>225.71928466161592</v>
      </c>
      <c r="AO21" s="62">
        <f t="shared" si="36"/>
        <v>385.98818770742025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166</v>
      </c>
      <c r="BB21" s="13">
        <f>VLOOKUP(A21,'Données projet'!$A$87:$I$107,9,0)</f>
        <v>18.600000000000001</v>
      </c>
      <c r="BC21" s="13">
        <f t="array" ref="BC21">INDEX(BB:BB,MIN(IF(ISNUMBER(BB21:BB217),ROW(BB21:BB217),"")))</f>
        <v>18.600000000000001</v>
      </c>
      <c r="BD21" s="13">
        <f>IF('Données projet'!$A$88&gt;35,BD20+BC21-BL20,IF(A21&lt;'Données projet'!$A$88,$BA$205^A21,IF(A21='Données projet'!$A$88,'Données projet'!$B$88,BD20+BC21-BL20)))</f>
        <v>165.99999999999997</v>
      </c>
      <c r="BE21" s="14">
        <f>BD21*VLOOKUP('Données projet'!$B$11,Paramètres!$A$1:$I$89,3,0)*VLOOKUP('Données projet'!$B$11,Paramètres!$A$1:$I$89,5,0)</f>
        <v>99.267999999999986</v>
      </c>
      <c r="BF21" s="14">
        <f t="shared" si="37"/>
        <v>26.78753414535981</v>
      </c>
      <c r="BG21" s="22">
        <f t="shared" si="7"/>
        <v>219.54672196983498</v>
      </c>
      <c r="BH21" s="62">
        <f t="shared" si="8"/>
        <v>396.52947215501308</v>
      </c>
      <c r="BI21" s="62">
        <f ca="1">AVERAGE(OFFSET($BH$3,0,0,'Données projet'!$E$11+1,1))-AVERAGE(OFFSET($H$3,0,0,'Données projet'!$E$11+1,1))</f>
        <v>211.70619219850786</v>
      </c>
      <c r="BJ21" s="62">
        <f t="shared" si="38"/>
        <v>426.883837098247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40</v>
      </c>
      <c r="BM21" s="17">
        <f>IF(ISNA(VLOOKUP(A21,'Données projet'!$A$87:$I$107,5,0)),0%,VLOOKUP(A21,'Données projet'!$A$87:$I$107,5,0)*VLOOKUP('Données projet'!$B$11,Paramètres!$A$1:$I$89,7,0))</f>
        <v>0.1125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0.75</v>
      </c>
      <c r="BP21" s="23">
        <f>EXP(-LN(2)/35)*BP20+(1-EXP(-LN(2)/35))/(LN(2)/35)*BL21*BM21*VLOOKUP('Données projet'!$B$11,Paramètres!$A$1:$I$89,3,0)*0.475*44/12</f>
        <v>3.5697849495878025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23.663597258657802</v>
      </c>
      <c r="BS21" s="24">
        <f t="shared" si="9"/>
        <v>27.233382208245605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9.8000000000000007</v>
      </c>
      <c r="BY21" s="13">
        <f>IF('Données projet'!$A$114&gt;35,BY20+BX21-CG20,IF(A21&lt;'Données projet'!$A$114,$BV$205^A21,IF(A21='Données projet'!$A$114,'Données projet'!$B$114,BY20+BX21-CG20)))</f>
        <v>125.39999999999999</v>
      </c>
      <c r="BZ21" s="14">
        <f>BY21*VLOOKUP('Données projet'!$B$12,Paramètres!$A$1:$I$89,3,0)*VLOOKUP('Données projet'!$B$12,Paramètres!$A$1:$I$89,5,0)</f>
        <v>113.46191999999998</v>
      </c>
      <c r="CA21" s="14">
        <f t="shared" si="39"/>
        <v>30.145163126535493</v>
      </c>
      <c r="CB21" s="22">
        <f t="shared" si="10"/>
        <v>250.11566977871595</v>
      </c>
      <c r="CC21" s="62">
        <f t="shared" si="11"/>
        <v>427.09841996389406</v>
      </c>
      <c r="CD21" s="62">
        <f ca="1">AVERAGE(OFFSET($CC$3,0,0,'Données projet'!$E$12+1,1))-AVERAGE(OFFSET($H$3,0,0,'Données projet'!$E$12+1,1))</f>
        <v>327.07074355218322</v>
      </c>
      <c r="CE21" s="62">
        <f t="shared" si="40"/>
        <v>462.01668587029087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8.1480644597515113</v>
      </c>
      <c r="CL21" s="23">
        <f>EXP(-LN(2)/25)*CL20+(1-EXP(-LN(2)/25))/(LN(2)/25)*Calculateur!CG21*Calculateur!CI21*VLOOKUP('Données projet'!$B$12,Paramètres!$A$1:$I$89,3,0)*0.475*44/12</f>
        <v>1.9407151543196004</v>
      </c>
      <c r="CM21" s="23">
        <f>EXP(-LN(2)/2)*CM20+(1-EXP(-LN(2)/2))/(LN(2)/2)*CG21*CJ21*VLOOKUP('Données projet'!$B$12,Paramètres!$A$1:$I$89,3,0)*0.475*44/12</f>
        <v>3.7728705508523717E-2</v>
      </c>
      <c r="CN21" s="24">
        <f t="shared" si="12"/>
        <v>10.126508319579635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>
        <f>CT21*VLOOKUP('Données projet'!$B$13,Paramètres!$A$1:$I$89,3,0)*VLOOKUP('Données projet'!$B$13,Paramètres!$A$1:$I$89,5,0)</f>
        <v>0</v>
      </c>
      <c r="CV21" s="14" t="e">
        <f t="shared" si="41"/>
        <v>#NUM!</v>
      </c>
      <c r="CW21" s="22" t="e">
        <f t="shared" si="13"/>
        <v>#NUM!</v>
      </c>
      <c r="CX21" s="62" t="e">
        <f t="shared" si="14"/>
        <v>#NUM!</v>
      </c>
      <c r="CY21" s="62">
        <f ca="1">AVERAGE(OFFSET($CX$3,0,0,'Données projet'!$E$13+1,1))-AVERAGE(OFFSET($H$3,0,0,'Données projet'!$E$13+1,1))</f>
        <v>93.836028041880496</v>
      </c>
      <c r="CZ21" s="62">
        <f t="shared" si="42"/>
        <v>465.96044964631358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102.25454820964785</v>
      </c>
      <c r="DG21" s="23">
        <f>EXP(-LN(2)/25)*DG20+(1-EXP(-LN(2)/25))/(LN(2)/25)*Calculateur!DB21*Calculateur!DD21*VLOOKUP('Données projet'!$B$13,Paramètres!$A$1:$I$89,3,0)*0.475*44/12</f>
        <v>25.262070449362167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127.51661865901002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11.333333333333334</v>
      </c>
      <c r="DO21" s="13">
        <f>IF('Données projet'!$A$166&gt;35,DO20+DN21-DW20,IF(A21&lt;'Données projet'!$A$166,$DL$205^A21,IF(A21='Données projet'!$A$166,'Données projet'!$B$166,DO20+DN21-DW20)))</f>
        <v>114.33333333333334</v>
      </c>
      <c r="DP21" s="18">
        <f>DO21*VLOOKUP('Données projet'!$B$14,Paramètres!$A$1:$I$89,3,0)*VLOOKUP('Données projet'!$B$14,Paramètres!$A$1:$I$89,5,0)</f>
        <v>68.37133333333334</v>
      </c>
      <c r="DQ21" s="14">
        <f t="shared" si="43"/>
        <v>19.268449754335993</v>
      </c>
      <c r="DR21" s="22">
        <f t="shared" si="16"/>
        <v>152.63928887769075</v>
      </c>
      <c r="DS21" s="62">
        <f t="shared" si="17"/>
        <v>329.62203906286885</v>
      </c>
      <c r="DT21" s="62">
        <f ca="1">AVERAGE(OFFSET($DS$3,0,0,'Données projet'!$E$14+1,1))-AVERAGE(OFFSET($H$3,0,0,'Données projet'!$E$14+1,1))</f>
        <v>386.56102661082468</v>
      </c>
      <c r="DU21" s="62">
        <f t="shared" si="44"/>
        <v>410.28336627719011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7.1814639450707176</v>
      </c>
      <c r="ED21" s="24">
        <f t="shared" si="18"/>
        <v>7.1814639450707176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299.72603632191687</v>
      </c>
      <c r="S22" s="62">
        <f ca="1">AVERAGE(OFFSET($R$3,0,0,'Données projet'!$E$9+1,1))-AVERAGE(OFFSET($H$3,0,0,'Données projet'!$E$9+1,1))</f>
        <v>499.92116338695428</v>
      </c>
      <c r="T22" s="62">
        <f t="shared" si="34"/>
        <v>316.79403154855652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395.64532625655829</v>
      </c>
      <c r="AN22" s="62">
        <f ca="1">AVERAGE(OFFSET($AM$3,0,0,'Données projet'!$E$10+1,1))-AVERAGE(OFFSET($H$3,0,0,'Données projet'!$E$10+1,1))</f>
        <v>225.71928466161592</v>
      </c>
      <c r="AO22" s="62">
        <f t="shared" si="36"/>
        <v>385.98818770742025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17.8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85.992400000000004</v>
      </c>
      <c r="BF22" s="14">
        <f t="shared" si="37"/>
        <v>23.596141005324462</v>
      </c>
      <c r="BG22" s="22">
        <f t="shared" si="7"/>
        <v>190.86670891760676</v>
      </c>
      <c r="BH22" s="62">
        <f t="shared" si="8"/>
        <v>370.83566994478031</v>
      </c>
      <c r="BI22" s="62">
        <f ca="1">AVERAGE(OFFSET($BH$3,0,0,'Données projet'!$E$11+1,1))-AVERAGE(OFFSET($H$3,0,0,'Données projet'!$E$11+1,1))</f>
        <v>211.70619219850786</v>
      </c>
      <c r="BJ22" s="62">
        <f t="shared" si="38"/>
        <v>426.883837098247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3.499783644080209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16.732690088864331</v>
      </c>
      <c r="BS22" s="24">
        <f t="shared" si="9"/>
        <v>20.232473732944541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9.8000000000000007</v>
      </c>
      <c r="BY22" s="13">
        <f>IF('Données projet'!$A$114&gt;35,BY21+BX22-CG21,IF(A22&lt;'Données projet'!$A$114,$BV$205^A22,IF(A22='Données projet'!$A$114,'Données projet'!$B$114,BY21+BX22-CG21)))</f>
        <v>135.19999999999999</v>
      </c>
      <c r="BZ22" s="14">
        <f>BY22*VLOOKUP('Données projet'!$B$12,Paramètres!$A$1:$I$89,3,0)*VLOOKUP('Données projet'!$B$12,Paramètres!$A$1:$I$89,5,0)</f>
        <v>122.32895999999998</v>
      </c>
      <c r="CA22" s="14">
        <f t="shared" si="39"/>
        <v>32.217581794883031</v>
      </c>
      <c r="CB22" s="22">
        <f t="shared" si="10"/>
        <v>269.16856029275453</v>
      </c>
      <c r="CC22" s="62">
        <f t="shared" si="11"/>
        <v>449.13752131992811</v>
      </c>
      <c r="CD22" s="62">
        <f ca="1">AVERAGE(OFFSET($CC$3,0,0,'Données projet'!$E$12+1,1))-AVERAGE(OFFSET($H$3,0,0,'Données projet'!$E$12+1,1))</f>
        <v>327.07074355218322</v>
      </c>
      <c r="CE22" s="62">
        <f t="shared" si="40"/>
        <v>462.01668587029087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7.988285885524375</v>
      </c>
      <c r="CL22" s="23">
        <f>EXP(-LN(2)/25)*CL21+(1-EXP(-LN(2)/25))/(LN(2)/25)*Calculateur!CG22*Calculateur!CI22*VLOOKUP('Données projet'!$B$12,Paramètres!$A$1:$I$89,3,0)*0.475*44/12</f>
        <v>1.8876461963669566</v>
      </c>
      <c r="CM22" s="23">
        <f>EXP(-LN(2)/2)*CM21+(1-EXP(-LN(2)/2))/(LN(2)/2)*CG22*CJ22*VLOOKUP('Données projet'!$B$12,Paramètres!$A$1:$I$89,3,0)*0.475*44/12</f>
        <v>2.6678223510467371E-2</v>
      </c>
      <c r="CN22" s="24">
        <f t="shared" si="12"/>
        <v>9.9026103054017991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>
        <f>CT22*VLOOKUP('Données projet'!$B$13,Paramètres!$A$1:$I$89,3,0)*VLOOKUP('Données projet'!$B$13,Paramètres!$A$1:$I$89,5,0)</f>
        <v>0</v>
      </c>
      <c r="CV22" s="14" t="e">
        <f t="shared" si="41"/>
        <v>#NUM!</v>
      </c>
      <c r="CW22" s="22" t="e">
        <f t="shared" si="13"/>
        <v>#NUM!</v>
      </c>
      <c r="CX22" s="62" t="e">
        <f t="shared" si="14"/>
        <v>#NUM!</v>
      </c>
      <c r="CY22" s="62">
        <f ca="1">AVERAGE(OFFSET($CX$3,0,0,'Données projet'!$E$13+1,1))-AVERAGE(OFFSET($H$3,0,0,'Données projet'!$E$13+1,1))</f>
        <v>93.836028041880496</v>
      </c>
      <c r="CZ22" s="62">
        <f t="shared" si="42"/>
        <v>465.96044964631358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100.24939888837262</v>
      </c>
      <c r="DG22" s="23">
        <f>EXP(-LN(2)/25)*DG21+(1-EXP(-LN(2)/25))/(LN(2)/25)*Calculateur!DB22*Calculateur!DD22*VLOOKUP('Données projet'!$B$13,Paramètres!$A$1:$I$89,3,0)*0.475*44/12</f>
        <v>24.57127780444981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124.82067669282243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11.333333333333334</v>
      </c>
      <c r="DO22" s="13">
        <f>IF('Données projet'!$A$166&gt;35,DO21+DN22-DW21,IF(A22&lt;'Données projet'!$A$166,$DL$205^A22,IF(A22='Données projet'!$A$166,'Données projet'!$B$166,DO21+DN22-DW21)))</f>
        <v>125.66666666666667</v>
      </c>
      <c r="DP22" s="18">
        <f>DO22*VLOOKUP('Données projet'!$B$14,Paramètres!$A$1:$I$89,3,0)*VLOOKUP('Données projet'!$B$14,Paramètres!$A$1:$I$89,5,0)</f>
        <v>75.148666666666671</v>
      </c>
      <c r="DQ22" s="14">
        <f t="shared" si="43"/>
        <v>20.946723857947624</v>
      </c>
      <c r="DR22" s="22">
        <f t="shared" si="16"/>
        <v>167.36613849703656</v>
      </c>
      <c r="DS22" s="62">
        <f t="shared" si="17"/>
        <v>347.33509952421014</v>
      </c>
      <c r="DT22" s="62">
        <f ca="1">AVERAGE(OFFSET($DS$3,0,0,'Données projet'!$E$14+1,1))-AVERAGE(OFFSET($H$3,0,0,'Données projet'!$E$14+1,1))</f>
        <v>386.56102661082468</v>
      </c>
      <c r="DU22" s="62">
        <f t="shared" si="44"/>
        <v>410.28336627719011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5.0780618544062008</v>
      </c>
      <c r="ED22" s="24">
        <f t="shared" si="18"/>
        <v>5.0780618544062008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330.51295481465081</v>
      </c>
      <c r="S23" s="62">
        <f ca="1">AVERAGE(OFFSET($R$3,0,0,'Données projet'!$E$9+1,1))-AVERAGE(OFFSET($H$3,0,0,'Données projet'!$E$9+1,1))</f>
        <v>499.92116338695428</v>
      </c>
      <c r="T23" s="62">
        <f t="shared" si="34"/>
        <v>316.79403154855652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1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5.1222189140097312</v>
      </c>
      <c r="AC23" s="24">
        <f t="shared" si="3"/>
        <v>5.1222189140097312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368.22499308565546</v>
      </c>
      <c r="AN23" s="62">
        <f ca="1">AVERAGE(OFFSET($AM$3,0,0,'Données projet'!$E$10+1,1))-AVERAGE(OFFSET($H$3,0,0,'Données projet'!$E$10+1,1))</f>
        <v>225.71928466161592</v>
      </c>
      <c r="AO23" s="62">
        <f t="shared" si="36"/>
        <v>385.98818770742025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17.8</v>
      </c>
      <c r="BD23" s="13">
        <f>IF('Données projet'!$A$88&gt;35,BD22+BC23-BL22,IF(A23&lt;'Données projet'!$A$88,$BA$205^A23,IF(A23='Données projet'!$A$88,'Données projet'!$B$88,BD22+BC23-BL22)))</f>
        <v>161.6</v>
      </c>
      <c r="BE23" s="14">
        <f>BD23*VLOOKUP('Données projet'!$B$11,Paramètres!$A$1:$I$89,3,0)*VLOOKUP('Données projet'!$B$11,Paramètres!$A$1:$I$89,5,0)</f>
        <v>96.636800000000008</v>
      </c>
      <c r="BF23" s="14">
        <f t="shared" si="37"/>
        <v>26.159173215164081</v>
      </c>
      <c r="BG23" s="22">
        <f t="shared" si="7"/>
        <v>213.86965334974411</v>
      </c>
      <c r="BH23" s="62">
        <f t="shared" si="8"/>
        <v>396.79422396004782</v>
      </c>
      <c r="BI23" s="62">
        <f ca="1">AVERAGE(OFFSET($BH$3,0,0,'Données projet'!$E$11+1,1))-AVERAGE(OFFSET($H$3,0,0,'Données projet'!$E$11+1,1))</f>
        <v>211.70619219850786</v>
      </c>
      <c r="BJ23" s="62">
        <f t="shared" si="38"/>
        <v>426.883837098247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3.4311550214770392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11.831798629328903</v>
      </c>
      <c r="BS23" s="24">
        <f t="shared" si="9"/>
        <v>15.262953650805942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145</v>
      </c>
      <c r="BW23" s="13">
        <f>VLOOKUP(A23,'Données projet'!$A$113:$I$133,9,0)</f>
        <v>9.8000000000000007</v>
      </c>
      <c r="BX23" s="13">
        <f t="array" ref="BX23">INDEX(BW:BW,MIN(IF(ISNUMBER(BW23:BW219),ROW(BW23:BW219),"")))</f>
        <v>9.8000000000000007</v>
      </c>
      <c r="BY23" s="13">
        <f>IF('Données projet'!$A$114&gt;35,BY22+BX23-CG22,IF(A23&lt;'Données projet'!$A$114,$BV$205^A23,IF(A23='Données projet'!$A$114,'Données projet'!$B$114,BY22+BX23-CG22)))</f>
        <v>145</v>
      </c>
      <c r="BZ23" s="14">
        <f>BY23*VLOOKUP('Données projet'!$B$12,Paramètres!$A$1:$I$89,3,0)*VLOOKUP('Données projet'!$B$12,Paramètres!$A$1:$I$89,5,0)</f>
        <v>131.196</v>
      </c>
      <c r="CA23" s="14">
        <f t="shared" si="39"/>
        <v>34.272572346624997</v>
      </c>
      <c r="CB23" s="22">
        <f t="shared" si="10"/>
        <v>288.19109683703851</v>
      </c>
      <c r="CC23" s="62">
        <f t="shared" si="11"/>
        <v>471.11566744734222</v>
      </c>
      <c r="CD23" s="62">
        <f ca="1">AVERAGE(OFFSET($CC$3,0,0,'Données projet'!$E$12+1,1))-AVERAGE(OFFSET($H$3,0,0,'Données projet'!$E$12+1,1))</f>
        <v>327.07074355218322</v>
      </c>
      <c r="CE23" s="62">
        <f t="shared" si="40"/>
        <v>462.01668587029087</v>
      </c>
      <c r="CF23" s="16">
        <f>IF(ISNA(VLOOKUP(A23,'Données projet'!$A$113:$I$133,3,0)),0,VLOOKUP(A23,'Données projet'!$A$113:$I$133,3,0))</f>
        <v>4</v>
      </c>
      <c r="CG23" s="16">
        <f>IF(ISNA(VLOOKUP(A23,'Données projet'!$A$113:$I$133,4,0)),0,VLOOKUP(A23,'Données projet'!$A$113:$I$133,4,0))</f>
        <v>14</v>
      </c>
      <c r="CH23" s="17">
        <f>IF(ISNA(VLOOKUP(A23,'Données projet'!$A$113:$I$133,5,0)),0%,VLOOKUP(A23,'Données projet'!$A$113:$I$133,5,0)*VLOOKUP('Données projet'!$B$12,Paramètres!$A$1:$I$89,7,0))</f>
        <v>0.24</v>
      </c>
      <c r="CI23" s="17">
        <f>IF(ISNA(VLOOKUP(A23,'Données projet'!$A$113:$I$133,6,0)),0%,VLOOKUP(A23,'Données projet'!$A$113:$I$133,6,0)*VLOOKUP('Données projet'!$B$12,Paramètres!$A$1:$I$89,7,0))</f>
        <v>0.06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11.192411925671273</v>
      </c>
      <c r="CL23" s="23">
        <f>EXP(-LN(2)/25)*CL22+(1-EXP(-LN(2)/25))/(LN(2)/25)*Calculateur!CG23*Calculateur!CI23*VLOOKUP('Données projet'!$B$12,Paramètres!$A$1:$I$89,3,0)*0.475*44/12</f>
        <v>2.6729131159153221</v>
      </c>
      <c r="CM23" s="23">
        <f>EXP(-LN(2)/2)*CM22+(1-EXP(-LN(2)/2))/(LN(2)/2)*CG23*CJ23*VLOOKUP('Données projet'!$B$12,Paramètres!$A$1:$I$89,3,0)*0.475*44/12</f>
        <v>1.8864352754261859E-2</v>
      </c>
      <c r="CN23" s="24">
        <f t="shared" si="12"/>
        <v>13.884189394340856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>
        <f>CT23*VLOOKUP('Données projet'!$B$13,Paramètres!$A$1:$I$89,3,0)*VLOOKUP('Données projet'!$B$13,Paramètres!$A$1:$I$89,5,0)</f>
        <v>0</v>
      </c>
      <c r="CV23" s="14" t="e">
        <f t="shared" si="41"/>
        <v>#NUM!</v>
      </c>
      <c r="CW23" s="22" t="e">
        <f t="shared" si="13"/>
        <v>#NUM!</v>
      </c>
      <c r="CX23" s="62" t="e">
        <f t="shared" si="14"/>
        <v>#NUM!</v>
      </c>
      <c r="CY23" s="62">
        <f ca="1">AVERAGE(OFFSET($CX$3,0,0,'Données projet'!$E$13+1,1))-AVERAGE(OFFSET($H$3,0,0,'Données projet'!$E$13+1,1))</f>
        <v>93.836028041880496</v>
      </c>
      <c r="CZ23" s="62">
        <f t="shared" si="42"/>
        <v>465.96044964631358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98.283569322267283</v>
      </c>
      <c r="DG23" s="23">
        <f>EXP(-LN(2)/25)*DG22+(1-EXP(-LN(2)/25))/(LN(2)/25)*Calculateur!DB23*Calculateur!DD23*VLOOKUP('Données projet'!$B$13,Paramètres!$A$1:$I$89,3,0)*0.475*44/12</f>
        <v>23.899374920739788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122.18294424300707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137</v>
      </c>
      <c r="DM23" s="13">
        <f>VLOOKUP(A23,'Données projet'!$A$165:$I$185,9,0)</f>
        <v>11.333333333333334</v>
      </c>
      <c r="DN23" s="13">
        <f t="array" ref="DN23">INDEX(DM:DM,MIN(IF(ISNUMBER(DM23:DM219),ROW(DM23:DM219),"")))</f>
        <v>11.333333333333334</v>
      </c>
      <c r="DO23" s="13">
        <f>IF('Données projet'!$A$166&gt;35,DO22+DN23-DW22,IF(A23&lt;'Données projet'!$A$166,$DL$205^A23,IF(A23='Données projet'!$A$166,'Données projet'!$B$166,DO22+DN23-DW22)))</f>
        <v>137</v>
      </c>
      <c r="DP23" s="18">
        <f>DO23*VLOOKUP('Données projet'!$B$14,Paramètres!$A$1:$I$89,3,0)*VLOOKUP('Données projet'!$B$14,Paramètres!$A$1:$I$89,5,0)</f>
        <v>81.926000000000002</v>
      </c>
      <c r="DQ23" s="14">
        <f t="shared" si="43"/>
        <v>22.607447146245146</v>
      </c>
      <c r="DR23" s="22">
        <f t="shared" si="16"/>
        <v>182.06242044637693</v>
      </c>
      <c r="DS23" s="62">
        <f t="shared" si="17"/>
        <v>364.98699105668061</v>
      </c>
      <c r="DT23" s="62">
        <f ca="1">AVERAGE(OFFSET($DS$3,0,0,'Données projet'!$E$14+1,1))-AVERAGE(OFFSET($H$3,0,0,'Données projet'!$E$14+1,1))</f>
        <v>386.56102661082468</v>
      </c>
      <c r="DU23" s="62">
        <f t="shared" si="44"/>
        <v>410.28336627719011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15</v>
      </c>
      <c r="DX23" s="17">
        <f>IF(ISNA(VLOOKUP(A23,'Données projet'!$A$165:$I$185,5,0)),0%,VLOOKUP(A23,'Données projet'!$A$165:$I$185,5,0)*VLOOKUP('Données projet'!$B$14,Paramètres!$A$1:$I$89,7,0))</f>
        <v>0.13500000000000001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0.7</v>
      </c>
      <c r="EA23" s="23">
        <f>EXP(-LN(2)/35)*EA22+(1-EXP(-LN(2)/35))/(LN(2)/35)*DW23*DX23*VLOOKUP('Données projet'!$B$14,Paramètres!$A$1:$I$89,3,0)*0.475*44/12</f>
        <v>1.6064032273145115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10.700018568704039</v>
      </c>
      <c r="ED23" s="24">
        <f t="shared" si="18"/>
        <v>12.306421796018551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335.80187171302077</v>
      </c>
      <c r="S24" s="62">
        <f ca="1">AVERAGE(OFFSET($R$3,0,0,'Données projet'!$E$9+1,1))-AVERAGE(OFFSET($H$3,0,0,'Données projet'!$E$9+1,1))</f>
        <v>499.92116338695428</v>
      </c>
      <c r="T24" s="62">
        <f t="shared" si="34"/>
        <v>316.79403154855652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3.6219557288182744</v>
      </c>
      <c r="AC24" s="24">
        <f t="shared" si="3"/>
        <v>3.6219557288182744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392.48936393357542</v>
      </c>
      <c r="AN24" s="62">
        <f ca="1">AVERAGE(OFFSET($AM$3,0,0,'Données projet'!$E$10+1,1))-AVERAGE(OFFSET($H$3,0,0,'Données projet'!$E$10+1,1))</f>
        <v>225.71928466161592</v>
      </c>
      <c r="AO24" s="62">
        <f t="shared" si="36"/>
        <v>385.98818770742025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179.4</v>
      </c>
      <c r="BE24" s="14">
        <f>BD24*VLOOKUP('Données projet'!$B$11,Paramètres!$A$1:$I$89,3,0)*VLOOKUP('Données projet'!$B$11,Paramètres!$A$1:$I$89,5,0)</f>
        <v>107.2812</v>
      </c>
      <c r="BF24" s="14">
        <f t="shared" si="37"/>
        <v>28.68948404302737</v>
      </c>
      <c r="BG24" s="22">
        <f t="shared" si="7"/>
        <v>236.81560804160597</v>
      </c>
      <c r="BH24" s="62">
        <f t="shared" si="8"/>
        <v>422.66571783960171</v>
      </c>
      <c r="BI24" s="62">
        <f ca="1">AVERAGE(OFFSET($BH$3,0,0,'Données projet'!$E$11+1,1))-AVERAGE(OFFSET($H$3,0,0,'Données projet'!$E$11+1,1))</f>
        <v>211.70619219850786</v>
      </c>
      <c r="BJ24" s="62">
        <f t="shared" si="38"/>
        <v>426.883837098247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3.3638721643037908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8.3663450444321654</v>
      </c>
      <c r="BS24" s="24">
        <f t="shared" si="9"/>
        <v>11.730217208735956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8.4</v>
      </c>
      <c r="BY24" s="13">
        <f>IF('Données projet'!$A$114&gt;35,BY23+BX24-CG23,IF(A24&lt;'Données projet'!$A$114,$BV$205^A24,IF(A24='Données projet'!$A$114,'Données projet'!$B$114,BY23+BX24-CG23)))</f>
        <v>139.4</v>
      </c>
      <c r="BZ24" s="14">
        <f>BY24*VLOOKUP('Données projet'!$B$12,Paramètres!$A$1:$I$89,3,0)*VLOOKUP('Données projet'!$B$12,Paramètres!$A$1:$I$89,5,0)</f>
        <v>126.12912000000001</v>
      </c>
      <c r="CA24" s="14">
        <f t="shared" si="39"/>
        <v>33.100345121748241</v>
      </c>
      <c r="CB24" s="22">
        <f t="shared" si="10"/>
        <v>277.32465175371152</v>
      </c>
      <c r="CC24" s="62">
        <f t="shared" si="11"/>
        <v>463.17476155170721</v>
      </c>
      <c r="CD24" s="62">
        <f ca="1">AVERAGE(OFFSET($CC$3,0,0,'Données projet'!$E$12+1,1))-AVERAGE(OFFSET($H$3,0,0,'Données projet'!$E$12+1,1))</f>
        <v>327.07074355218322</v>
      </c>
      <c r="CE24" s="62">
        <f t="shared" si="40"/>
        <v>462.01668587029087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10.972935554506053</v>
      </c>
      <c r="CL24" s="23">
        <f>EXP(-LN(2)/25)*CL23+(1-EXP(-LN(2)/25))/(LN(2)/25)*Calculateur!CG24*Calculateur!CI24*VLOOKUP('Données projet'!$B$12,Paramètres!$A$1:$I$89,3,0)*0.475*44/12</f>
        <v>2.5998221661982259</v>
      </c>
      <c r="CM24" s="23">
        <f>EXP(-LN(2)/2)*CM23+(1-EXP(-LN(2)/2))/(LN(2)/2)*CG24*CJ24*VLOOKUP('Données projet'!$B$12,Paramètres!$A$1:$I$89,3,0)*0.475*44/12</f>
        <v>1.3339111755233685E-2</v>
      </c>
      <c r="CN24" s="24">
        <f t="shared" si="12"/>
        <v>13.586096832459512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>
        <f>CT24*VLOOKUP('Données projet'!$B$13,Paramètres!$A$1:$I$89,3,0)*VLOOKUP('Données projet'!$B$13,Paramètres!$A$1:$I$89,5,0)</f>
        <v>0</v>
      </c>
      <c r="CV24" s="14" t="e">
        <f t="shared" si="41"/>
        <v>#NUM!</v>
      </c>
      <c r="CW24" s="22" t="e">
        <f t="shared" si="13"/>
        <v>#NUM!</v>
      </c>
      <c r="CX24" s="62" t="e">
        <f t="shared" si="14"/>
        <v>#NUM!</v>
      </c>
      <c r="CY24" s="62">
        <f ca="1">AVERAGE(OFFSET($CX$3,0,0,'Données projet'!$E$13+1,1))-AVERAGE(OFFSET($H$3,0,0,'Données projet'!$E$13+1,1))</f>
        <v>93.836028041880496</v>
      </c>
      <c r="CZ24" s="62">
        <f t="shared" si="42"/>
        <v>465.96044964631358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96.35628847491563</v>
      </c>
      <c r="DG24" s="23">
        <f>EXP(-LN(2)/25)*DG23+(1-EXP(-LN(2)/25))/(LN(2)/25)*Calculateur!DB24*Calculateur!DD24*VLOOKUP('Données projet'!$B$13,Paramètres!$A$1:$I$89,3,0)*0.475*44/12</f>
        <v>23.245845256718656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119.60213373163428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16.399999999999999</v>
      </c>
      <c r="DO24" s="13">
        <f>IF('Données projet'!$A$166&gt;35,DO23+DN24-DW23,IF(A24&lt;'Données projet'!$A$166,$DL$205^A24,IF(A24='Données projet'!$A$166,'Données projet'!$B$166,DO23+DN24-DW23)))</f>
        <v>138.4</v>
      </c>
      <c r="DP24" s="18">
        <f>DO24*VLOOKUP('Données projet'!$B$14,Paramètres!$A$1:$I$89,3,0)*VLOOKUP('Données projet'!$B$14,Paramètres!$A$1:$I$89,5,0)</f>
        <v>82.763200000000012</v>
      </c>
      <c r="DQ24" s="14">
        <f t="shared" si="43"/>
        <v>22.811459894537176</v>
      </c>
      <c r="DR24" s="22">
        <f t="shared" si="16"/>
        <v>183.8758659829856</v>
      </c>
      <c r="DS24" s="62">
        <f t="shared" si="17"/>
        <v>369.72597578098134</v>
      </c>
      <c r="DT24" s="62">
        <f ca="1">AVERAGE(OFFSET($DS$3,0,0,'Données projet'!$E$14+1,1))-AVERAGE(OFFSET($H$3,0,0,'Données projet'!$E$14+1,1))</f>
        <v>386.56102661082468</v>
      </c>
      <c r="DU24" s="62">
        <f t="shared" si="44"/>
        <v>410.28336627719011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1.5749026398360944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7.5660556887526029</v>
      </c>
      <c r="ED24" s="24">
        <f t="shared" si="18"/>
        <v>9.1409583285886971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352.86000654480995</v>
      </c>
      <c r="S25" s="62">
        <f ca="1">AVERAGE(OFFSET($R$3,0,0,'Données projet'!$E$9+1,1))-AVERAGE(OFFSET($H$3,0,0,'Données projet'!$E$9+1,1))</f>
        <v>499.92116338695428</v>
      </c>
      <c r="T25" s="62">
        <f t="shared" si="34"/>
        <v>316.79403154855652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2.561109457004866</v>
      </c>
      <c r="AC25" s="24">
        <f t="shared" si="3"/>
        <v>2.561109457004866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416.67325967171359</v>
      </c>
      <c r="AN25" s="62">
        <f ca="1">AVERAGE(OFFSET($AM$3,0,0,'Données projet'!$E$10+1,1))-AVERAGE(OFFSET($H$3,0,0,'Données projet'!$E$10+1,1))</f>
        <v>225.71928466161592</v>
      </c>
      <c r="AO25" s="62">
        <f t="shared" si="36"/>
        <v>385.98818770742025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197.20000000000002</v>
      </c>
      <c r="BE25" s="14">
        <f>BD25*VLOOKUP('Données projet'!$B$11,Paramètres!$A$1:$I$89,3,0)*VLOOKUP('Données projet'!$B$11,Paramètres!$A$1:$I$89,5,0)</f>
        <v>117.92560000000003</v>
      </c>
      <c r="BF25" s="14">
        <f t="shared" si="37"/>
        <v>31.190689636070587</v>
      </c>
      <c r="BG25" s="22">
        <f t="shared" si="7"/>
        <v>259.71087111615634</v>
      </c>
      <c r="BH25" s="62">
        <f t="shared" si="8"/>
        <v>448.45697136053934</v>
      </c>
      <c r="BI25" s="62">
        <f ca="1">AVERAGE(OFFSET($BH$3,0,0,'Données projet'!$E$11+1,1))-AVERAGE(OFFSET($H$3,0,0,'Données projet'!$E$11+1,1))</f>
        <v>211.70619219850786</v>
      </c>
      <c r="BJ25" s="62">
        <f t="shared" si="38"/>
        <v>426.883837098247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3.2979086829212192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5.9158993146644514</v>
      </c>
      <c r="BS25" s="24">
        <f t="shared" si="9"/>
        <v>9.2138079975856702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8.4</v>
      </c>
      <c r="BY25" s="13">
        <f>IF('Données projet'!$A$114&gt;35,BY24+BX25-CG24,IF(A25&lt;'Données projet'!$A$114,$BV$205^A25,IF(A25='Données projet'!$A$114,'Données projet'!$B$114,BY24+BX25-CG24)))</f>
        <v>147.80000000000001</v>
      </c>
      <c r="BZ25" s="14">
        <f>BY25*VLOOKUP('Données projet'!$B$12,Paramètres!$A$1:$I$89,3,0)*VLOOKUP('Données projet'!$B$12,Paramètres!$A$1:$I$89,5,0)</f>
        <v>133.72944000000001</v>
      </c>
      <c r="CA25" s="14">
        <f t="shared" si="39"/>
        <v>34.856699711744326</v>
      </c>
      <c r="CB25" s="22">
        <f t="shared" si="10"/>
        <v>293.62085999795471</v>
      </c>
      <c r="CC25" s="62">
        <f t="shared" si="11"/>
        <v>482.36696024233771</v>
      </c>
      <c r="CD25" s="62">
        <f ca="1">AVERAGE(OFFSET($CC$3,0,0,'Données projet'!$E$12+1,1))-AVERAGE(OFFSET($H$3,0,0,'Données projet'!$E$12+1,1))</f>
        <v>327.07074355218322</v>
      </c>
      <c r="CE25" s="62">
        <f t="shared" si="40"/>
        <v>462.01668587029087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10.757762981112016</v>
      </c>
      <c r="CL25" s="23">
        <f>EXP(-LN(2)/25)*CL24+(1-EXP(-LN(2)/25))/(LN(2)/25)*Calculateur!CG25*Calculateur!CI25*VLOOKUP('Données projet'!$B$12,Paramètres!$A$1:$I$89,3,0)*0.475*44/12</f>
        <v>2.5287298923448298</v>
      </c>
      <c r="CM25" s="23">
        <f>EXP(-LN(2)/2)*CM24+(1-EXP(-LN(2)/2))/(LN(2)/2)*CG25*CJ25*VLOOKUP('Données projet'!$B$12,Paramètres!$A$1:$I$89,3,0)*0.475*44/12</f>
        <v>9.4321763771309294E-3</v>
      </c>
      <c r="CN25" s="24">
        <f t="shared" si="12"/>
        <v>13.295925049833976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>
        <f>CT25*VLOOKUP('Données projet'!$B$13,Paramètres!$A$1:$I$89,3,0)*VLOOKUP('Données projet'!$B$13,Paramètres!$A$1:$I$89,5,0)</f>
        <v>0</v>
      </c>
      <c r="CV25" s="14" t="e">
        <f t="shared" si="41"/>
        <v>#NUM!</v>
      </c>
      <c r="CW25" s="22" t="e">
        <f t="shared" si="13"/>
        <v>#NUM!</v>
      </c>
      <c r="CX25" s="62" t="e">
        <f t="shared" si="14"/>
        <v>#NUM!</v>
      </c>
      <c r="CY25" s="62">
        <f ca="1">AVERAGE(OFFSET($CX$3,0,0,'Données projet'!$E$13+1,1))-AVERAGE(OFFSET($H$3,0,0,'Données projet'!$E$13+1,1))</f>
        <v>93.836028041880496</v>
      </c>
      <c r="CZ25" s="62">
        <f t="shared" si="42"/>
        <v>465.96044964631358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94.46680042945529</v>
      </c>
      <c r="DG25" s="23">
        <f>EXP(-LN(2)/25)*DG24+(1-EXP(-LN(2)/25))/(LN(2)/25)*Calculateur!DB25*Calculateur!DD25*VLOOKUP('Données projet'!$B$13,Paramètres!$A$1:$I$89,3,0)*0.475*44/12</f>
        <v>22.610186395727812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117.0769868251831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16.399999999999999</v>
      </c>
      <c r="DO25" s="13">
        <f>IF('Données projet'!$A$166&gt;35,DO24+DN25-DW24,IF(A25&lt;'Données projet'!$A$166,$DL$205^A25,IF(A25='Données projet'!$A$166,'Données projet'!$B$166,DO24+DN25-DW24)))</f>
        <v>154.80000000000001</v>
      </c>
      <c r="DP25" s="18">
        <f>DO25*VLOOKUP('Données projet'!$B$14,Paramètres!$A$1:$I$89,3,0)*VLOOKUP('Données projet'!$B$14,Paramètres!$A$1:$I$89,5,0)</f>
        <v>92.570400000000021</v>
      </c>
      <c r="DQ25" s="14">
        <f t="shared" si="43"/>
        <v>25.184123943972491</v>
      </c>
      <c r="DR25" s="22">
        <f t="shared" si="16"/>
        <v>205.0891292024188</v>
      </c>
      <c r="DS25" s="62">
        <f t="shared" si="17"/>
        <v>393.8352294468018</v>
      </c>
      <c r="DT25" s="62">
        <f ca="1">AVERAGE(OFFSET($DS$3,0,0,'Données projet'!$E$14+1,1))-AVERAGE(OFFSET($H$3,0,0,'Données projet'!$E$14+1,1))</f>
        <v>386.56102661082468</v>
      </c>
      <c r="DU25" s="62">
        <f t="shared" si="44"/>
        <v>410.28336627719011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1.5440197596646679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5.3500092843520202</v>
      </c>
      <c r="ED25" s="24">
        <f t="shared" si="18"/>
        <v>6.8940290440166878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369.86022170678268</v>
      </c>
      <c r="S26" s="62">
        <f ca="1">AVERAGE(OFFSET($R$3,0,0,'Données projet'!$E$9+1,1))-AVERAGE(OFFSET($H$3,0,0,'Données projet'!$E$9+1,1))</f>
        <v>499.92116338695428</v>
      </c>
      <c r="T26" s="62">
        <f t="shared" si="34"/>
        <v>316.79403154855652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1.8109778644091374</v>
      </c>
      <c r="AC26" s="24">
        <f t="shared" si="3"/>
        <v>1.8109778644091374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440.78261834765118</v>
      </c>
      <c r="AN26" s="62">
        <f ca="1">AVERAGE(OFFSET($AM$3,0,0,'Données projet'!$E$10+1,1))-AVERAGE(OFFSET($H$3,0,0,'Données projet'!$E$10+1,1))</f>
        <v>225.71928466161592</v>
      </c>
      <c r="AO26" s="62">
        <f t="shared" si="36"/>
        <v>385.98818770742025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215</v>
      </c>
      <c r="BB26" s="13">
        <f>VLOOKUP(A26,'Données projet'!$A$87:$I$107,9,0)</f>
        <v>17.8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215.00000000000003</v>
      </c>
      <c r="BE26" s="14">
        <f>BD26*VLOOKUP('Données projet'!$B$11,Paramètres!$A$1:$I$89,3,0)*VLOOKUP('Données projet'!$B$11,Paramètres!$A$1:$I$89,5,0)</f>
        <v>128.57000000000002</v>
      </c>
      <c r="BF26" s="14">
        <f t="shared" si="37"/>
        <v>33.665715905233277</v>
      </c>
      <c r="BG26" s="22">
        <f t="shared" si="7"/>
        <v>282.56053853494797</v>
      </c>
      <c r="BH26" s="62">
        <f t="shared" si="8"/>
        <v>474.17359308901416</v>
      </c>
      <c r="BI26" s="62">
        <f ca="1">AVERAGE(OFFSET($BH$3,0,0,'Données projet'!$E$11+1,1))-AVERAGE(OFFSET($H$3,0,0,'Données projet'!$E$11+1,1))</f>
        <v>211.70619219850786</v>
      </c>
      <c r="BJ26" s="62">
        <f t="shared" si="38"/>
        <v>426.883837098247</v>
      </c>
      <c r="BK26" s="16">
        <f>IF(ISNA(VLOOKUP(A26,'Données projet'!$A$87:$I$107,3,0)),0,VLOOKUP(A26,'Données projet'!$A$87:$I$107,3,0))</f>
        <v>3</v>
      </c>
      <c r="BL26" s="16">
        <f>IF(ISNA(VLOOKUP(A26,'Données projet'!$A$87:$I$107,4,0)),0,VLOOKUP(A26,'Données projet'!$A$87:$I$107,4,0))</f>
        <v>52</v>
      </c>
      <c r="BM26" s="17">
        <f>IF(ISNA(VLOOKUP(A26,'Données projet'!$A$87:$I$107,5,0)),0%,VLOOKUP(A26,'Données projet'!$A$87:$I$107,5,0)*VLOOKUP('Données projet'!$B$11,Paramètres!$A$1:$I$89,7,0))</f>
        <v>0.22500000000000001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12.514679574103097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21.787120284157577</v>
      </c>
      <c r="BS26" s="24">
        <f t="shared" si="9"/>
        <v>34.301799858260672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8.4</v>
      </c>
      <c r="BY26" s="13">
        <f>IF('Données projet'!$A$114&gt;35,BY25+BX26-CG25,IF(A26&lt;'Données projet'!$A$114,$BV$205^A26,IF(A26='Données projet'!$A$114,'Données projet'!$B$114,BY25+BX26-CG25)))</f>
        <v>156.20000000000002</v>
      </c>
      <c r="BZ26" s="14">
        <f>BY26*VLOOKUP('Données projet'!$B$12,Paramètres!$A$1:$I$89,3,0)*VLOOKUP('Données projet'!$B$12,Paramètres!$A$1:$I$89,5,0)</f>
        <v>141.32976000000002</v>
      </c>
      <c r="CA26" s="14">
        <f t="shared" si="39"/>
        <v>36.601467030988793</v>
      </c>
      <c r="CB26" s="22">
        <f t="shared" si="10"/>
        <v>309.89688707897216</v>
      </c>
      <c r="CC26" s="62">
        <f t="shared" si="11"/>
        <v>501.50994163303835</v>
      </c>
      <c r="CD26" s="62">
        <f ca="1">AVERAGE(OFFSET($CC$3,0,0,'Données projet'!$E$12+1,1))-AVERAGE(OFFSET($H$3,0,0,'Données projet'!$E$12+1,1))</f>
        <v>327.07074355218322</v>
      </c>
      <c r="CE26" s="62">
        <f t="shared" si="40"/>
        <v>462.01668587029087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10.546809810639925</v>
      </c>
      <c r="CL26" s="23">
        <f>EXP(-LN(2)/25)*CL25+(1-EXP(-LN(2)/25))/(LN(2)/25)*Calculateur!CG26*Calculateur!CI26*VLOOKUP('Données projet'!$B$12,Paramètres!$A$1:$I$89,3,0)*0.475*44/12</f>
        <v>2.4595816404585351</v>
      </c>
      <c r="CM26" s="23">
        <f>EXP(-LN(2)/2)*CM25+(1-EXP(-LN(2)/2))/(LN(2)/2)*CG26*CJ26*VLOOKUP('Données projet'!$B$12,Paramètres!$A$1:$I$89,3,0)*0.475*44/12</f>
        <v>6.6695558776168427E-3</v>
      </c>
      <c r="CN26" s="24">
        <f t="shared" si="12"/>
        <v>13.013061006976075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>
        <f>CT26*VLOOKUP('Données projet'!$B$13,Paramètres!$A$1:$I$89,3,0)*VLOOKUP('Données projet'!$B$13,Paramètres!$A$1:$I$89,5,0)</f>
        <v>0</v>
      </c>
      <c r="CV26" s="14" t="e">
        <f t="shared" si="41"/>
        <v>#NUM!</v>
      </c>
      <c r="CW26" s="22" t="e">
        <f t="shared" si="13"/>
        <v>#NUM!</v>
      </c>
      <c r="CX26" s="62" t="e">
        <f t="shared" si="14"/>
        <v>#NUM!</v>
      </c>
      <c r="CY26" s="62">
        <f ca="1">AVERAGE(OFFSET($CX$3,0,0,'Données projet'!$E$13+1,1))-AVERAGE(OFFSET($H$3,0,0,'Données projet'!$E$13+1,1))</f>
        <v>93.836028041880496</v>
      </c>
      <c r="CZ26" s="62">
        <f t="shared" si="42"/>
        <v>465.96044964631358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92.614364092092529</v>
      </c>
      <c r="DG26" s="23">
        <f>EXP(-LN(2)/25)*DG25+(1-EXP(-LN(2)/25))/(LN(2)/25)*Calculateur!DB26*Calculateur!DD26*VLOOKUP('Données projet'!$B$13,Paramètres!$A$1:$I$89,3,0)*0.475*44/12</f>
        <v>21.991909659718608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114.60627375181113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16.399999999999999</v>
      </c>
      <c r="DO26" s="13">
        <f>IF('Données projet'!$A$166&gt;35,DO25+DN26-DW25,IF(A26&lt;'Données projet'!$A$166,$DL$205^A26,IF(A26='Données projet'!$A$166,'Données projet'!$B$166,DO25+DN26-DW25)))</f>
        <v>171.20000000000002</v>
      </c>
      <c r="DP26" s="18">
        <f>DO26*VLOOKUP('Données projet'!$B$14,Paramètres!$A$1:$I$89,3,0)*VLOOKUP('Données projet'!$B$14,Paramètres!$A$1:$I$89,5,0)</f>
        <v>102.37760000000002</v>
      </c>
      <c r="DQ26" s="14">
        <f t="shared" si="43"/>
        <v>27.527651005505614</v>
      </c>
      <c r="DR26" s="22">
        <f t="shared" si="16"/>
        <v>226.25164550125564</v>
      </c>
      <c r="DS26" s="62">
        <f t="shared" si="17"/>
        <v>417.86470005532186</v>
      </c>
      <c r="DT26" s="62">
        <f ca="1">AVERAGE(OFFSET($DS$3,0,0,'Données projet'!$E$14+1,1))-AVERAGE(OFFSET($H$3,0,0,'Données projet'!$E$14+1,1))</f>
        <v>386.56102661082468</v>
      </c>
      <c r="DU26" s="62">
        <f t="shared" si="44"/>
        <v>410.28336627719011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1.5137424739367062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3.7830278443763019</v>
      </c>
      <c r="ED26" s="24">
        <f t="shared" si="18"/>
        <v>5.2967703183130084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386.80563495778586</v>
      </c>
      <c r="S27" s="62">
        <f ca="1">AVERAGE(OFFSET($R$3,0,0,'Données projet'!$E$9+1,1))-AVERAGE(OFFSET($H$3,0,0,'Données projet'!$E$9+1,1))</f>
        <v>499.92116338695428</v>
      </c>
      <c r="T27" s="62">
        <f t="shared" si="34"/>
        <v>316.79403154855652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1.2805547285024332</v>
      </c>
      <c r="AC27" s="24">
        <f t="shared" si="3"/>
        <v>1.2805547285024332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464.82236764263223</v>
      </c>
      <c r="AN27" s="62">
        <f ca="1">AVERAGE(OFFSET($AM$3,0,0,'Données projet'!$E$10+1,1))-AVERAGE(OFFSET($H$3,0,0,'Données projet'!$E$10+1,1))</f>
        <v>225.71928466161592</v>
      </c>
      <c r="AO27" s="62">
        <f t="shared" si="36"/>
        <v>385.98818770742025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15.142857142857142</v>
      </c>
      <c r="BD27" s="13">
        <f>IF('Données projet'!$A$88&gt;35,BD26+BC27-BL26,IF(A27&lt;'Données projet'!$A$88,$BA$205^A27,IF(A27='Données projet'!$A$88,'Données projet'!$B$88,BD26+BC27-BL26)))</f>
        <v>178.14285714285717</v>
      </c>
      <c r="BE27" s="14">
        <f>BD27*VLOOKUP('Données projet'!$B$11,Paramètres!$A$1:$I$89,3,0)*VLOOKUP('Données projet'!$B$11,Paramètres!$A$1:$I$89,5,0)</f>
        <v>106.5294285714286</v>
      </c>
      <c r="BF27" s="14">
        <f t="shared" si="37"/>
        <v>28.511771457031461</v>
      </c>
      <c r="BG27" s="22">
        <f t="shared" si="7"/>
        <v>235.19675671623455</v>
      </c>
      <c r="BH27" s="62">
        <f t="shared" si="8"/>
        <v>429.64823315533664</v>
      </c>
      <c r="BI27" s="62">
        <f ca="1">AVERAGE(OFFSET($BH$3,0,0,'Données projet'!$E$11+1,1))-AVERAGE(OFFSET($H$3,0,0,'Données projet'!$E$11+1,1))</f>
        <v>211.70619219850786</v>
      </c>
      <c r="BJ27" s="62">
        <f t="shared" si="38"/>
        <v>426.883837098247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12.269274340855759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15.405820495454805</v>
      </c>
      <c r="BS27" s="24">
        <f t="shared" si="9"/>
        <v>27.675094836310564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8.4</v>
      </c>
      <c r="BY27" s="13">
        <f>IF('Données projet'!$A$114&gt;35,BY26+BX27-CG26,IF(A27&lt;'Données projet'!$A$114,$BV$205^A27,IF(A27='Données projet'!$A$114,'Données projet'!$B$114,BY26+BX27-CG26)))</f>
        <v>164.60000000000002</v>
      </c>
      <c r="BZ27" s="14">
        <f>BY27*VLOOKUP('Données projet'!$B$12,Paramètres!$A$1:$I$89,3,0)*VLOOKUP('Données projet'!$B$12,Paramètres!$A$1:$I$89,5,0)</f>
        <v>148.93008</v>
      </c>
      <c r="CA27" s="14">
        <f t="shared" si="39"/>
        <v>38.335341256889777</v>
      </c>
      <c r="CB27" s="22">
        <f t="shared" si="10"/>
        <v>326.1539420224164</v>
      </c>
      <c r="CC27" s="62">
        <f t="shared" si="11"/>
        <v>520.60541846151852</v>
      </c>
      <c r="CD27" s="62">
        <f ca="1">AVERAGE(OFFSET($CC$3,0,0,'Données projet'!$E$12+1,1))-AVERAGE(OFFSET($H$3,0,0,'Données projet'!$E$12+1,1))</f>
        <v>327.07074355218322</v>
      </c>
      <c r="CE27" s="62">
        <f t="shared" si="40"/>
        <v>462.01668587029087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10.339993303172061</v>
      </c>
      <c r="CL27" s="23">
        <f>EXP(-LN(2)/25)*CL26+(1-EXP(-LN(2)/25))/(LN(2)/25)*Calculateur!CG27*Calculateur!CI27*VLOOKUP('Données projet'!$B$12,Paramètres!$A$1:$I$89,3,0)*0.475*44/12</f>
        <v>2.3923242511564196</v>
      </c>
      <c r="CM27" s="23">
        <f>EXP(-LN(2)/2)*CM26+(1-EXP(-LN(2)/2))/(LN(2)/2)*CG27*CJ27*VLOOKUP('Données projet'!$B$12,Paramètres!$A$1:$I$89,3,0)*0.475*44/12</f>
        <v>4.7160881885654647E-3</v>
      </c>
      <c r="CN27" s="24">
        <f t="shared" si="12"/>
        <v>12.737033642517048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>
        <f>CT27*VLOOKUP('Données projet'!$B$13,Paramètres!$A$1:$I$89,3,0)*VLOOKUP('Données projet'!$B$13,Paramètres!$A$1:$I$89,5,0)</f>
        <v>0</v>
      </c>
      <c r="CV27" s="14" t="e">
        <f t="shared" si="41"/>
        <v>#NUM!</v>
      </c>
      <c r="CW27" s="22" t="e">
        <f t="shared" si="13"/>
        <v>#NUM!</v>
      </c>
      <c r="CX27" s="62" t="e">
        <f t="shared" si="14"/>
        <v>#NUM!</v>
      </c>
      <c r="CY27" s="62">
        <f ca="1">AVERAGE(OFFSET($CX$3,0,0,'Données projet'!$E$13+1,1))-AVERAGE(OFFSET($H$3,0,0,'Données projet'!$E$13+1,1))</f>
        <v>93.836028041880496</v>
      </c>
      <c r="CZ27" s="62">
        <f t="shared" si="42"/>
        <v>465.96044964631358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90.798252901430843</v>
      </c>
      <c r="DG27" s="23">
        <f>EXP(-LN(2)/25)*DG26+(1-EXP(-LN(2)/25))/(LN(2)/25)*Calculateur!DB27*Calculateur!DD27*VLOOKUP('Données projet'!$B$13,Paramètres!$A$1:$I$89,3,0)*0.475*44/12</f>
        <v>21.390539733569337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112.18879263500018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16.399999999999999</v>
      </c>
      <c r="DO27" s="13">
        <f>IF('Données projet'!$A$166&gt;35,DO26+DN27-DW26,IF(A27&lt;'Données projet'!$A$166,$DL$205^A27,IF(A27='Données projet'!$A$166,'Données projet'!$B$166,DO26+DN27-DW26)))</f>
        <v>187.60000000000002</v>
      </c>
      <c r="DP27" s="18">
        <f>DO27*VLOOKUP('Données projet'!$B$14,Paramètres!$A$1:$I$89,3,0)*VLOOKUP('Données projet'!$B$14,Paramètres!$A$1:$I$89,5,0)</f>
        <v>112.18480000000002</v>
      </c>
      <c r="DQ27" s="14">
        <f t="shared" si="43"/>
        <v>29.845149809641946</v>
      </c>
      <c r="DR27" s="22">
        <f t="shared" si="16"/>
        <v>247.36882925179307</v>
      </c>
      <c r="DS27" s="62">
        <f t="shared" si="17"/>
        <v>441.82030569089517</v>
      </c>
      <c r="DT27" s="62">
        <f ca="1">AVERAGE(OFFSET($DS$3,0,0,'Données projet'!$E$14+1,1))-AVERAGE(OFFSET($H$3,0,0,'Données projet'!$E$14+1,1))</f>
        <v>386.56102661082468</v>
      </c>
      <c r="DU27" s="62">
        <f t="shared" si="44"/>
        <v>410.28336627719011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1.4840589073145491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2.6750046421760105</v>
      </c>
      <c r="ED27" s="24">
        <f t="shared" si="18"/>
        <v>4.1590635494905595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403.69894009173004</v>
      </c>
      <c r="S28" s="62">
        <f ca="1">AVERAGE(OFFSET($R$3,0,0,'Données projet'!$E$9+1,1))-AVERAGE(OFFSET($H$3,0,0,'Données projet'!$E$9+1,1))</f>
        <v>499.92116338695428</v>
      </c>
      <c r="T28" s="62">
        <f t="shared" si="34"/>
        <v>316.79403154855652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24.809177197583317</v>
      </c>
      <c r="AC28" s="24">
        <f t="shared" si="3"/>
        <v>24.809177197583317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488.79667564863644</v>
      </c>
      <c r="AN28" s="62">
        <f ca="1">AVERAGE(OFFSET($AM$3,0,0,'Données projet'!$E$10+1,1))-AVERAGE(OFFSET($H$3,0,0,'Données projet'!$E$10+1,1))</f>
        <v>225.71928466161592</v>
      </c>
      <c r="AO28" s="62">
        <f t="shared" si="36"/>
        <v>385.98818770742025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15.142857142857142</v>
      </c>
      <c r="BD28" s="13">
        <f>IF('Données projet'!$A$88&gt;35,BD27+BC28-BL27,IF(A28&lt;'Données projet'!$A$88,$BA$205^A28,IF(A28='Données projet'!$A$88,'Données projet'!$B$88,BD27+BC28-BL27)))</f>
        <v>193.28571428571431</v>
      </c>
      <c r="BE28" s="14">
        <f>BD28*VLOOKUP('Données projet'!$B$11,Paramètres!$A$1:$I$89,3,0)*VLOOKUP('Données projet'!$B$11,Paramètres!$A$1:$I$89,5,0)</f>
        <v>115.58485714285716</v>
      </c>
      <c r="BF28" s="14">
        <f t="shared" si="37"/>
        <v>30.643003864758004</v>
      </c>
      <c r="BG28" s="22">
        <f t="shared" si="7"/>
        <v>254.68019125492972</v>
      </c>
      <c r="BH28" s="62">
        <f t="shared" si="8"/>
        <v>451.94205212819901</v>
      </c>
      <c r="BI28" s="62">
        <f ca="1">AVERAGE(OFFSET($BH$3,0,0,'Données projet'!$E$11+1,1))-AVERAGE(OFFSET($H$3,0,0,'Données projet'!$E$11+1,1))</f>
        <v>211.70619219850786</v>
      </c>
      <c r="BJ28" s="62">
        <f t="shared" si="38"/>
        <v>426.883837098247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12.02868135454999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10.89356014207879</v>
      </c>
      <c r="BS28" s="24">
        <f t="shared" si="9"/>
        <v>22.922241496628779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173</v>
      </c>
      <c r="BW28" s="13">
        <f>VLOOKUP(A28,'Données projet'!$A$113:$I$133,9,0)</f>
        <v>8.4</v>
      </c>
      <c r="BX28" s="13">
        <f t="array" ref="BX28">INDEX(BW:BW,MIN(IF(ISNUMBER(BW28:BW224),ROW(BW28:BW224),"")))</f>
        <v>8.4</v>
      </c>
      <c r="BY28" s="13">
        <f>IF('Données projet'!$A$114&gt;35,BY27+BX28-CG27,IF(A28&lt;'Données projet'!$A$114,$BV$205^A28,IF(A28='Données projet'!$A$114,'Données projet'!$B$114,BY27+BX28-CG27)))</f>
        <v>173.00000000000003</v>
      </c>
      <c r="BZ28" s="14">
        <f>BY28*VLOOKUP('Données projet'!$B$12,Paramètres!$A$1:$I$89,3,0)*VLOOKUP('Données projet'!$B$12,Paramètres!$A$1:$I$89,5,0)</f>
        <v>156.53040000000001</v>
      </c>
      <c r="CA28" s="14">
        <f t="shared" si="39"/>
        <v>40.058941713182037</v>
      </c>
      <c r="CB28" s="22">
        <f t="shared" si="10"/>
        <v>342.39310348379212</v>
      </c>
      <c r="CC28" s="62">
        <f t="shared" si="11"/>
        <v>539.65496435706143</v>
      </c>
      <c r="CD28" s="62">
        <f ca="1">AVERAGE(OFFSET($CC$3,0,0,'Données projet'!$E$12+1,1))-AVERAGE(OFFSET($H$3,0,0,'Données projet'!$E$12+1,1))</f>
        <v>327.07074355218322</v>
      </c>
      <c r="CE28" s="62">
        <f t="shared" si="40"/>
        <v>462.01668587029087</v>
      </c>
      <c r="CF28" s="16">
        <f>IF(ISNA(VLOOKUP(A28,'Données projet'!$A$113:$I$133,3,0)),0,VLOOKUP(A28,'Données projet'!$A$113:$I$133,3,0))</f>
        <v>5</v>
      </c>
      <c r="CG28" s="16">
        <f>IF(ISNA(VLOOKUP(A28,'Données projet'!$A$113:$I$133,4,0)),0,VLOOKUP(A28,'Données projet'!$A$113:$I$133,4,0))</f>
        <v>11</v>
      </c>
      <c r="CH28" s="17">
        <f>IF(ISNA(VLOOKUP(A28,'Données projet'!$A$113:$I$133,5,0)),0%,VLOOKUP(A28,'Données projet'!$A$113:$I$133,5,0)*VLOOKUP('Données projet'!$B$12,Paramètres!$A$1:$I$89,7,0))</f>
        <v>0.24</v>
      </c>
      <c r="CI28" s="17">
        <f>IF(ISNA(VLOOKUP(A28,'Données projet'!$A$113:$I$133,6,0)),0%,VLOOKUP(A28,'Données projet'!$A$113:$I$133,6,0)*VLOOKUP('Données projet'!$B$12,Paramètres!$A$1:$I$89,7,0))</f>
        <v>0.06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12.777838483689761</v>
      </c>
      <c r="CL28" s="23">
        <f>EXP(-LN(2)/25)*CL27+(1-EXP(-LN(2)/25))/(LN(2)/25)*Calculateur!CG28*Calculateur!CI28*VLOOKUP('Données projet'!$B$12,Paramètres!$A$1:$I$89,3,0)*0.475*44/12</f>
        <v>2.9844582861734836</v>
      </c>
      <c r="CM28" s="23">
        <f>EXP(-LN(2)/2)*CM27+(1-EXP(-LN(2)/2))/(LN(2)/2)*CG28*CJ28*VLOOKUP('Données projet'!$B$12,Paramètres!$A$1:$I$89,3,0)*0.475*44/12</f>
        <v>3.3347779388084213E-3</v>
      </c>
      <c r="CN28" s="24">
        <f t="shared" si="12"/>
        <v>15.765631547802053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>
        <f>CT28*VLOOKUP('Données projet'!$B$13,Paramètres!$A$1:$I$89,3,0)*VLOOKUP('Données projet'!$B$13,Paramètres!$A$1:$I$89,5,0)</f>
        <v>0</v>
      </c>
      <c r="CV28" s="14" t="e">
        <f t="shared" si="41"/>
        <v>#NUM!</v>
      </c>
      <c r="CW28" s="22" t="e">
        <f t="shared" si="13"/>
        <v>#NUM!</v>
      </c>
      <c r="CX28" s="62" t="e">
        <f t="shared" si="14"/>
        <v>#NUM!</v>
      </c>
      <c r="CY28" s="62">
        <f ca="1">AVERAGE(OFFSET($CX$3,0,0,'Données projet'!$E$13+1,1))-AVERAGE(OFFSET($H$3,0,0,'Données projet'!$E$13+1,1))</f>
        <v>93.836028041880496</v>
      </c>
      <c r="CZ28" s="62">
        <f t="shared" si="42"/>
        <v>465.96044964631358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89.017754543499592</v>
      </c>
      <c r="DG28" s="23">
        <f>EXP(-LN(2)/25)*DG27+(1-EXP(-LN(2)/25))/(LN(2)/25)*Calculateur!DB28*Calculateur!DD28*VLOOKUP('Données projet'!$B$13,Paramètres!$A$1:$I$89,3,0)*0.475*44/12</f>
        <v>20.805614299675288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109.82336884317488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204</v>
      </c>
      <c r="DM28" s="13">
        <f>VLOOKUP(A28,'Données projet'!$A$165:$I$185,9,0)</f>
        <v>16.399999999999999</v>
      </c>
      <c r="DN28" s="13">
        <f t="array" ref="DN28">INDEX(DM:DM,MIN(IF(ISNUMBER(DM28:DM224),ROW(DM28:DM224),"")))</f>
        <v>16.399999999999999</v>
      </c>
      <c r="DO28" s="13">
        <f>IF('Données projet'!$A$166&gt;35,DO27+DN28-DW27,IF(A28&lt;'Données projet'!$A$166,$DL$205^A28,IF(A28='Données projet'!$A$166,'Données projet'!$B$166,DO27+DN28-DW27)))</f>
        <v>204.00000000000003</v>
      </c>
      <c r="DP28" s="18">
        <f>DO28*VLOOKUP('Données projet'!$B$14,Paramètres!$A$1:$I$89,3,0)*VLOOKUP('Données projet'!$B$14,Paramètres!$A$1:$I$89,5,0)</f>
        <v>121.99200000000003</v>
      </c>
      <c r="DQ28" s="14">
        <f t="shared" si="43"/>
        <v>32.139154469866327</v>
      </c>
      <c r="DR28" s="22">
        <f t="shared" si="16"/>
        <v>268.44509403501723</v>
      </c>
      <c r="DS28" s="62">
        <f t="shared" si="17"/>
        <v>465.70695490828655</v>
      </c>
      <c r="DT28" s="62">
        <f ca="1">AVERAGE(OFFSET($DS$3,0,0,'Données projet'!$E$14+1,1))-AVERAGE(OFFSET($H$3,0,0,'Données projet'!$E$14+1,1))</f>
        <v>386.56102661082468</v>
      </c>
      <c r="DU28" s="62">
        <f t="shared" si="44"/>
        <v>410.28336627719011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36</v>
      </c>
      <c r="DX28" s="17">
        <f>IF(ISNA(VLOOKUP(A28,'Données projet'!$A$165:$I$185,5,0)),0%,VLOOKUP(A28,'Données projet'!$A$165:$I$185,5,0)*VLOOKUP('Données projet'!$B$14,Paramètres!$A$1:$I$89,7,0))</f>
        <v>0.18000000000000002</v>
      </c>
      <c r="DY28" s="17">
        <f>IF(ISNA(VLOOKUP(A28,'Données projet'!$A$165:$I$185,6,0)),0%,VLOOKUP(A28,'Données projet'!$A$165:$I$185,6,0)*VLOOKUP('Données projet'!$B$14,Paramètres!$A$1:$I$89,7,0))</f>
        <v>9.0000000000000011E-2</v>
      </c>
      <c r="DZ28" s="17">
        <f>IF(ISNA(VLOOKUP(A28,'Données projet'!$A$165:$I$185,7,0)),0%,VLOOKUP(A28,'Données projet'!$A$165:$I$185,7,0))</f>
        <v>0.4</v>
      </c>
      <c r="EA28" s="23">
        <f>EXP(-LN(2)/35)*EA27+(1-EXP(-LN(2)/35))/(LN(2)/35)*DW28*DX28*VLOOKUP('Données projet'!$B$14,Paramètres!$A$1:$I$89,3,0)*0.475*44/12</f>
        <v>6.5954477447351003</v>
      </c>
      <c r="EB28" s="23">
        <f>EXP(-LN(2)/25)*EB27+(1-EXP(-LN(2)/25))/(LN(2)/25)*Calculateur!DW28*Calculateur!DY28*VLOOKUP('Données projet'!$B$14,Paramètres!$A$1:$I$89,3,0)*0.475*44/12</f>
        <v>2.560125129153533</v>
      </c>
      <c r="EC28" s="23">
        <f>EXP(-LN(2)/2)*EC27+(1-EXP(-LN(2)/2))/(LN(2)/2)*DW28*DZ28*VLOOKUP('Données projet'!$B$14,Paramètres!$A$1:$I$89,3,0)*0.475*44/12</f>
        <v>11.641392682648053</v>
      </c>
      <c r="ED28" s="24">
        <f t="shared" si="18"/>
        <v>20.796965556536687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369.65814653255097</v>
      </c>
      <c r="S29" s="62">
        <f ca="1">AVERAGE(OFFSET($R$3,0,0,'Données projet'!$E$9+1,1))-AVERAGE(OFFSET($H$3,0,0,'Données projet'!$E$9+1,1))</f>
        <v>499.92116338695428</v>
      </c>
      <c r="T29" s="62">
        <f t="shared" si="34"/>
        <v>316.79403154855652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17.542737432069831</v>
      </c>
      <c r="AC29" s="24">
        <f t="shared" si="3"/>
        <v>17.542737432069831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439.95013750776695</v>
      </c>
      <c r="AN29" s="62">
        <f ca="1">AVERAGE(OFFSET($AM$3,0,0,'Données projet'!$E$10+1,1))-AVERAGE(OFFSET($H$3,0,0,'Données projet'!$E$10+1,1))</f>
        <v>225.71928466161592</v>
      </c>
      <c r="AO29" s="62">
        <f t="shared" si="36"/>
        <v>385.98818770742025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15.142857142857142</v>
      </c>
      <c r="BD29" s="13">
        <f>IF('Données projet'!$A$88&gt;35,BD28+BC29-BL28,IF(A29&lt;'Données projet'!$A$88,$BA$205^A29,IF(A29='Données projet'!$A$88,'Données projet'!$B$88,BD28+BC29-BL28)))</f>
        <v>208.42857142857144</v>
      </c>
      <c r="BE29" s="14">
        <f>BD29*VLOOKUP('Données projet'!$B$11,Paramètres!$A$1:$I$89,3,0)*VLOOKUP('Données projet'!$B$11,Paramètres!$A$1:$I$89,5,0)</f>
        <v>124.64028571428574</v>
      </c>
      <c r="BF29" s="14">
        <f t="shared" si="37"/>
        <v>32.754868392894572</v>
      </c>
      <c r="BG29" s="22">
        <f t="shared" si="7"/>
        <v>274.129893403339</v>
      </c>
      <c r="BH29" s="62">
        <f t="shared" si="8"/>
        <v>474.174587646997</v>
      </c>
      <c r="BI29" s="62">
        <f ca="1">AVERAGE(OFFSET($BH$3,0,0,'Données projet'!$E$11+1,1))-AVERAGE(OFFSET($H$3,0,0,'Données projet'!$E$11+1,1))</f>
        <v>211.70619219850786</v>
      </c>
      <c r="BJ29" s="62">
        <f t="shared" si="38"/>
        <v>426.883837098247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11.792806249958446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7.7029102477274032</v>
      </c>
      <c r="BS29" s="24">
        <f t="shared" si="9"/>
        <v>19.495716497685848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6.8</v>
      </c>
      <c r="BY29" s="13">
        <f>IF('Données projet'!$A$114&gt;35,BY28+BX29-CG28,IF(A29&lt;'Données projet'!$A$114,$BV$205^A29,IF(A29='Données projet'!$A$114,'Données projet'!$B$114,BY28+BX29-CG28)))</f>
        <v>168.80000000000004</v>
      </c>
      <c r="BZ29" s="14">
        <f>BY29*VLOOKUP('Données projet'!$B$12,Paramètres!$A$1:$I$89,3,0)*VLOOKUP('Données projet'!$B$12,Paramètres!$A$1:$I$89,5,0)</f>
        <v>152.73024000000001</v>
      </c>
      <c r="CA29" s="14">
        <f t="shared" si="39"/>
        <v>39.198389597047516</v>
      </c>
      <c r="CB29" s="22">
        <f t="shared" si="10"/>
        <v>334.27569654819109</v>
      </c>
      <c r="CC29" s="62">
        <f t="shared" si="11"/>
        <v>534.32039079184915</v>
      </c>
      <c r="CD29" s="62">
        <f ca="1">AVERAGE(OFFSET($CC$3,0,0,'Données projet'!$E$12+1,1))-AVERAGE(OFFSET($H$3,0,0,'Données projet'!$E$12+1,1))</f>
        <v>327.07074355218322</v>
      </c>
      <c r="CE29" s="62">
        <f t="shared" si="40"/>
        <v>462.01668587029087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12.527272864736515</v>
      </c>
      <c r="CL29" s="23">
        <f>EXP(-LN(2)/25)*CL28+(1-EXP(-LN(2)/25))/(LN(2)/25)*Calculateur!CG29*Calculateur!CI29*VLOOKUP('Données projet'!$B$12,Paramètres!$A$1:$I$89,3,0)*0.475*44/12</f>
        <v>2.9028481173922294</v>
      </c>
      <c r="CM29" s="23">
        <f>EXP(-LN(2)/2)*CM28+(1-EXP(-LN(2)/2))/(LN(2)/2)*CG29*CJ29*VLOOKUP('Données projet'!$B$12,Paramètres!$A$1:$I$89,3,0)*0.475*44/12</f>
        <v>2.3580440942827323E-3</v>
      </c>
      <c r="CN29" s="24">
        <f t="shared" si="12"/>
        <v>15.432479026223028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>
        <f>CT29*VLOOKUP('Données projet'!$B$13,Paramètres!$A$1:$I$89,3,0)*VLOOKUP('Données projet'!$B$13,Paramètres!$A$1:$I$89,5,0)</f>
        <v>0</v>
      </c>
      <c r="CV29" s="14" t="e">
        <f t="shared" si="41"/>
        <v>#NUM!</v>
      </c>
      <c r="CW29" s="22" t="e">
        <f t="shared" si="13"/>
        <v>#NUM!</v>
      </c>
      <c r="CX29" s="62" t="e">
        <f t="shared" si="14"/>
        <v>#NUM!</v>
      </c>
      <c r="CY29" s="62">
        <f ca="1">AVERAGE(OFFSET($CX$3,0,0,'Données projet'!$E$13+1,1))-AVERAGE(OFFSET($H$3,0,0,'Données projet'!$E$13+1,1))</f>
        <v>93.836028041880496</v>
      </c>
      <c r="CZ29" s="62">
        <f t="shared" si="42"/>
        <v>465.96044964631358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87.272170672370606</v>
      </c>
      <c r="DG29" s="23">
        <f>EXP(-LN(2)/25)*DG28+(1-EXP(-LN(2)/25))/(LN(2)/25)*Calculateur!DB29*Calculateur!DD29*VLOOKUP('Données projet'!$B$13,Paramètres!$A$1:$I$89,3,0)*0.475*44/12</f>
        <v>20.236683682530963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107.50885435490157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17.600000000000001</v>
      </c>
      <c r="DO29" s="13">
        <f>IF('Données projet'!$A$166&gt;35,DO28+DN29-DW28,IF(A29&lt;'Données projet'!$A$166,$DL$205^A29,IF(A29='Données projet'!$A$166,'Données projet'!$B$166,DO28+DN29-DW28)))</f>
        <v>185.60000000000002</v>
      </c>
      <c r="DP29" s="18">
        <f>DO29*VLOOKUP('Données projet'!$B$14,Paramètres!$A$1:$I$89,3,0)*VLOOKUP('Données projet'!$B$14,Paramètres!$A$1:$I$89,5,0)</f>
        <v>110.98880000000003</v>
      </c>
      <c r="DQ29" s="14">
        <f t="shared" si="43"/>
        <v>29.56383208945169</v>
      </c>
      <c r="DR29" s="22">
        <f t="shared" si="16"/>
        <v>244.79583422246174</v>
      </c>
      <c r="DS29" s="62">
        <f t="shared" si="17"/>
        <v>444.84052846611974</v>
      </c>
      <c r="DT29" s="62">
        <f ca="1">AVERAGE(OFFSET($DS$3,0,0,'Données projet'!$E$14+1,1))-AVERAGE(OFFSET($H$3,0,0,'Données projet'!$E$14+1,1))</f>
        <v>386.56102661082468</v>
      </c>
      <c r="DU29" s="62">
        <f t="shared" si="44"/>
        <v>410.28336627719011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6.4661150372867482</v>
      </c>
      <c r="EB29" s="23">
        <f>EXP(-LN(2)/25)*EB28+(1-EXP(-LN(2)/25))/(LN(2)/25)*Calculateur!DW29*Calculateur!DY29*VLOOKUP('Données projet'!$B$14,Paramètres!$A$1:$I$89,3,0)*0.475*44/12</f>
        <v>2.4901183728657004</v>
      </c>
      <c r="EC29" s="23">
        <f>EXP(-LN(2)/2)*EC28+(1-EXP(-LN(2)/2))/(LN(2)/2)*DW29*DZ29*VLOOKUP('Données projet'!$B$14,Paramètres!$A$1:$I$89,3,0)*0.475*44/12</f>
        <v>8.2317077083558932</v>
      </c>
      <c r="ED29" s="24">
        <f t="shared" si="18"/>
        <v>17.187941118508341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390.45505823679542</v>
      </c>
      <c r="S30" s="62">
        <f ca="1">AVERAGE(OFFSET($R$3,0,0,'Données projet'!$E$9+1,1))-AVERAGE(OFFSET($H$3,0,0,'Données projet'!$E$9+1,1))</f>
        <v>499.92116338695428</v>
      </c>
      <c r="T30" s="62">
        <f t="shared" si="34"/>
        <v>316.79403154855652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12.40458859879166</v>
      </c>
      <c r="AC30" s="24">
        <f t="shared" si="3"/>
        <v>12.40458859879166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460.4552581293857</v>
      </c>
      <c r="AN30" s="62">
        <f ca="1">AVERAGE(OFFSET($AM$3,0,0,'Données projet'!$E$10+1,1))-AVERAGE(OFFSET($H$3,0,0,'Données projet'!$E$10+1,1))</f>
        <v>225.71928466161592</v>
      </c>
      <c r="AO30" s="62">
        <f t="shared" si="36"/>
        <v>385.98818770742025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15.142857142857142</v>
      </c>
      <c r="BD30" s="13">
        <f>IF('Données projet'!$A$88&gt;35,BD29+BC30-BL29,IF(A30&lt;'Données projet'!$A$88,$BA$205^A30,IF(A30='Données projet'!$A$88,'Données projet'!$B$88,BD29+BC30-BL29)))</f>
        <v>223.57142857142858</v>
      </c>
      <c r="BE30" s="14">
        <f>BD30*VLOOKUP('Données projet'!$B$11,Paramètres!$A$1:$I$89,3,0)*VLOOKUP('Données projet'!$B$11,Paramètres!$A$1:$I$89,5,0)</f>
        <v>133.6957142857143</v>
      </c>
      <c r="BF30" s="14">
        <f t="shared" si="37"/>
        <v>34.848932189999701</v>
      </c>
      <c r="BG30" s="22">
        <f t="shared" si="7"/>
        <v>293.54859261186851</v>
      </c>
      <c r="BH30" s="62">
        <f t="shared" si="8"/>
        <v>496.34904711149841</v>
      </c>
      <c r="BI30" s="62">
        <f ca="1">AVERAGE(OFFSET($BH$3,0,0,'Données projet'!$E$11+1,1))-AVERAGE(OFFSET($H$3,0,0,'Données projet'!$E$11+1,1))</f>
        <v>211.70619219850786</v>
      </c>
      <c r="BJ30" s="62">
        <f t="shared" si="38"/>
        <v>426.883837098247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11.561556512298333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5.4467800710393961</v>
      </c>
      <c r="BS30" s="24">
        <f t="shared" si="9"/>
        <v>17.00833658333773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6.8</v>
      </c>
      <c r="BY30" s="13">
        <f>IF('Données projet'!$A$114&gt;35,BY29+BX30-CG29,IF(A30&lt;'Données projet'!$A$114,$BV$205^A30,IF(A30='Données projet'!$A$114,'Données projet'!$B$114,BY29+BX30-CG29)))</f>
        <v>175.60000000000005</v>
      </c>
      <c r="BZ30" s="14">
        <f>BY30*VLOOKUP('Données projet'!$B$12,Paramètres!$A$1:$I$89,3,0)*VLOOKUP('Données projet'!$B$12,Paramètres!$A$1:$I$89,5,0)</f>
        <v>158.88288000000006</v>
      </c>
      <c r="CA30" s="14">
        <f t="shared" si="39"/>
        <v>40.590443217000178</v>
      </c>
      <c r="CB30" s="22">
        <f t="shared" si="10"/>
        <v>347.41603793627536</v>
      </c>
      <c r="CC30" s="62">
        <f t="shared" si="11"/>
        <v>550.21649243590525</v>
      </c>
      <c r="CD30" s="62">
        <f ca="1">AVERAGE(OFFSET($CC$3,0,0,'Données projet'!$E$12+1,1))-AVERAGE(OFFSET($H$3,0,0,'Données projet'!$E$12+1,1))</f>
        <v>327.07074355218322</v>
      </c>
      <c r="CE30" s="62">
        <f t="shared" si="40"/>
        <v>462.01668587029087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12.281620684741005</v>
      </c>
      <c r="CL30" s="23">
        <f>EXP(-LN(2)/25)*CL29+(1-EXP(-LN(2)/25))/(LN(2)/25)*Calculateur!CG30*Calculateur!CI30*VLOOKUP('Données projet'!$B$12,Paramètres!$A$1:$I$89,3,0)*0.475*44/12</f>
        <v>2.823469582967991</v>
      </c>
      <c r="CM30" s="23">
        <f>EXP(-LN(2)/2)*CM29+(1-EXP(-LN(2)/2))/(LN(2)/2)*CG30*CJ30*VLOOKUP('Données projet'!$B$12,Paramètres!$A$1:$I$89,3,0)*0.475*44/12</f>
        <v>1.6673889694042107E-3</v>
      </c>
      <c r="CN30" s="24">
        <f t="shared" si="12"/>
        <v>15.106757656678401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>
        <f>CT30*VLOOKUP('Données projet'!$B$13,Paramètres!$A$1:$I$89,3,0)*VLOOKUP('Données projet'!$B$13,Paramètres!$A$1:$I$89,5,0)</f>
        <v>0</v>
      </c>
      <c r="CV30" s="14" t="e">
        <f t="shared" si="41"/>
        <v>#NUM!</v>
      </c>
      <c r="CW30" s="22" t="e">
        <f t="shared" si="13"/>
        <v>#NUM!</v>
      </c>
      <c r="CX30" s="62" t="e">
        <f t="shared" si="14"/>
        <v>#NUM!</v>
      </c>
      <c r="CY30" s="62">
        <f ca="1">AVERAGE(OFFSET($CX$3,0,0,'Données projet'!$E$13+1,1))-AVERAGE(OFFSET($H$3,0,0,'Données projet'!$E$13+1,1))</f>
        <v>93.836028041880496</v>
      </c>
      <c r="CZ30" s="62">
        <f t="shared" si="42"/>
        <v>465.96044964631358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85.560816636253421</v>
      </c>
      <c r="DG30" s="23">
        <f>EXP(-LN(2)/25)*DG29+(1-EXP(-LN(2)/25))/(LN(2)/25)*Calculateur!DB30*Calculateur!DD30*VLOOKUP('Données projet'!$B$13,Paramètres!$A$1:$I$89,3,0)*0.475*44/12</f>
        <v>19.683310503031212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105.24412713928463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17.600000000000001</v>
      </c>
      <c r="DO30" s="13">
        <f>IF('Données projet'!$A$166&gt;35,DO29+DN30-DW29,IF(A30&lt;'Données projet'!$A$166,$DL$205^A30,IF(A30='Données projet'!$A$166,'Données projet'!$B$166,DO29+DN30-DW29)))</f>
        <v>203.20000000000002</v>
      </c>
      <c r="DP30" s="18">
        <f>DO30*VLOOKUP('Données projet'!$B$14,Paramètres!$A$1:$I$89,3,0)*VLOOKUP('Données projet'!$B$14,Paramètres!$A$1:$I$89,5,0)</f>
        <v>121.51360000000001</v>
      </c>
      <c r="DQ30" s="14">
        <f t="shared" si="43"/>
        <v>32.027763694063836</v>
      </c>
      <c r="DR30" s="22">
        <f t="shared" si="16"/>
        <v>267.41787510049454</v>
      </c>
      <c r="DS30" s="62">
        <f t="shared" si="17"/>
        <v>470.21832960012443</v>
      </c>
      <c r="DT30" s="62">
        <f ca="1">AVERAGE(OFFSET($DS$3,0,0,'Données projet'!$E$14+1,1))-AVERAGE(OFFSET($H$3,0,0,'Données projet'!$E$14+1,1))</f>
        <v>386.56102661082468</v>
      </c>
      <c r="DU30" s="62">
        <f t="shared" si="44"/>
        <v>410.28336627719011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6.3393184653462962</v>
      </c>
      <c r="EB30" s="23">
        <f>EXP(-LN(2)/25)*EB29+(1-EXP(-LN(2)/25))/(LN(2)/25)*Calculateur!DW30*Calculateur!DY30*VLOOKUP('Données projet'!$B$14,Paramètres!$A$1:$I$89,3,0)*0.475*44/12</f>
        <v>2.4220259550100538</v>
      </c>
      <c r="EC30" s="23">
        <f>EXP(-LN(2)/2)*EC29+(1-EXP(-LN(2)/2))/(LN(2)/2)*DW30*DZ30*VLOOKUP('Données projet'!$B$14,Paramètres!$A$1:$I$89,3,0)*0.475*44/12</f>
        <v>5.8206963413240276</v>
      </c>
      <c r="ED30" s="24">
        <f t="shared" si="18"/>
        <v>14.582040761680378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411.1849043871382</v>
      </c>
      <c r="S31" s="62">
        <f ca="1">AVERAGE(OFFSET($R$3,0,0,'Données projet'!$E$9+1,1))-AVERAGE(OFFSET($H$3,0,0,'Données projet'!$E$9+1,1))</f>
        <v>499.92116338695428</v>
      </c>
      <c r="T31" s="62">
        <f t="shared" si="34"/>
        <v>316.79403154855652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8.7713687160349174</v>
      </c>
      <c r="AC31" s="24">
        <f t="shared" si="3"/>
        <v>8.7713687160349174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480.90613648814326</v>
      </c>
      <c r="AN31" s="62">
        <f ca="1">AVERAGE(OFFSET($AM$3,0,0,'Données projet'!$E$10+1,1))-AVERAGE(OFFSET($H$3,0,0,'Données projet'!$E$10+1,1))</f>
        <v>225.71928466161592</v>
      </c>
      <c r="AO31" s="62">
        <f t="shared" si="36"/>
        <v>385.98818770742025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15.142857142857142</v>
      </c>
      <c r="BD31" s="13">
        <f>IF('Données projet'!$A$88&gt;35,BD30+BC31-BL30,IF(A31&lt;'Données projet'!$A$88,$BA$205^A31,IF(A31='Données projet'!$A$88,'Données projet'!$B$88,BD30+BC31-BL30)))</f>
        <v>238.71428571428572</v>
      </c>
      <c r="BE31" s="14">
        <f>BD31*VLOOKUP('Données projet'!$B$11,Paramètres!$A$1:$I$89,3,0)*VLOOKUP('Données projet'!$B$11,Paramètres!$A$1:$I$89,5,0)</f>
        <v>142.75114285714287</v>
      </c>
      <c r="BF31" s="14">
        <f t="shared" si="37"/>
        <v>36.926538099571019</v>
      </c>
      <c r="BG31" s="22">
        <f t="shared" si="7"/>
        <v>312.93862766627666</v>
      </c>
      <c r="BH31" s="62">
        <f t="shared" si="8"/>
        <v>518.46823896547028</v>
      </c>
      <c r="BI31" s="62">
        <f ca="1">AVERAGE(OFFSET($BH$3,0,0,'Données projet'!$E$11+1,1))-AVERAGE(OFFSET($H$3,0,0,'Données projet'!$E$11+1,1))</f>
        <v>211.70619219850786</v>
      </c>
      <c r="BJ31" s="62">
        <f t="shared" si="38"/>
        <v>426.883837098247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11.334841440945322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3.8514551238637025</v>
      </c>
      <c r="BS31" s="24">
        <f t="shared" si="9"/>
        <v>15.186296564809025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6.8</v>
      </c>
      <c r="BY31" s="13">
        <f>IF('Données projet'!$A$114&gt;35,BY30+BX31-CG30,IF(A31&lt;'Données projet'!$A$114,$BV$205^A31,IF(A31='Données projet'!$A$114,'Données projet'!$B$114,BY30+BX31-CG30)))</f>
        <v>182.40000000000006</v>
      </c>
      <c r="BZ31" s="14">
        <f>BY31*VLOOKUP('Données projet'!$B$12,Paramètres!$A$1:$I$89,3,0)*VLOOKUP('Données projet'!$B$12,Paramètres!$A$1:$I$89,5,0)</f>
        <v>165.03552000000005</v>
      </c>
      <c r="CA31" s="14">
        <f t="shared" si="39"/>
        <v>41.976234598846517</v>
      </c>
      <c r="CB31" s="22">
        <f t="shared" si="10"/>
        <v>360.54547259299108</v>
      </c>
      <c r="CC31" s="62">
        <f t="shared" si="11"/>
        <v>566.07508389218469</v>
      </c>
      <c r="CD31" s="62">
        <f ca="1">AVERAGE(OFFSET($CC$3,0,0,'Données projet'!$E$12+1,1))-AVERAGE(OFFSET($H$3,0,0,'Données projet'!$E$12+1,1))</f>
        <v>327.07074355218322</v>
      </c>
      <c r="CE31" s="62">
        <f t="shared" si="40"/>
        <v>462.01668587029087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12.040785594162172</v>
      </c>
      <c r="CL31" s="23">
        <f>EXP(-LN(2)/25)*CL30+(1-EXP(-LN(2)/25))/(LN(2)/25)*Calculateur!CG31*Calculateur!CI31*VLOOKUP('Données projet'!$B$12,Paramètres!$A$1:$I$89,3,0)*0.475*44/12</f>
        <v>2.7462616587419189</v>
      </c>
      <c r="CM31" s="23">
        <f>EXP(-LN(2)/2)*CM30+(1-EXP(-LN(2)/2))/(LN(2)/2)*CG31*CJ31*VLOOKUP('Données projet'!$B$12,Paramètres!$A$1:$I$89,3,0)*0.475*44/12</f>
        <v>1.1790220471413662E-3</v>
      </c>
      <c r="CN31" s="24">
        <f t="shared" si="12"/>
        <v>14.788226274951231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>
        <f>CT31*VLOOKUP('Données projet'!$B$13,Paramètres!$A$1:$I$89,3,0)*VLOOKUP('Données projet'!$B$13,Paramètres!$A$1:$I$89,5,0)</f>
        <v>0</v>
      </c>
      <c r="CV31" s="14" t="e">
        <f t="shared" si="41"/>
        <v>#NUM!</v>
      </c>
      <c r="CW31" s="22" t="e">
        <f t="shared" si="13"/>
        <v>#NUM!</v>
      </c>
      <c r="CX31" s="62" t="e">
        <f t="shared" si="14"/>
        <v>#NUM!</v>
      </c>
      <c r="CY31" s="62">
        <f ca="1">AVERAGE(OFFSET($CX$3,0,0,'Données projet'!$E$13+1,1))-AVERAGE(OFFSET($H$3,0,0,'Données projet'!$E$13+1,1))</f>
        <v>93.836028041880496</v>
      </c>
      <c r="CZ31" s="62">
        <f t="shared" si="42"/>
        <v>465.96044964631358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83.883021208961608</v>
      </c>
      <c r="DG31" s="23">
        <f>EXP(-LN(2)/25)*DG30+(1-EXP(-LN(2)/25))/(LN(2)/25)*Calculateur!DB31*Calculateur!DD31*VLOOKUP('Données projet'!$B$13,Paramètres!$A$1:$I$89,3,0)*0.475*44/12</f>
        <v>19.145069342225511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103.02809055118712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17.600000000000001</v>
      </c>
      <c r="DO31" s="13">
        <f>IF('Données projet'!$A$166&gt;35,DO30+DN31-DW30,IF(A31&lt;'Données projet'!$A$166,$DL$205^A31,IF(A31='Données projet'!$A$166,'Données projet'!$B$166,DO30+DN31-DW30)))</f>
        <v>220.8</v>
      </c>
      <c r="DP31" s="18">
        <f>DO31*VLOOKUP('Données projet'!$B$14,Paramètres!$A$1:$I$89,3,0)*VLOOKUP('Données projet'!$B$14,Paramètres!$A$1:$I$89,5,0)</f>
        <v>132.03840000000002</v>
      </c>
      <c r="DQ31" s="14">
        <f t="shared" si="43"/>
        <v>34.466946374534373</v>
      </c>
      <c r="DR31" s="22">
        <f t="shared" si="16"/>
        <v>289.99681160231404</v>
      </c>
      <c r="DS31" s="62">
        <f t="shared" si="17"/>
        <v>495.52642290150766</v>
      </c>
      <c r="DT31" s="62">
        <f ca="1">AVERAGE(OFFSET($DS$3,0,0,'Données projet'!$E$14+1,1))-AVERAGE(OFFSET($H$3,0,0,'Données projet'!$E$14+1,1))</f>
        <v>386.56102661082468</v>
      </c>
      <c r="DU31" s="62">
        <f t="shared" si="44"/>
        <v>410.28336627719011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6.2150082968433242</v>
      </c>
      <c r="EB31" s="23">
        <f>EXP(-LN(2)/25)*EB30+(1-EXP(-LN(2)/25))/(LN(2)/25)*Calculateur!DW31*Calculateur!DY31*VLOOKUP('Données projet'!$B$14,Paramètres!$A$1:$I$89,3,0)*0.475*44/12</f>
        <v>2.3557955279014946</v>
      </c>
      <c r="EC31" s="23">
        <f>EXP(-LN(2)/2)*EC30+(1-EXP(-LN(2)/2))/(LN(2)/2)*DW31*DZ31*VLOOKUP('Données projet'!$B$14,Paramètres!$A$1:$I$89,3,0)*0.475*44/12</f>
        <v>4.1158538541779475</v>
      </c>
      <c r="ED31" s="24">
        <f t="shared" si="18"/>
        <v>12.686657678922765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431.85218726359784</v>
      </c>
      <c r="S32" s="62">
        <f ca="1">AVERAGE(OFFSET($R$3,0,0,'Données projet'!$E$9+1,1))-AVERAGE(OFFSET($H$3,0,0,'Données projet'!$E$9+1,1))</f>
        <v>499.92116338695428</v>
      </c>
      <c r="T32" s="62">
        <f t="shared" si="34"/>
        <v>316.79403154855652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6.202294299395831</v>
      </c>
      <c r="AC32" s="24">
        <f t="shared" si="3"/>
        <v>6.202294299395831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501.30526283562187</v>
      </c>
      <c r="AN32" s="62">
        <f ca="1">AVERAGE(OFFSET($AM$3,0,0,'Données projet'!$E$10+1,1))-AVERAGE(OFFSET($H$3,0,0,'Données projet'!$E$10+1,1))</f>
        <v>225.71928466161592</v>
      </c>
      <c r="AO32" s="62">
        <f t="shared" si="36"/>
        <v>385.98818770742025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15.142857142857142</v>
      </c>
      <c r="BD32" s="13">
        <f>IF('Données projet'!$A$88&gt;35,BD31+BC32-BL31,IF(A32&lt;'Données projet'!$A$88,$BA$205^A32,IF(A32='Données projet'!$A$88,'Données projet'!$B$88,BD31+BC32-BL31)))</f>
        <v>253.85714285714286</v>
      </c>
      <c r="BE32" s="14">
        <f>BD32*VLOOKUP('Données projet'!$B$11,Paramètres!$A$1:$I$89,3,0)*VLOOKUP('Données projet'!$B$11,Paramètres!$A$1:$I$89,5,0)</f>
        <v>151.80657142857146</v>
      </c>
      <c r="BF32" s="14">
        <f t="shared" si="37"/>
        <v>38.988848967460292</v>
      </c>
      <c r="BG32" s="22">
        <f t="shared" si="7"/>
        <v>332.30202385642195</v>
      </c>
      <c r="BH32" s="62">
        <f t="shared" si="8"/>
        <v>540.53465000926337</v>
      </c>
      <c r="BI32" s="62">
        <f ca="1">AVERAGE(OFFSET($BH$3,0,0,'Données projet'!$E$11+1,1))-AVERAGE(OFFSET($H$3,0,0,'Données projet'!$E$11+1,1))</f>
        <v>211.70619219850786</v>
      </c>
      <c r="BJ32" s="62">
        <f t="shared" si="38"/>
        <v>426.883837098247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11.112572113859004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2.7233900355196985</v>
      </c>
      <c r="BS32" s="24">
        <f t="shared" si="9"/>
        <v>13.835962149378702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6.8</v>
      </c>
      <c r="BY32" s="13">
        <f>IF('Données projet'!$A$114&gt;35,BY31+BX32-CG31,IF(A32&lt;'Données projet'!$A$114,$BV$205^A32,IF(A32='Données projet'!$A$114,'Données projet'!$B$114,BY31+BX32-CG31)))</f>
        <v>189.20000000000007</v>
      </c>
      <c r="BZ32" s="14">
        <f>BY32*VLOOKUP('Données projet'!$B$12,Paramètres!$A$1:$I$89,3,0)*VLOOKUP('Données projet'!$B$12,Paramètres!$A$1:$I$89,5,0)</f>
        <v>171.18816000000007</v>
      </c>
      <c r="CA32" s="14">
        <f t="shared" si="39"/>
        <v>43.356023936000852</v>
      </c>
      <c r="CB32" s="22">
        <f t="shared" si="10"/>
        <v>373.66445368853493</v>
      </c>
      <c r="CC32" s="62">
        <f t="shared" si="11"/>
        <v>581.89707984137635</v>
      </c>
      <c r="CD32" s="62">
        <f ca="1">AVERAGE(OFFSET($CC$3,0,0,'Données projet'!$E$12+1,1))-AVERAGE(OFFSET($H$3,0,0,'Données projet'!$E$12+1,1))</f>
        <v>327.07074355218322</v>
      </c>
      <c r="CE32" s="62">
        <f t="shared" si="40"/>
        <v>462.01668587029087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11.804673132814688</v>
      </c>
      <c r="CL32" s="23">
        <f>EXP(-LN(2)/25)*CL31+(1-EXP(-LN(2)/25))/(LN(2)/25)*Calculateur!CG32*Calculateur!CI32*VLOOKUP('Données projet'!$B$12,Paramètres!$A$1:$I$89,3,0)*0.475*44/12</f>
        <v>2.671164989263997</v>
      </c>
      <c r="CM32" s="23">
        <f>EXP(-LN(2)/2)*CM31+(1-EXP(-LN(2)/2))/(LN(2)/2)*CG32*CJ32*VLOOKUP('Données projet'!$B$12,Paramètres!$A$1:$I$89,3,0)*0.475*44/12</f>
        <v>8.3369448470210533E-4</v>
      </c>
      <c r="CN32" s="24">
        <f t="shared" si="12"/>
        <v>14.476671816563387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>
        <f>CT32*VLOOKUP('Données projet'!$B$13,Paramètres!$A$1:$I$89,3,0)*VLOOKUP('Données projet'!$B$13,Paramètres!$A$1:$I$89,5,0)</f>
        <v>0</v>
      </c>
      <c r="CV32" s="14" t="e">
        <f t="shared" si="41"/>
        <v>#NUM!</v>
      </c>
      <c r="CW32" s="22" t="e">
        <f t="shared" si="13"/>
        <v>#NUM!</v>
      </c>
      <c r="CX32" s="62" t="e">
        <f t="shared" si="14"/>
        <v>#NUM!</v>
      </c>
      <c r="CY32" s="62">
        <f ca="1">AVERAGE(OFFSET($CX$3,0,0,'Données projet'!$E$13+1,1))-AVERAGE(OFFSET($H$3,0,0,'Données projet'!$E$13+1,1))</f>
        <v>93.836028041880496</v>
      </c>
      <c r="CZ32" s="62">
        <f t="shared" si="42"/>
        <v>465.96044964631358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82.238126326644817</v>
      </c>
      <c r="DG32" s="23">
        <f>EXP(-LN(2)/25)*DG31+(1-EXP(-LN(2)/25))/(LN(2)/25)*Calculateur!DB32*Calculateur!DD32*VLOOKUP('Données projet'!$B$13,Paramètres!$A$1:$I$89,3,0)*0.475*44/12</f>
        <v>18.621546414266916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100.85967274091173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17.600000000000001</v>
      </c>
      <c r="DO32" s="13">
        <f>IF('Données projet'!$A$166&gt;35,DO31+DN32-DW31,IF(A32&lt;'Données projet'!$A$166,$DL$205^A32,IF(A32='Données projet'!$A$166,'Données projet'!$B$166,DO31+DN32-DW31)))</f>
        <v>238.4</v>
      </c>
      <c r="DP32" s="18">
        <f>DO32*VLOOKUP('Données projet'!$B$14,Paramètres!$A$1:$I$89,3,0)*VLOOKUP('Données projet'!$B$14,Paramètres!$A$1:$I$89,5,0)</f>
        <v>142.56319999999999</v>
      </c>
      <c r="DQ32" s="14">
        <f t="shared" si="43"/>
        <v>36.883577154665602</v>
      </c>
      <c r="DR32" s="22">
        <f t="shared" si="16"/>
        <v>312.53647021104257</v>
      </c>
      <c r="DS32" s="62">
        <f t="shared" si="17"/>
        <v>520.76909636388405</v>
      </c>
      <c r="DT32" s="62">
        <f ca="1">AVERAGE(OFFSET($DS$3,0,0,'Données projet'!$E$14+1,1))-AVERAGE(OFFSET($H$3,0,0,'Données projet'!$E$14+1,1))</f>
        <v>386.56102661082468</v>
      </c>
      <c r="DU32" s="62">
        <f t="shared" si="44"/>
        <v>410.28336627719011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6.0931357749229793</v>
      </c>
      <c r="EB32" s="23">
        <f>EXP(-LN(2)/25)*EB31+(1-EXP(-LN(2)/25))/(LN(2)/25)*Calculateur!DW32*Calculateur!DY32*VLOOKUP('Données projet'!$B$14,Paramètres!$A$1:$I$89,3,0)*0.475*44/12</f>
        <v>2.2913761753051256</v>
      </c>
      <c r="EC32" s="23">
        <f>EXP(-LN(2)/2)*EC31+(1-EXP(-LN(2)/2))/(LN(2)/2)*DW32*DZ32*VLOOKUP('Données projet'!$B$14,Paramètres!$A$1:$I$89,3,0)*0.475*44/12</f>
        <v>2.9103481706620142</v>
      </c>
      <c r="ED32" s="24">
        <f t="shared" si="18"/>
        <v>11.294860120890121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452.46069821522315</v>
      </c>
      <c r="S33" s="62">
        <f ca="1">AVERAGE(OFFSET($R$3,0,0,'Données projet'!$E$9+1,1))-AVERAGE(OFFSET($H$3,0,0,'Données projet'!$E$9+1,1))</f>
        <v>499.92116338695428</v>
      </c>
      <c r="T33" s="62">
        <f t="shared" si="34"/>
        <v>316.79403154855652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8.6000000000000007E-2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2.3990694849577223</v>
      </c>
      <c r="AB33" s="23">
        <f>EXP(-LN(2)/2)*AB32+(1-EXP(-LN(2)/2))/(LN(2)/2)*V33*Y33*VLOOKUP('Données projet'!$B$9,Paramètres!$A$1:$I$89,3,0)*0.475*44/12</f>
        <v>23.508634970320458</v>
      </c>
      <c r="AC33" s="24">
        <f t="shared" si="3"/>
        <v>25.907704455278179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521.65485437408688</v>
      </c>
      <c r="AN33" s="62">
        <f ca="1">AVERAGE(OFFSET($AM$3,0,0,'Données projet'!$E$10+1,1))-AVERAGE(OFFSET($H$3,0,0,'Données projet'!$E$10+1,1))</f>
        <v>225.71928466161592</v>
      </c>
      <c r="AO33" s="62">
        <f t="shared" si="36"/>
        <v>385.98818770742025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269</v>
      </c>
      <c r="BB33" s="13">
        <f>VLOOKUP(A33,'Données projet'!$A$87:$I$107,9,0)</f>
        <v>15.142857142857142</v>
      </c>
      <c r="BC33" s="13">
        <f t="array" ref="BC33">INDEX(BB:BB,MIN(IF(ISNUMBER(BB33:BB229),ROW(BB33:BB229),"")))</f>
        <v>15.142857142857142</v>
      </c>
      <c r="BD33" s="13">
        <f>IF('Données projet'!$A$88&gt;35,BD32+BC33-BL32,IF(A33&lt;'Données projet'!$A$88,$BA$205^A33,IF(A33='Données projet'!$A$88,'Données projet'!$B$88,BD32+BC33-BL32)))</f>
        <v>269</v>
      </c>
      <c r="BE33" s="14">
        <f>BD33*VLOOKUP('Données projet'!$B$11,Paramètres!$A$1:$I$89,3,0)*VLOOKUP('Données projet'!$B$11,Paramètres!$A$1:$I$89,5,0)</f>
        <v>160.86200000000002</v>
      </c>
      <c r="BF33" s="14">
        <f t="shared" si="37"/>
        <v>41.03688107178359</v>
      </c>
      <c r="BG33" s="22">
        <f t="shared" si="7"/>
        <v>351.64055120002314</v>
      </c>
      <c r="BH33" s="62">
        <f t="shared" si="8"/>
        <v>562.55050376491363</v>
      </c>
      <c r="BI33" s="62">
        <f ca="1">AVERAGE(OFFSET($BH$3,0,0,'Données projet'!$E$11+1,1))-AVERAGE(OFFSET($H$3,0,0,'Données projet'!$E$11+1,1))</f>
        <v>211.70619219850786</v>
      </c>
      <c r="BJ33" s="62">
        <f t="shared" si="38"/>
        <v>426.883837098247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10.894661352705947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1.9257275619318515</v>
      </c>
      <c r="BS33" s="24">
        <f t="shared" si="9"/>
        <v>12.8203889146378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196</v>
      </c>
      <c r="BW33" s="13">
        <f>VLOOKUP(A33,'Données projet'!$A$113:$I$133,9,0)</f>
        <v>6.8</v>
      </c>
      <c r="BX33" s="13">
        <f t="array" ref="BX33">INDEX(BW:BW,MIN(IF(ISNUMBER(BW33:BW229),ROW(BW33:BW229),"")))</f>
        <v>6.8</v>
      </c>
      <c r="BY33" s="13">
        <f>IF('Données projet'!$A$114&gt;35,BY32+BX33-CG32,IF(A33&lt;'Données projet'!$A$114,$BV$205^A33,IF(A33='Données projet'!$A$114,'Données projet'!$B$114,BY32+BX33-CG32)))</f>
        <v>196.00000000000009</v>
      </c>
      <c r="BZ33" s="14">
        <f>BY33*VLOOKUP('Données projet'!$B$12,Paramètres!$A$1:$I$89,3,0)*VLOOKUP('Données projet'!$B$12,Paramètres!$A$1:$I$89,5,0)</f>
        <v>177.34080000000006</v>
      </c>
      <c r="CA33" s="14">
        <f t="shared" si="39"/>
        <v>44.730051658603102</v>
      </c>
      <c r="CB33" s="22">
        <f t="shared" si="10"/>
        <v>386.77339997206712</v>
      </c>
      <c r="CC33" s="62">
        <f t="shared" si="11"/>
        <v>597.6833525369575</v>
      </c>
      <c r="CD33" s="62">
        <f ca="1">AVERAGE(OFFSET($CC$3,0,0,'Données projet'!$E$12+1,1))-AVERAGE(OFFSET($H$3,0,0,'Données projet'!$E$12+1,1))</f>
        <v>327.07074355218322</v>
      </c>
      <c r="CE33" s="62">
        <f t="shared" si="40"/>
        <v>462.01668587029087</v>
      </c>
      <c r="CF33" s="16">
        <f>IF(ISNA(VLOOKUP(A33,'Données projet'!$A$113:$I$133,3,0)),0,VLOOKUP(A33,'Données projet'!$A$113:$I$133,3,0))</f>
        <v>6</v>
      </c>
      <c r="CG33" s="16">
        <f>IF(ISNA(VLOOKUP(A33,'Données projet'!$A$113:$I$133,4,0)),0,VLOOKUP(A33,'Données projet'!$A$113:$I$133,4,0))</f>
        <v>9</v>
      </c>
      <c r="CH33" s="17">
        <f>IF(ISNA(VLOOKUP(A33,'Données projet'!$A$113:$I$133,5,0)),0%,VLOOKUP(A33,'Données projet'!$A$113:$I$133,5,0)*VLOOKUP('Données projet'!$B$12,Paramètres!$A$1:$I$89,7,0))</f>
        <v>0.24</v>
      </c>
      <c r="CI33" s="17">
        <f>IF(ISNA(VLOOKUP(A33,'Données projet'!$A$113:$I$133,6,0)),0%,VLOOKUP(A33,'Données projet'!$A$113:$I$133,6,0)*VLOOKUP('Données projet'!$B$12,Paramètres!$A$1:$I$89,7,0))</f>
        <v>0.06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13.7336866275269</v>
      </c>
      <c r="CL33" s="23">
        <f>EXP(-LN(2)/25)*CL32+(1-EXP(-LN(2)/25))/(LN(2)/25)*Calculateur!CG33*Calculateur!CI33*VLOOKUP('Données projet'!$B$12,Paramètres!$A$1:$I$89,3,0)*0.475*44/12</f>
        <v>3.1361191519117662</v>
      </c>
      <c r="CM33" s="23">
        <f>EXP(-LN(2)/2)*CM32+(1-EXP(-LN(2)/2))/(LN(2)/2)*CG33*CJ33*VLOOKUP('Données projet'!$B$12,Paramètres!$A$1:$I$89,3,0)*0.475*44/12</f>
        <v>5.8951102357068309E-4</v>
      </c>
      <c r="CN33" s="24">
        <f t="shared" si="12"/>
        <v>16.870395290462238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>
        <f>CT33*VLOOKUP('Données projet'!$B$13,Paramètres!$A$1:$I$89,3,0)*VLOOKUP('Données projet'!$B$13,Paramètres!$A$1:$I$89,5,0)</f>
        <v>0</v>
      </c>
      <c r="CV33" s="14" t="e">
        <f t="shared" si="41"/>
        <v>#NUM!</v>
      </c>
      <c r="CW33" s="22" t="e">
        <f t="shared" si="13"/>
        <v>#NUM!</v>
      </c>
      <c r="CX33" s="62" t="e">
        <f t="shared" si="14"/>
        <v>#NUM!</v>
      </c>
      <c r="CY33" s="62">
        <f ca="1">AVERAGE(OFFSET($CX$3,0,0,'Données projet'!$E$13+1,1))-AVERAGE(OFFSET($H$3,0,0,'Données projet'!$E$13+1,1))</f>
        <v>93.836028041880496</v>
      </c>
      <c r="CZ33" s="62">
        <f t="shared" si="42"/>
        <v>465.96044964631358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80.625486829683453</v>
      </c>
      <c r="DG33" s="23">
        <f>EXP(-LN(2)/25)*DG32+(1-EXP(-LN(2)/25))/(LN(2)/25)*Calculateur!DB33*Calculateur!DD33*VLOOKUP('Données projet'!$B$13,Paramètres!$A$1:$I$89,3,0)*0.475*44/12</f>
        <v>18.11233924830422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98.737826077987677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256</v>
      </c>
      <c r="DM33" s="13">
        <f>VLOOKUP(A33,'Données projet'!$A$165:$I$185,9,0)</f>
        <v>17.600000000000001</v>
      </c>
      <c r="DN33" s="13">
        <f t="array" ref="DN33">INDEX(DM:DM,MIN(IF(ISNUMBER(DM33:DM229),ROW(DM33:DM229),"")))</f>
        <v>17.600000000000001</v>
      </c>
      <c r="DO33" s="13">
        <f>IF('Données projet'!$A$166&gt;35,DO32+DN33-DW32,IF(A33&lt;'Données projet'!$A$166,$DL$205^A33,IF(A33='Données projet'!$A$166,'Données projet'!$B$166,DO32+DN33-DW32)))</f>
        <v>256</v>
      </c>
      <c r="DP33" s="18">
        <f>DO33*VLOOKUP('Données projet'!$B$14,Paramètres!$A$1:$I$89,3,0)*VLOOKUP('Données projet'!$B$14,Paramètres!$A$1:$I$89,5,0)</f>
        <v>153.08800000000002</v>
      </c>
      <c r="DQ33" s="14">
        <f t="shared" si="43"/>
        <v>39.27951026543515</v>
      </c>
      <c r="DR33" s="22">
        <f t="shared" si="16"/>
        <v>335.04008037896625</v>
      </c>
      <c r="DS33" s="62">
        <f t="shared" si="17"/>
        <v>545.95003294385674</v>
      </c>
      <c r="DT33" s="62">
        <f ca="1">AVERAGE(OFFSET($DS$3,0,0,'Données projet'!$E$14+1,1))-AVERAGE(OFFSET($H$3,0,0,'Données projet'!$E$14+1,1))</f>
        <v>386.56102661082468</v>
      </c>
      <c r="DU33" s="62">
        <f t="shared" si="44"/>
        <v>410.28336627719011</v>
      </c>
      <c r="DV33" s="16">
        <f>IF(ISNA(VLOOKUP(A33,'Données projet'!$A$165:$I$185,3,0)),0,VLOOKUP(A33,'Données projet'!$A$165:$I$185,3,0))</f>
        <v>4</v>
      </c>
      <c r="DW33" s="16">
        <f>IF(ISNA(VLOOKUP(A33,'Données projet'!$A$165:$I$185,4,0)),0,VLOOKUP(A33,'Données projet'!$A$165:$I$185,4,0))</f>
        <v>54</v>
      </c>
      <c r="DX33" s="17">
        <f>IF(ISNA(VLOOKUP(A33,'Données projet'!$A$165:$I$185,5,0)),0%,VLOOKUP(A33,'Données projet'!$A$165:$I$185,5,0)*VLOOKUP('Données projet'!$B$14,Paramètres!$A$1:$I$89,7,0))</f>
        <v>0.315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0.3</v>
      </c>
      <c r="EA33" s="23">
        <f>EXP(-LN(2)/35)*EA32+(1-EXP(-LN(2)/35))/(LN(2)/35)*DW33*DX33*VLOOKUP('Données projet'!$B$14,Paramètres!$A$1:$I$89,3,0)*0.475*44/12</f>
        <v>19.467440208264485</v>
      </c>
      <c r="EB33" s="23">
        <f>EXP(-LN(2)/25)*EB32+(1-EXP(-LN(2)/25))/(LN(2)/25)*Calculateur!DW33*Calculateur!DY33*VLOOKUP('Données projet'!$B$14,Paramètres!$A$1:$I$89,3,0)*0.475*44/12</f>
        <v>2.2287183732931708</v>
      </c>
      <c r="EC33" s="23">
        <f>EXP(-LN(2)/2)*EC32+(1-EXP(-LN(2)/2))/(LN(2)/2)*DW33*DZ33*VLOOKUP('Données projet'!$B$14,Paramètres!$A$1:$I$89,3,0)*0.475*44/12</f>
        <v>13.026540532606365</v>
      </c>
      <c r="ED33" s="24">
        <f t="shared" si="18"/>
        <v>34.722699114164016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420.3402603978567</v>
      </c>
      <c r="S34" s="62">
        <f ca="1">AVERAGE(OFFSET($R$3,0,0,'Données projet'!$E$9+1,1))-AVERAGE(OFFSET($H$3,0,0,'Données projet'!$E$9+1,1))</f>
        <v>499.92116338695428</v>
      </c>
      <c r="T34" s="62">
        <f t="shared" si="34"/>
        <v>316.79403154855652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2.3334668037299724</v>
      </c>
      <c r="AB34" s="23">
        <f>EXP(-LN(2)/2)*AB33+(1-EXP(-LN(2)/2))/(LN(2)/2)*V34*Y34*VLOOKUP('Données projet'!$B$9,Paramètres!$A$1:$I$89,3,0)*0.475*44/12</f>
        <v>16.623115203952807</v>
      </c>
      <c r="AC34" s="24">
        <f t="shared" si="3"/>
        <v>18.95658200768278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539.23270964136759</v>
      </c>
      <c r="AN34" s="62">
        <f ca="1">AVERAGE(OFFSET($AM$3,0,0,'Données projet'!$E$10+1,1))-AVERAGE(OFFSET($H$3,0,0,'Données projet'!$E$10+1,1))</f>
        <v>225.71928466161592</v>
      </c>
      <c r="AO34" s="62">
        <f t="shared" si="36"/>
        <v>385.98818770742025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</v>
      </c>
      <c r="BD34" s="13">
        <f>IF('Données projet'!$A$88&gt;35,BD33+BC34-BL33,IF(A34&lt;'Données projet'!$A$88,$BA$205^A34,IF(A34='Données projet'!$A$88,'Données projet'!$B$88,BD33+BC34-BL33)))</f>
        <v>283</v>
      </c>
      <c r="BE34" s="14">
        <f>BD34*VLOOKUP('Données projet'!$B$11,Paramètres!$A$1:$I$89,3,0)*VLOOKUP('Données projet'!$B$11,Paramètres!$A$1:$I$89,5,0)</f>
        <v>169.23400000000001</v>
      </c>
      <c r="BF34" s="14">
        <f t="shared" si="37"/>
        <v>42.918420001269354</v>
      </c>
      <c r="BG34" s="22">
        <f t="shared" si="7"/>
        <v>369.4987981688775</v>
      </c>
      <c r="BH34" s="62">
        <f t="shared" si="8"/>
        <v>581.83861211902683</v>
      </c>
      <c r="BI34" s="62">
        <f ca="1">AVERAGE(OFFSET($BH$3,0,0,'Données projet'!$E$11+1,1))-AVERAGE(OFFSET($H$3,0,0,'Données projet'!$E$11+1,1))</f>
        <v>211.70619219850786</v>
      </c>
      <c r="BJ34" s="62">
        <f t="shared" si="38"/>
        <v>426.883837098247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10.681023688666661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1.3616950177598495</v>
      </c>
      <c r="BS34" s="24">
        <f t="shared" si="9"/>
        <v>12.042718706426511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5.8</v>
      </c>
      <c r="BY34" s="13">
        <f>IF('Données projet'!$A$114&gt;35,BY33+BX34-CG33,IF(A34&lt;'Données projet'!$A$114,$BV$205^A34,IF(A34='Données projet'!$A$114,'Données projet'!$B$114,BY33+BX34-CG33)))</f>
        <v>192.8000000000001</v>
      </c>
      <c r="BZ34" s="14">
        <f>BY34*VLOOKUP('Données projet'!$B$12,Paramètres!$A$1:$I$89,3,0)*VLOOKUP('Données projet'!$B$12,Paramètres!$A$1:$I$89,5,0)</f>
        <v>174.4454400000001</v>
      </c>
      <c r="CA34" s="14">
        <f t="shared" si="39"/>
        <v>44.084153549607706</v>
      </c>
      <c r="CB34" s="22">
        <f t="shared" si="10"/>
        <v>380.60570876556693</v>
      </c>
      <c r="CC34" s="62">
        <f t="shared" si="11"/>
        <v>592.94552271571627</v>
      </c>
      <c r="CD34" s="62">
        <f ca="1">AVERAGE(OFFSET($CC$3,0,0,'Données projet'!$E$12+1,1))-AVERAGE(OFFSET($H$3,0,0,'Données projet'!$E$12+1,1))</f>
        <v>327.07074355218322</v>
      </c>
      <c r="CE34" s="62">
        <f t="shared" si="40"/>
        <v>462.01668587029087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13.464377409482807</v>
      </c>
      <c r="CL34" s="23">
        <f>EXP(-LN(2)/25)*CL33+(1-EXP(-LN(2)/25))/(LN(2)/25)*Calculateur!CG34*Calculateur!CI34*VLOOKUP('Données projet'!$B$12,Paramètres!$A$1:$I$89,3,0)*0.475*44/12</f>
        <v>3.0503618087814006</v>
      </c>
      <c r="CM34" s="23">
        <f>EXP(-LN(2)/2)*CM33+(1-EXP(-LN(2)/2))/(LN(2)/2)*CG34*CJ34*VLOOKUP('Données projet'!$B$12,Paramètres!$A$1:$I$89,3,0)*0.475*44/12</f>
        <v>4.1684724235105267E-4</v>
      </c>
      <c r="CN34" s="24">
        <f t="shared" si="12"/>
        <v>16.515156065506559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>
        <f>CT34*VLOOKUP('Données projet'!$B$13,Paramètres!$A$1:$I$89,3,0)*VLOOKUP('Données projet'!$B$13,Paramètres!$A$1:$I$89,5,0)</f>
        <v>0</v>
      </c>
      <c r="CV34" s="14" t="e">
        <f t="shared" si="41"/>
        <v>#NUM!</v>
      </c>
      <c r="CW34" s="22" t="e">
        <f t="shared" si="13"/>
        <v>#NUM!</v>
      </c>
      <c r="CX34" s="62" t="e">
        <f t="shared" si="14"/>
        <v>#NUM!</v>
      </c>
      <c r="CY34" s="62">
        <f ca="1">AVERAGE(OFFSET($CX$3,0,0,'Données projet'!$E$13+1,1))-AVERAGE(OFFSET($H$3,0,0,'Données projet'!$E$13+1,1))</f>
        <v>93.836028041880496</v>
      </c>
      <c r="CZ34" s="62">
        <f t="shared" si="42"/>
        <v>465.96044964631358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79.04447020964453</v>
      </c>
      <c r="DG34" s="23">
        <f>EXP(-LN(2)/25)*DG33+(1-EXP(-LN(2)/25))/(LN(2)/25)*Calculateur!DB34*Calculateur!DD34*VLOOKUP('Données projet'!$B$13,Paramètres!$A$1:$I$89,3,0)*0.475*44/12</f>
        <v>17.617056379072817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96.661526588717351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19.399999999999999</v>
      </c>
      <c r="DO34" s="13">
        <f>IF('Données projet'!$A$166&gt;35,DO33+DN34-DW33,IF(A34&lt;'Données projet'!$A$166,$DL$205^A34,IF(A34='Données projet'!$A$166,'Données projet'!$B$166,DO33+DN34-DW33)))</f>
        <v>221.39999999999998</v>
      </c>
      <c r="DP34" s="18">
        <f>DO34*VLOOKUP('Données projet'!$B$14,Paramètres!$A$1:$I$89,3,0)*VLOOKUP('Données projet'!$B$14,Paramètres!$A$1:$I$89,5,0)</f>
        <v>132.3972</v>
      </c>
      <c r="DQ34" s="14">
        <f t="shared" si="43"/>
        <v>34.549691434742741</v>
      </c>
      <c r="DR34" s="22">
        <f t="shared" si="16"/>
        <v>290.76583591551019</v>
      </c>
      <c r="DS34" s="62">
        <f t="shared" si="17"/>
        <v>503.10564986565953</v>
      </c>
      <c r="DT34" s="62">
        <f ca="1">AVERAGE(OFFSET($DS$3,0,0,'Données projet'!$E$14+1,1))-AVERAGE(OFFSET($H$3,0,0,'Données projet'!$E$14+1,1))</f>
        <v>386.56102661082468</v>
      </c>
      <c r="DU34" s="62">
        <f t="shared" si="44"/>
        <v>410.28336627719011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19.085695579746488</v>
      </c>
      <c r="EB34" s="23">
        <f>EXP(-LN(2)/25)*EB33+(1-EXP(-LN(2)/25))/(LN(2)/25)*Calculateur!DW34*Calculateur!DY34*VLOOKUP('Données projet'!$B$14,Paramètres!$A$1:$I$89,3,0)*0.475*44/12</f>
        <v>2.1677739521722637</v>
      </c>
      <c r="EC34" s="23">
        <f>EXP(-LN(2)/2)*EC33+(1-EXP(-LN(2)/2))/(LN(2)/2)*DW34*DZ34*VLOOKUP('Données projet'!$B$14,Paramètres!$A$1:$I$89,3,0)*0.475*44/12</f>
        <v>9.2111551460073819</v>
      </c>
      <c r="ED34" s="24">
        <f t="shared" si="18"/>
        <v>30.464624677926135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442.82511261638047</v>
      </c>
      <c r="S35" s="62">
        <f ca="1">AVERAGE(OFFSET($R$3,0,0,'Données projet'!$E$9+1,1))-AVERAGE(OFFSET($H$3,0,0,'Données projet'!$E$9+1,1))</f>
        <v>499.92116338695428</v>
      </c>
      <c r="T35" s="62">
        <f t="shared" si="34"/>
        <v>316.79403154855652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2.2696580312702901</v>
      </c>
      <c r="AB35" s="23">
        <f>EXP(-LN(2)/2)*AB34+(1-EXP(-LN(2)/2))/(LN(2)/2)*V35*Y35*VLOOKUP('Données projet'!$B$9,Paramètres!$A$1:$I$89,3,0)*0.475*44/12</f>
        <v>11.754317485160229</v>
      </c>
      <c r="AC35" s="24">
        <f t="shared" si="3"/>
        <v>14.023975516430518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556.76814965023289</v>
      </c>
      <c r="AN35" s="62">
        <f ca="1">AVERAGE(OFFSET($AM$3,0,0,'Données projet'!$E$10+1,1))-AVERAGE(OFFSET($H$3,0,0,'Données projet'!$E$10+1,1))</f>
        <v>225.71928466161592</v>
      </c>
      <c r="AO35" s="62">
        <f t="shared" si="36"/>
        <v>385.98818770742025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</v>
      </c>
      <c r="BD35" s="13">
        <f>IF('Données projet'!$A$88&gt;35,BD34+BC35-BL34,IF(A35&lt;'Données projet'!$A$88,$BA$205^A35,IF(A35='Données projet'!$A$88,'Données projet'!$B$88,BD34+BC35-BL34)))</f>
        <v>297</v>
      </c>
      <c r="BE35" s="14">
        <f>BD35*VLOOKUP('Données projet'!$B$11,Paramètres!$A$1:$I$89,3,0)*VLOOKUP('Données projet'!$B$11,Paramètres!$A$1:$I$89,5,0)</f>
        <v>177.60600000000002</v>
      </c>
      <c r="BF35" s="14">
        <f t="shared" si="37"/>
        <v>44.789150937858665</v>
      </c>
      <c r="BG35" s="22">
        <f t="shared" si="7"/>
        <v>387.33822121677053</v>
      </c>
      <c r="BH35" s="62">
        <f t="shared" si="8"/>
        <v>601.08309165383571</v>
      </c>
      <c r="BI35" s="62">
        <f ca="1">AVERAGE(OFFSET($BH$3,0,0,'Données projet'!$E$11+1,1))-AVERAGE(OFFSET($H$3,0,0,'Données projet'!$E$11+1,1))</f>
        <v>211.70619219850786</v>
      </c>
      <c r="BJ35" s="62">
        <f t="shared" si="38"/>
        <v>426.883837098247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10.471575328913076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0.96286378096592584</v>
      </c>
      <c r="BS35" s="24">
        <f t="shared" si="9"/>
        <v>11.434439109879001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5.8</v>
      </c>
      <c r="BY35" s="13">
        <f>IF('Données projet'!$A$114&gt;35,BY34+BX35-CG34,IF(A35&lt;'Données projet'!$A$114,$BV$205^A35,IF(A35='Données projet'!$A$114,'Données projet'!$B$114,BY34+BX35-CG34)))</f>
        <v>198.60000000000011</v>
      </c>
      <c r="BZ35" s="14">
        <f>BY35*VLOOKUP('Données projet'!$B$12,Paramètres!$A$1:$I$89,3,0)*VLOOKUP('Données projet'!$B$12,Paramètres!$A$1:$I$89,5,0)</f>
        <v>179.6932800000001</v>
      </c>
      <c r="CA35" s="14">
        <f t="shared" si="39"/>
        <v>45.253939845742352</v>
      </c>
      <c r="CB35" s="22">
        <f t="shared" si="10"/>
        <v>391.78307456466808</v>
      </c>
      <c r="CC35" s="62">
        <f t="shared" si="11"/>
        <v>605.5279450017332</v>
      </c>
      <c r="CD35" s="62">
        <f ca="1">AVERAGE(OFFSET($CC$3,0,0,'Données projet'!$E$12+1,1))-AVERAGE(OFFSET($H$3,0,0,'Données projet'!$E$12+1,1))</f>
        <v>327.07074355218322</v>
      </c>
      <c r="CE35" s="62">
        <f t="shared" si="40"/>
        <v>462.01668587029087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13.200349180942156</v>
      </c>
      <c r="CL35" s="23">
        <f>EXP(-LN(2)/25)*CL34+(1-EXP(-LN(2)/25))/(LN(2)/25)*Calculateur!CG35*Calculateur!CI35*VLOOKUP('Données projet'!$B$12,Paramètres!$A$1:$I$89,3,0)*0.475*44/12</f>
        <v>2.9669495047087175</v>
      </c>
      <c r="CM35" s="23">
        <f>EXP(-LN(2)/2)*CM34+(1-EXP(-LN(2)/2))/(LN(2)/2)*CG35*CJ35*VLOOKUP('Données projet'!$B$12,Paramètres!$A$1:$I$89,3,0)*0.475*44/12</f>
        <v>2.9475551178534154E-4</v>
      </c>
      <c r="CN35" s="24">
        <f t="shared" si="12"/>
        <v>16.167593441162659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>
        <f>CT35*VLOOKUP('Données projet'!$B$13,Paramètres!$A$1:$I$89,3,0)*VLOOKUP('Données projet'!$B$13,Paramètres!$A$1:$I$89,5,0)</f>
        <v>0</v>
      </c>
      <c r="CV35" s="14" t="e">
        <f t="shared" si="41"/>
        <v>#NUM!</v>
      </c>
      <c r="CW35" s="22" t="e">
        <f t="shared" si="13"/>
        <v>#NUM!</v>
      </c>
      <c r="CX35" s="62" t="e">
        <f t="shared" si="14"/>
        <v>#NUM!</v>
      </c>
      <c r="CY35" s="62">
        <f ca="1">AVERAGE(OFFSET($CX$3,0,0,'Données projet'!$E$13+1,1))-AVERAGE(OFFSET($H$3,0,0,'Données projet'!$E$13+1,1))</f>
        <v>93.836028041880496</v>
      </c>
      <c r="CZ35" s="62">
        <f t="shared" si="42"/>
        <v>465.96044964631358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77.494456361199653</v>
      </c>
      <c r="DG35" s="23">
        <f>EXP(-LN(2)/25)*DG34+(1-EXP(-LN(2)/25))/(LN(2)/25)*Calculateur!DB35*Calculateur!DD35*VLOOKUP('Données projet'!$B$13,Paramètres!$A$1:$I$89,3,0)*0.475*44/12</f>
        <v>17.135317045946341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94.62977340714599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19.399999999999999</v>
      </c>
      <c r="DO35" s="13">
        <f>IF('Données projet'!$A$166&gt;35,DO34+DN35-DW34,IF(A35&lt;'Données projet'!$A$166,$DL$205^A35,IF(A35='Données projet'!$A$166,'Données projet'!$B$166,DO34+DN35-DW34)))</f>
        <v>240.79999999999998</v>
      </c>
      <c r="DP35" s="18">
        <f>DO35*VLOOKUP('Données projet'!$B$14,Paramètres!$A$1:$I$89,3,0)*VLOOKUP('Données projet'!$B$14,Paramètres!$A$1:$I$89,5,0)</f>
        <v>143.9984</v>
      </c>
      <c r="DQ35" s="14">
        <f t="shared" si="43"/>
        <v>37.21147619889382</v>
      </c>
      <c r="DR35" s="22">
        <f t="shared" si="16"/>
        <v>315.60720104640671</v>
      </c>
      <c r="DS35" s="62">
        <f t="shared" si="17"/>
        <v>529.35207148347183</v>
      </c>
      <c r="DT35" s="62">
        <f ca="1">AVERAGE(OFFSET($DS$3,0,0,'Données projet'!$E$14+1,1))-AVERAGE(OFFSET($H$3,0,0,'Données projet'!$E$14+1,1))</f>
        <v>386.56102661082468</v>
      </c>
      <c r="DU35" s="62">
        <f t="shared" si="44"/>
        <v>410.28336627719011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18.711436730552499</v>
      </c>
      <c r="EB35" s="23">
        <f>EXP(-LN(2)/25)*EB34+(1-EXP(-LN(2)/25))/(LN(2)/25)*Calculateur!DW35*Calculateur!DY35*VLOOKUP('Données projet'!$B$14,Paramètres!$A$1:$I$89,3,0)*0.475*44/12</f>
        <v>2.1084960594518356</v>
      </c>
      <c r="EC35" s="23">
        <f>EXP(-LN(2)/2)*EC34+(1-EXP(-LN(2)/2))/(LN(2)/2)*DW35*DZ35*VLOOKUP('Données projet'!$B$14,Paramètres!$A$1:$I$89,3,0)*0.475*44/12</f>
        <v>6.5132702663031834</v>
      </c>
      <c r="ED35" s="24">
        <f t="shared" si="18"/>
        <v>27.333203056307518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465.24122211388465</v>
      </c>
      <c r="S36" s="62">
        <f ca="1">AVERAGE(OFFSET($R$3,0,0,'Données projet'!$E$9+1,1))-AVERAGE(OFFSET($H$3,0,0,'Données projet'!$E$9+1,1))</f>
        <v>499.92116338695428</v>
      </c>
      <c r="T36" s="62">
        <f t="shared" si="34"/>
        <v>316.79403154855652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2.2075941130490757</v>
      </c>
      <c r="AB36" s="23">
        <f>EXP(-LN(2)/2)*AB35+(1-EXP(-LN(2)/2))/(LN(2)/2)*V36*Y36*VLOOKUP('Données projet'!$B$9,Paramètres!$A$1:$I$89,3,0)*0.475*44/12</f>
        <v>8.3115576019764035</v>
      </c>
      <c r="AC36" s="24">
        <f t="shared" si="3"/>
        <v>10.51915171502548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574.26254927359503</v>
      </c>
      <c r="AN36" s="62">
        <f ca="1">AVERAGE(OFFSET($AM$3,0,0,'Données projet'!$E$10+1,1))-AVERAGE(OFFSET($H$3,0,0,'Données projet'!$E$10+1,1))</f>
        <v>225.71928466161592</v>
      </c>
      <c r="AO36" s="62">
        <f t="shared" si="36"/>
        <v>385.98818770742025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</v>
      </c>
      <c r="BD36" s="13">
        <f>IF('Données projet'!$A$88&gt;35,BD35+BC36-BL35,IF(A36&lt;'Données projet'!$A$88,$BA$205^A36,IF(A36='Données projet'!$A$88,'Données projet'!$B$88,BD35+BC36-BL35)))</f>
        <v>311</v>
      </c>
      <c r="BE36" s="14">
        <f>BD36*VLOOKUP('Données projet'!$B$11,Paramètres!$A$1:$I$89,3,0)*VLOOKUP('Données projet'!$B$11,Paramètres!$A$1:$I$89,5,0)</f>
        <v>185.97800000000001</v>
      </c>
      <c r="BF36" s="14">
        <f t="shared" si="37"/>
        <v>46.649641523668571</v>
      </c>
      <c r="BG36" s="22">
        <f t="shared" si="7"/>
        <v>405.15980898705612</v>
      </c>
      <c r="BH36" s="62">
        <f t="shared" si="8"/>
        <v>620.28536132222484</v>
      </c>
      <c r="BI36" s="62">
        <f ca="1">AVERAGE(OFFSET($BH$3,0,0,'Données projet'!$E$11+1,1))-AVERAGE(OFFSET($H$3,0,0,'Données projet'!$E$11+1,1))</f>
        <v>211.70619219850786</v>
      </c>
      <c r="BJ36" s="62">
        <f t="shared" si="38"/>
        <v>426.883837098247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10.266234123743374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0.68084750887992485</v>
      </c>
      <c r="BS36" s="24">
        <f t="shared" si="9"/>
        <v>10.947081632623298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5.8</v>
      </c>
      <c r="BY36" s="13">
        <f>IF('Données projet'!$A$114&gt;35,BY35+BX36-CG35,IF(A36&lt;'Données projet'!$A$114,$BV$205^A36,IF(A36='Données projet'!$A$114,'Données projet'!$B$114,BY35+BX36-CG35)))</f>
        <v>204.40000000000012</v>
      </c>
      <c r="BZ36" s="14">
        <f>BY36*VLOOKUP('Données projet'!$B$12,Paramètres!$A$1:$I$89,3,0)*VLOOKUP('Données projet'!$B$12,Paramètres!$A$1:$I$89,5,0)</f>
        <v>184.9411200000001</v>
      </c>
      <c r="CA36" s="14">
        <f t="shared" si="39"/>
        <v>46.419755730249477</v>
      </c>
      <c r="CB36" s="22">
        <f t="shared" si="10"/>
        <v>402.95352523018465</v>
      </c>
      <c r="CC36" s="62">
        <f t="shared" si="11"/>
        <v>618.07907756535337</v>
      </c>
      <c r="CD36" s="62">
        <f ca="1">AVERAGE(OFFSET($CC$3,0,0,'Données projet'!$E$12+1,1))-AVERAGE(OFFSET($H$3,0,0,'Données projet'!$E$12+1,1))</f>
        <v>327.07074355218322</v>
      </c>
      <c r="CE36" s="62">
        <f t="shared" si="40"/>
        <v>462.01668587029087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12.94149838492187</v>
      </c>
      <c r="CL36" s="23">
        <f>EXP(-LN(2)/25)*CL35+(1-EXP(-LN(2)/25))/(LN(2)/25)*Calculateur!CG36*Calculateur!CI36*VLOOKUP('Données projet'!$B$12,Paramètres!$A$1:$I$89,3,0)*0.475*44/12</f>
        <v>2.8858181144773645</v>
      </c>
      <c r="CM36" s="23">
        <f>EXP(-LN(2)/2)*CM35+(1-EXP(-LN(2)/2))/(LN(2)/2)*CG36*CJ36*VLOOKUP('Données projet'!$B$12,Paramètres!$A$1:$I$89,3,0)*0.475*44/12</f>
        <v>2.0842362117552633E-4</v>
      </c>
      <c r="CN36" s="24">
        <f t="shared" si="12"/>
        <v>15.827524923020411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>
        <f>CT36*VLOOKUP('Données projet'!$B$13,Paramètres!$A$1:$I$89,3,0)*VLOOKUP('Données projet'!$B$13,Paramètres!$A$1:$I$89,5,0)</f>
        <v>0</v>
      </c>
      <c r="CV36" s="14" t="e">
        <f t="shared" si="41"/>
        <v>#NUM!</v>
      </c>
      <c r="CW36" s="22" t="e">
        <f t="shared" si="13"/>
        <v>#NUM!</v>
      </c>
      <c r="CX36" s="62" t="e">
        <f t="shared" si="14"/>
        <v>#NUM!</v>
      </c>
      <c r="CY36" s="62">
        <f ca="1">AVERAGE(OFFSET($CX$3,0,0,'Données projet'!$E$13+1,1))-AVERAGE(OFFSET($H$3,0,0,'Données projet'!$E$13+1,1))</f>
        <v>93.836028041880496</v>
      </c>
      <c r="CZ36" s="62">
        <f t="shared" si="42"/>
        <v>465.96044964631358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75.97483733890769</v>
      </c>
      <c r="DG36" s="23">
        <f>EXP(-LN(2)/25)*DG35+(1-EXP(-LN(2)/25))/(LN(2)/25)*Calculateur!DB36*Calculateur!DD36*VLOOKUP('Données projet'!$B$13,Paramètres!$A$1:$I$89,3,0)*0.475*44/12</f>
        <v>16.666750900217778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92.641588239125468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19.399999999999999</v>
      </c>
      <c r="DO36" s="13">
        <f>IF('Données projet'!$A$166&gt;35,DO35+DN36-DW35,IF(A36&lt;'Données projet'!$A$166,$DL$205^A36,IF(A36='Données projet'!$A$166,'Données projet'!$B$166,DO35+DN36-DW35)))</f>
        <v>260.2</v>
      </c>
      <c r="DP36" s="18">
        <f>DO36*VLOOKUP('Données projet'!$B$14,Paramètres!$A$1:$I$89,3,0)*VLOOKUP('Données projet'!$B$14,Paramètres!$A$1:$I$89,5,0)</f>
        <v>155.59960000000001</v>
      </c>
      <c r="DQ36" s="14">
        <f t="shared" si="43"/>
        <v>39.848387726833757</v>
      </c>
      <c r="DR36" s="22">
        <f t="shared" si="16"/>
        <v>340.40524529090209</v>
      </c>
      <c r="DS36" s="62">
        <f t="shared" si="17"/>
        <v>555.53079762607081</v>
      </c>
      <c r="DT36" s="62">
        <f ca="1">AVERAGE(OFFSET($DS$3,0,0,'Données projet'!$E$14+1,1))-AVERAGE(OFFSET($H$3,0,0,'Données projet'!$E$14+1,1))</f>
        <v>386.56102661082468</v>
      </c>
      <c r="DU36" s="62">
        <f t="shared" si="44"/>
        <v>410.28336627719011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18.344516869115846</v>
      </c>
      <c r="EB36" s="23">
        <f>EXP(-LN(2)/25)*EB35+(1-EXP(-LN(2)/25))/(LN(2)/25)*Calculateur!DW36*Calculateur!DY36*VLOOKUP('Données projet'!$B$14,Paramètres!$A$1:$I$89,3,0)*0.475*44/12</f>
        <v>2.0508391238251362</v>
      </c>
      <c r="EC36" s="23">
        <f>EXP(-LN(2)/2)*EC35+(1-EXP(-LN(2)/2))/(LN(2)/2)*DW36*DZ36*VLOOKUP('Données projet'!$B$14,Paramètres!$A$1:$I$89,3,0)*0.475*44/12</f>
        <v>4.6055775730036919</v>
      </c>
      <c r="ED36" s="24">
        <f t="shared" si="18"/>
        <v>25.000933565944674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487.59326737674235</v>
      </c>
      <c r="S37" s="62">
        <f ca="1">AVERAGE(OFFSET($R$3,0,0,'Données projet'!$E$9+1,1))-AVERAGE(OFFSET($H$3,0,0,'Données projet'!$E$9+1,1))</f>
        <v>499.92116338695428</v>
      </c>
      <c r="T37" s="62">
        <f t="shared" si="34"/>
        <v>316.79403154855652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2.1472273359354199</v>
      </c>
      <c r="AB37" s="23">
        <f>EXP(-LN(2)/2)*AB36+(1-EXP(-LN(2)/2))/(LN(2)/2)*V37*Y37*VLOOKUP('Données projet'!$B$9,Paramètres!$A$1:$I$89,3,0)*0.475*44/12</f>
        <v>5.8771587425801144</v>
      </c>
      <c r="AC37" s="24">
        <f t="shared" si="3"/>
        <v>8.0243860785155334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591.71718424771609</v>
      </c>
      <c r="AN37" s="62">
        <f ca="1">AVERAGE(OFFSET($AM$3,0,0,'Données projet'!$E$10+1,1))-AVERAGE(OFFSET($H$3,0,0,'Données projet'!$E$10+1,1))</f>
        <v>225.71928466161592</v>
      </c>
      <c r="AO37" s="62">
        <f t="shared" si="36"/>
        <v>385.98818770742025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325</v>
      </c>
      <c r="BB37" s="13">
        <f>VLOOKUP(A37,'Données projet'!$A$87:$I$107,9,0)</f>
        <v>14</v>
      </c>
      <c r="BC37" s="13">
        <f t="array" ref="BC37">INDEX(BB:BB,MIN(IF(ISNUMBER(BB37:BB233),ROW(BB37:BB233),"")))</f>
        <v>14</v>
      </c>
      <c r="BD37" s="13">
        <f>IF('Données projet'!$A$88&gt;35,BD36+BC37-BL36,IF(A37&lt;'Données projet'!$A$88,$BA$205^A37,IF(A37='Données projet'!$A$88,'Données projet'!$B$88,BD36+BC37-BL36)))</f>
        <v>325</v>
      </c>
      <c r="BE37" s="14">
        <f>BD37*VLOOKUP('Données projet'!$B$11,Paramètres!$A$1:$I$89,3,0)*VLOOKUP('Données projet'!$B$11,Paramètres!$A$1:$I$89,5,0)</f>
        <v>194.35</v>
      </c>
      <c r="BF37" s="14">
        <f t="shared" si="37"/>
        <v>48.500405405690429</v>
      </c>
      <c r="BG37" s="22">
        <f t="shared" si="7"/>
        <v>422.96445608157745</v>
      </c>
      <c r="BH37" s="62">
        <f t="shared" si="8"/>
        <v>639.44673857065982</v>
      </c>
      <c r="BI37" s="62">
        <f ca="1">AVERAGE(OFFSET($BH$3,0,0,'Données projet'!$E$11+1,1))-AVERAGE(OFFSET($H$3,0,0,'Données projet'!$E$11+1,1))</f>
        <v>211.70619219850786</v>
      </c>
      <c r="BJ37" s="62">
        <f t="shared" si="38"/>
        <v>426.883837098247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325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0.3</v>
      </c>
      <c r="BP37" s="23">
        <f>EXP(-LN(2)/35)*BP36+(1-EXP(-LN(2)/35))/(LN(2)/35)*BL37*BM37*VLOOKUP('Données projet'!$B$11,Paramètres!$A$1:$I$89,3,0)*0.475*44/12</f>
        <v>91.277527137483801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66.496235997763563</v>
      </c>
      <c r="BS37" s="24">
        <f t="shared" si="9"/>
        <v>157.77376313524735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5.8</v>
      </c>
      <c r="BY37" s="13">
        <f>IF('Données projet'!$A$114&gt;35,BY36+BX37-CG36,IF(A37&lt;'Données projet'!$A$114,$BV$205^A37,IF(A37='Données projet'!$A$114,'Données projet'!$B$114,BY36+BX37-CG36)))</f>
        <v>210.20000000000013</v>
      </c>
      <c r="BZ37" s="14">
        <f>BY37*VLOOKUP('Données projet'!$B$12,Paramètres!$A$1:$I$89,3,0)*VLOOKUP('Données projet'!$B$12,Paramètres!$A$1:$I$89,5,0)</f>
        <v>190.18896000000012</v>
      </c>
      <c r="CA37" s="14">
        <f t="shared" si="39"/>
        <v>47.581726807151739</v>
      </c>
      <c r="CB37" s="22">
        <f t="shared" si="10"/>
        <v>414.1172795224561</v>
      </c>
      <c r="CC37" s="62">
        <f t="shared" si="11"/>
        <v>630.59956201153852</v>
      </c>
      <c r="CD37" s="62">
        <f ca="1">AVERAGE(OFFSET($CC$3,0,0,'Données projet'!$E$12+1,1))-AVERAGE(OFFSET($H$3,0,0,'Données projet'!$E$12+1,1))</f>
        <v>327.07074355218322</v>
      </c>
      <c r="CE37" s="62">
        <f t="shared" si="40"/>
        <v>462.01668587029087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12.687723495128145</v>
      </c>
      <c r="CL37" s="23">
        <f>EXP(-LN(2)/25)*CL36+(1-EXP(-LN(2)/25))/(LN(2)/25)*Calculateur!CG37*Calculateur!CI37*VLOOKUP('Données projet'!$B$12,Paramètres!$A$1:$I$89,3,0)*0.475*44/12</f>
        <v>2.806905266378402</v>
      </c>
      <c r="CM37" s="23">
        <f>EXP(-LN(2)/2)*CM36+(1-EXP(-LN(2)/2))/(LN(2)/2)*CG37*CJ37*VLOOKUP('Données projet'!$B$12,Paramètres!$A$1:$I$89,3,0)*0.475*44/12</f>
        <v>1.4737775589267077E-4</v>
      </c>
      <c r="CN37" s="24">
        <f t="shared" si="12"/>
        <v>15.49477613926244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>
        <f>CT37*VLOOKUP('Données projet'!$B$13,Paramètres!$A$1:$I$89,3,0)*VLOOKUP('Données projet'!$B$13,Paramètres!$A$1:$I$89,5,0)</f>
        <v>0</v>
      </c>
      <c r="CV37" s="14" t="e">
        <f t="shared" si="41"/>
        <v>#NUM!</v>
      </c>
      <c r="CW37" s="22" t="e">
        <f t="shared" si="13"/>
        <v>#NUM!</v>
      </c>
      <c r="CX37" s="62" t="e">
        <f t="shared" si="14"/>
        <v>#NUM!</v>
      </c>
      <c r="CY37" s="62">
        <f ca="1">AVERAGE(OFFSET($CX$3,0,0,'Données projet'!$E$13+1,1))-AVERAGE(OFFSET($H$3,0,0,'Données projet'!$E$13+1,1))</f>
        <v>93.836028041880496</v>
      </c>
      <c r="CZ37" s="62">
        <f t="shared" si="42"/>
        <v>465.96044964631358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74.485017118766791</v>
      </c>
      <c r="DG37" s="23">
        <f>EXP(-LN(2)/25)*DG36+(1-EXP(-LN(2)/25))/(LN(2)/25)*Calculateur!DB37*Calculateur!DD37*VLOOKUP('Données projet'!$B$13,Paramètres!$A$1:$I$89,3,0)*0.475*44/12</f>
        <v>16.210997720384984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90.696014839151772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19.399999999999999</v>
      </c>
      <c r="DO37" s="13">
        <f>IF('Données projet'!$A$166&gt;35,DO36+DN37-DW36,IF(A37&lt;'Données projet'!$A$166,$DL$205^A37,IF(A37='Données projet'!$A$166,'Données projet'!$B$166,DO36+DN37-DW36)))</f>
        <v>279.59999999999997</v>
      </c>
      <c r="DP37" s="18">
        <f>DO37*VLOOKUP('Données projet'!$B$14,Paramètres!$A$1:$I$89,3,0)*VLOOKUP('Données projet'!$B$14,Paramètres!$A$1:$I$89,5,0)</f>
        <v>167.20079999999999</v>
      </c>
      <c r="DQ37" s="14">
        <f t="shared" si="43"/>
        <v>42.46249139494342</v>
      </c>
      <c r="DR37" s="22">
        <f t="shared" si="16"/>
        <v>365.16356584619308</v>
      </c>
      <c r="DS37" s="62">
        <f t="shared" si="17"/>
        <v>581.64584833527545</v>
      </c>
      <c r="DT37" s="62">
        <f ca="1">AVERAGE(OFFSET($DS$3,0,0,'Données projet'!$E$14+1,1))-AVERAGE(OFFSET($H$3,0,0,'Données projet'!$E$14+1,1))</f>
        <v>386.56102661082468</v>
      </c>
      <c r="DU37" s="62">
        <f t="shared" si="44"/>
        <v>410.28336627719011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17.984792082362947</v>
      </c>
      <c r="EB37" s="23">
        <f>EXP(-LN(2)/25)*EB36+(1-EXP(-LN(2)/25))/(LN(2)/25)*Calculateur!DW37*Calculateur!DY37*VLOOKUP('Données projet'!$B$14,Paramètres!$A$1:$I$89,3,0)*0.475*44/12</f>
        <v>1.9947588201351956</v>
      </c>
      <c r="EC37" s="23">
        <f>EXP(-LN(2)/2)*EC36+(1-EXP(-LN(2)/2))/(LN(2)/2)*DW37*DZ37*VLOOKUP('Données projet'!$B$14,Paramètres!$A$1:$I$89,3,0)*0.475*44/12</f>
        <v>3.2566351331515926</v>
      </c>
      <c r="ED37" s="24">
        <f t="shared" si="18"/>
        <v>23.236186035649737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509.8852062636231</v>
      </c>
      <c r="S38" s="62">
        <f ca="1">AVERAGE(OFFSET($R$3,0,0,'Données projet'!$E$9+1,1))-AVERAGE(OFFSET($H$3,0,0,'Données projet'!$E$9+1,1))</f>
        <v>499.92116338695428</v>
      </c>
      <c r="T38" s="62">
        <f t="shared" si="34"/>
        <v>316.79403154855652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2.0885112915164878</v>
      </c>
      <c r="AB38" s="23">
        <f>EXP(-LN(2)/2)*AB37+(1-EXP(-LN(2)/2))/(LN(2)/2)*V38*Y38*VLOOKUP('Données projet'!$B$9,Paramètres!$A$1:$I$89,3,0)*0.475*44/12</f>
        <v>4.1557788009882017</v>
      </c>
      <c r="AC38" s="24">
        <f t="shared" si="3"/>
        <v>6.2442900925046896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609.13324383179122</v>
      </c>
      <c r="AN38" s="62">
        <f ca="1">AVERAGE(OFFSET($AM$3,0,0,'Données projet'!$E$10+1,1))-AVERAGE(OFFSET($H$3,0,0,'Données projet'!$E$10+1,1))</f>
        <v>225.71928466161592</v>
      </c>
      <c r="AO38" s="62">
        <f t="shared" si="36"/>
        <v>385.98818770742025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211.70619219850786</v>
      </c>
      <c r="BJ38" s="62">
        <f t="shared" si="38"/>
        <v>426.883837098247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89.487630504111962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47.019939397399625</v>
      </c>
      <c r="BS38" s="24">
        <f t="shared" si="9"/>
        <v>136.5075699015116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216</v>
      </c>
      <c r="BW38" s="13">
        <f>VLOOKUP(A38,'Données projet'!$A$113:$I$133,9,0)</f>
        <v>5.8</v>
      </c>
      <c r="BX38" s="13">
        <f t="array" ref="BX38">INDEX(BW:BW,MIN(IF(ISNUMBER(BW38:BW234),ROW(BW38:BW234),"")))</f>
        <v>5.8</v>
      </c>
      <c r="BY38" s="13">
        <f>IF('Données projet'!$A$114&gt;35,BY37+BX38-CG37,IF(A38&lt;'Données projet'!$A$114,$BV$205^A38,IF(A38='Données projet'!$A$114,'Données projet'!$B$114,BY37+BX38-CG37)))</f>
        <v>216.00000000000014</v>
      </c>
      <c r="BZ38" s="14">
        <f>BY38*VLOOKUP('Données projet'!$B$12,Paramètres!$A$1:$I$89,3,0)*VLOOKUP('Données projet'!$B$12,Paramètres!$A$1:$I$89,5,0)</f>
        <v>195.43680000000012</v>
      </c>
      <c r="CA38" s="14">
        <f t="shared" si="39"/>
        <v>48.739971354487892</v>
      </c>
      <c r="CB38" s="22">
        <f t="shared" si="10"/>
        <v>425.27454344239999</v>
      </c>
      <c r="CC38" s="62">
        <f t="shared" si="11"/>
        <v>643.09001985041994</v>
      </c>
      <c r="CD38" s="62">
        <f ca="1">AVERAGE(OFFSET($CC$3,0,0,'Données projet'!$E$12+1,1))-AVERAGE(OFFSET($H$3,0,0,'Données projet'!$E$12+1,1))</f>
        <v>327.07074355218322</v>
      </c>
      <c r="CE38" s="62">
        <f t="shared" si="40"/>
        <v>462.01668587029087</v>
      </c>
      <c r="CF38" s="16">
        <f>IF(ISNA(VLOOKUP(A38,'Données projet'!$A$113:$I$133,3,0)),0,VLOOKUP(A38,'Données projet'!$A$113:$I$133,3,0))</f>
        <v>7</v>
      </c>
      <c r="CG38" s="16">
        <f>IF(ISNA(VLOOKUP(A38,'Données projet'!$A$113:$I$133,4,0)),0,VLOOKUP(A38,'Données projet'!$A$113:$I$133,4,0))</f>
        <v>7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12.438924976135876</v>
      </c>
      <c r="CL38" s="23">
        <f>EXP(-LN(2)/25)*CL37+(1-EXP(-LN(2)/25))/(LN(2)/25)*Calculateur!CG38*Calculateur!CI38*VLOOKUP('Données projet'!$B$12,Paramètres!$A$1:$I$89,3,0)*0.475*44/12</f>
        <v>2.730150294260552</v>
      </c>
      <c r="CM38" s="23">
        <f>EXP(-LN(2)/2)*CM37+(1-EXP(-LN(2)/2))/(LN(2)/2)*CG38*CJ38*VLOOKUP('Données projet'!$B$12,Paramètres!$A$1:$I$89,3,0)*0.475*44/12</f>
        <v>1.0421181058776317E-4</v>
      </c>
      <c r="CN38" s="24">
        <f t="shared" si="12"/>
        <v>15.169179482207015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>
        <f>CT38*VLOOKUP('Données projet'!$B$13,Paramètres!$A$1:$I$89,3,0)*VLOOKUP('Données projet'!$B$13,Paramètres!$A$1:$I$89,5,0)</f>
        <v>0</v>
      </c>
      <c r="CV38" s="14" t="e">
        <f t="shared" si="41"/>
        <v>#NUM!</v>
      </c>
      <c r="CW38" s="22" t="e">
        <f t="shared" si="13"/>
        <v>#NUM!</v>
      </c>
      <c r="CX38" s="62" t="e">
        <f t="shared" si="14"/>
        <v>#NUM!</v>
      </c>
      <c r="CY38" s="62">
        <f ca="1">AVERAGE(OFFSET($CX$3,0,0,'Données projet'!$E$13+1,1))-AVERAGE(OFFSET($H$3,0,0,'Données projet'!$E$13+1,1))</f>
        <v>93.836028041880496</v>
      </c>
      <c r="CZ38" s="62">
        <f t="shared" si="42"/>
        <v>465.96044964631358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73.024411364442244</v>
      </c>
      <c r="DG38" s="23">
        <f>EXP(-LN(2)/25)*DG37+(1-EXP(-LN(2)/25))/(LN(2)/25)*Calculateur!DB38*Calculateur!DD38*VLOOKUP('Données projet'!$B$13,Paramètres!$A$1:$I$89,3,0)*0.475*44/12</f>
        <v>15.767707135221738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88.792118499663985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299</v>
      </c>
      <c r="DM38" s="13">
        <f>VLOOKUP(A38,'Données projet'!$A$165:$I$185,9,0)</f>
        <v>19.399999999999999</v>
      </c>
      <c r="DN38" s="13">
        <f t="array" ref="DN38">INDEX(DM:DM,MIN(IF(ISNUMBER(DM38:DM234),ROW(DM38:DM234),"")))</f>
        <v>19.399999999999999</v>
      </c>
      <c r="DO38" s="13">
        <f>IF('Données projet'!$A$166&gt;35,DO37+DN38-DW37,IF(A38&lt;'Données projet'!$A$166,$DL$205^A38,IF(A38='Données projet'!$A$166,'Données projet'!$B$166,DO37+DN38-DW37)))</f>
        <v>298.99999999999994</v>
      </c>
      <c r="DP38" s="18">
        <f>DO38*VLOOKUP('Données projet'!$B$14,Paramètres!$A$1:$I$89,3,0)*VLOOKUP('Données projet'!$B$14,Paramètres!$A$1:$I$89,5,0)</f>
        <v>178.80199999999999</v>
      </c>
      <c r="DQ38" s="14">
        <f t="shared" si="43"/>
        <v>45.055549739375941</v>
      </c>
      <c r="DR38" s="22">
        <f t="shared" si="16"/>
        <v>389.88523246274644</v>
      </c>
      <c r="DS38" s="62">
        <f t="shared" si="17"/>
        <v>607.70070887076633</v>
      </c>
      <c r="DT38" s="62">
        <f ca="1">AVERAGE(OFFSET($DS$3,0,0,'Données projet'!$E$14+1,1))-AVERAGE(OFFSET($H$3,0,0,'Données projet'!$E$14+1,1))</f>
        <v>386.56102661082468</v>
      </c>
      <c r="DU38" s="62">
        <f t="shared" si="44"/>
        <v>410.28336627719011</v>
      </c>
      <c r="DV38" s="16">
        <f>IF(ISNA(VLOOKUP(A38,'Données projet'!$A$165:$I$185,3,0)),0,VLOOKUP(A38,'Données projet'!$A$165:$I$185,3,0))</f>
        <v>5</v>
      </c>
      <c r="DW38" s="16">
        <f>IF(ISNA(VLOOKUP(A38,'Données projet'!$A$165:$I$185,4,0)),0,VLOOKUP(A38,'Données projet'!$A$165:$I$185,4,0))</f>
        <v>52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17.632121279267817</v>
      </c>
      <c r="EB38" s="23">
        <f>EXP(-LN(2)/25)*EB37+(1-EXP(-LN(2)/25))/(LN(2)/25)*Calculateur!DW38*Calculateur!DY38*VLOOKUP('Données projet'!$B$14,Paramètres!$A$1:$I$89,3,0)*0.475*44/12</f>
        <v>1.9402120352987913</v>
      </c>
      <c r="EC38" s="23">
        <f>EXP(-LN(2)/2)*EC37+(1-EXP(-LN(2)/2))/(LN(2)/2)*DW38*DZ38*VLOOKUP('Données projet'!$B$14,Paramètres!$A$1:$I$89,3,0)*0.475*44/12</f>
        <v>2.3027887865018464</v>
      </c>
      <c r="ED38" s="24">
        <f t="shared" si="18"/>
        <v>21.875122101068456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478.57719055100893</v>
      </c>
      <c r="S39" s="62">
        <f ca="1">AVERAGE(OFFSET($R$3,0,0,'Données projet'!$E$9+1,1))-AVERAGE(OFFSET($H$3,0,0,'Données projet'!$E$9+1,1))</f>
        <v>499.92116338695428</v>
      </c>
      <c r="T39" s="62">
        <f t="shared" si="34"/>
        <v>316.79403154855652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2.0314008404199342</v>
      </c>
      <c r="AB39" s="23">
        <f>EXP(-LN(2)/2)*AB38+(1-EXP(-LN(2)/2))/(LN(2)/2)*V39*Y39*VLOOKUP('Données projet'!$B$9,Paramètres!$A$1:$I$89,3,0)*0.475*44/12</f>
        <v>2.9385793712900572</v>
      </c>
      <c r="AC39" s="24">
        <f t="shared" si="3"/>
        <v>4.9699802117099914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626.51184129750447</v>
      </c>
      <c r="AN39" s="62">
        <f ca="1">AVERAGE(OFFSET($AM$3,0,0,'Données projet'!$E$10+1,1))-AVERAGE(OFFSET($H$3,0,0,'Données projet'!$E$10+1,1))</f>
        <v>225.71928466161592</v>
      </c>
      <c r="AO39" s="62">
        <f t="shared" si="36"/>
        <v>385.98818770742025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211.70619219850786</v>
      </c>
      <c r="BJ39" s="62">
        <f t="shared" si="38"/>
        <v>426.883837098247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87.732832651991401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33.248117998881781</v>
      </c>
      <c r="BS39" s="24">
        <f t="shared" si="9"/>
        <v>120.98095065087318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4.8</v>
      </c>
      <c r="BY39" s="13">
        <f>IF('Données projet'!$A$114&gt;35,BY38+BX39-CG38,IF(A39&lt;'Données projet'!$A$114,$BV$205^A39,IF(A39='Données projet'!$A$114,'Données projet'!$B$114,BY38+BX39-CG38)))</f>
        <v>213.80000000000015</v>
      </c>
      <c r="BZ39" s="14">
        <f>BY39*VLOOKUP('Données projet'!$B$12,Paramètres!$A$1:$I$89,3,0)*VLOOKUP('Données projet'!$B$12,Paramètres!$A$1:$I$89,5,0)</f>
        <v>193.44624000000013</v>
      </c>
      <c r="CA39" s="14">
        <f t="shared" si="39"/>
        <v>48.301068656218547</v>
      </c>
      <c r="CB39" s="22">
        <f t="shared" si="10"/>
        <v>421.04322924291415</v>
      </c>
      <c r="CC39" s="62">
        <f t="shared" si="11"/>
        <v>640.16877163595314</v>
      </c>
      <c r="CD39" s="62">
        <f ca="1">AVERAGE(OFFSET($CC$3,0,0,'Données projet'!$E$12+1,1))-AVERAGE(OFFSET($H$3,0,0,'Données projet'!$E$12+1,1))</f>
        <v>327.07074355218322</v>
      </c>
      <c r="CE39" s="62">
        <f t="shared" si="40"/>
        <v>462.01668587029087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12.195005244348934</v>
      </c>
      <c r="CL39" s="23">
        <f>EXP(-LN(2)/25)*CL38+(1-EXP(-LN(2)/25))/(LN(2)/25)*Calculateur!CG39*Calculateur!CI39*VLOOKUP('Données projet'!$B$12,Paramètres!$A$1:$I$89,3,0)*0.475*44/12</f>
        <v>2.6554941908916332</v>
      </c>
      <c r="CM39" s="23">
        <f>EXP(-LN(2)/2)*CM38+(1-EXP(-LN(2)/2))/(LN(2)/2)*CG39*CJ39*VLOOKUP('Données projet'!$B$12,Paramètres!$A$1:$I$89,3,0)*0.475*44/12</f>
        <v>7.3688877946335386E-5</v>
      </c>
      <c r="CN39" s="24">
        <f t="shared" si="12"/>
        <v>14.850573124118515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>
        <f>CT39*VLOOKUP('Données projet'!$B$13,Paramètres!$A$1:$I$89,3,0)*VLOOKUP('Données projet'!$B$13,Paramètres!$A$1:$I$89,5,0)</f>
        <v>0</v>
      </c>
      <c r="CV39" s="14" t="e">
        <f t="shared" si="41"/>
        <v>#NUM!</v>
      </c>
      <c r="CW39" s="22" t="e">
        <f t="shared" si="13"/>
        <v>#NUM!</v>
      </c>
      <c r="CX39" s="62" t="e">
        <f t="shared" si="14"/>
        <v>#NUM!</v>
      </c>
      <c r="CY39" s="62">
        <f ca="1">AVERAGE(OFFSET($CX$3,0,0,'Données projet'!$E$13+1,1))-AVERAGE(OFFSET($H$3,0,0,'Données projet'!$E$13+1,1))</f>
        <v>93.836028041880496</v>
      </c>
      <c r="CZ39" s="62">
        <f t="shared" si="42"/>
        <v>465.96044964631358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71.59244719807846</v>
      </c>
      <c r="DG39" s="23">
        <f>EXP(-LN(2)/25)*DG38+(1-EXP(-LN(2)/25))/(LN(2)/25)*Calculateur!DB39*Calculateur!DD39*VLOOKUP('Données projet'!$B$13,Paramètres!$A$1:$I$89,3,0)*0.475*44/12</f>
        <v>15.336538354421418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86.928985552499881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17</v>
      </c>
      <c r="DO39" s="13">
        <f>IF('Données projet'!$A$166&gt;35,DO38+DN39-DW38,IF(A39&lt;'Données projet'!$A$166,$DL$205^A39,IF(A39='Données projet'!$A$166,'Données projet'!$B$166,DO38+DN39-DW38)))</f>
        <v>263.99999999999994</v>
      </c>
      <c r="DP39" s="18">
        <f>DO39*VLOOKUP('Données projet'!$B$14,Paramètres!$A$1:$I$89,3,0)*VLOOKUP('Données projet'!$B$14,Paramètres!$A$1:$I$89,5,0)</f>
        <v>157.87199999999999</v>
      </c>
      <c r="DQ39" s="14">
        <f t="shared" si="43"/>
        <v>40.362165684361159</v>
      </c>
      <c r="DR39" s="22">
        <f t="shared" si="16"/>
        <v>345.25783856692897</v>
      </c>
      <c r="DS39" s="62">
        <f t="shared" si="17"/>
        <v>564.38338095996789</v>
      </c>
      <c r="DT39" s="62">
        <f ca="1">AVERAGE(OFFSET($DS$3,0,0,'Données projet'!$E$14+1,1))-AVERAGE(OFFSET($H$3,0,0,'Données projet'!$E$14+1,1))</f>
        <v>386.56102661082468</v>
      </c>
      <c r="DU39" s="62">
        <f t="shared" si="44"/>
        <v>410.28336627719011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17.286366135513433</v>
      </c>
      <c r="EB39" s="23">
        <f>EXP(-LN(2)/25)*EB38+(1-EXP(-LN(2)/25))/(LN(2)/25)*Calculateur!DW39*Calculateur!DY39*VLOOKUP('Données projet'!$B$14,Paramètres!$A$1:$I$89,3,0)*0.475*44/12</f>
        <v>1.8871568351622292</v>
      </c>
      <c r="EC39" s="23">
        <f>EXP(-LN(2)/2)*EC38+(1-EXP(-LN(2)/2))/(LN(2)/2)*DW39*DZ39*VLOOKUP('Données projet'!$B$14,Paramètres!$A$1:$I$89,3,0)*0.475*44/12</f>
        <v>1.6283175665757965</v>
      </c>
      <c r="ED39" s="24">
        <f t="shared" si="18"/>
        <v>20.801840537251458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501.61948333637878</v>
      </c>
      <c r="S40" s="62">
        <f ca="1">AVERAGE(OFFSET($R$3,0,0,'Données projet'!$E$9+1,1))-AVERAGE(OFFSET($H$3,0,0,'Données projet'!$E$9+1,1))</f>
        <v>499.92116338695428</v>
      </c>
      <c r="T40" s="62">
        <f t="shared" si="34"/>
        <v>316.79403154855652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1.9758520776119237</v>
      </c>
      <c r="AB40" s="23">
        <f>EXP(-LN(2)/2)*AB39+(1-EXP(-LN(2)/2))/(LN(2)/2)*V40*Y40*VLOOKUP('Données projet'!$B$9,Paramètres!$A$1:$I$89,3,0)*0.475*44/12</f>
        <v>2.0778894004941009</v>
      </c>
      <c r="AC40" s="24">
        <f t="shared" si="3"/>
        <v>4.0537414781060246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643.85402269606266</v>
      </c>
      <c r="AN40" s="62">
        <f ca="1">AVERAGE(OFFSET($AM$3,0,0,'Données projet'!$E$10+1,1))-AVERAGE(OFFSET($H$3,0,0,'Données projet'!$E$10+1,1))</f>
        <v>225.71928466161592</v>
      </c>
      <c r="AO40" s="62">
        <f t="shared" si="36"/>
        <v>385.98818770742025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211.70619219850786</v>
      </c>
      <c r="BJ40" s="62">
        <f t="shared" si="38"/>
        <v>426.883837098247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86.012445315429929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23.509969698699813</v>
      </c>
      <c r="BS40" s="24">
        <f t="shared" si="9"/>
        <v>109.52241501412973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4.8</v>
      </c>
      <c r="BY40" s="13">
        <f>IF('Données projet'!$A$114&gt;35,BY39+BX40-CG39,IF(A40&lt;'Données projet'!$A$114,$BV$205^A40,IF(A40='Données projet'!$A$114,'Données projet'!$B$114,BY39+BX40-CG39)))</f>
        <v>218.60000000000016</v>
      </c>
      <c r="BZ40" s="14">
        <f>BY40*VLOOKUP('Données projet'!$B$12,Paramètres!$A$1:$I$89,3,0)*VLOOKUP('Données projet'!$B$12,Paramètres!$A$1:$I$89,5,0)</f>
        <v>197.78928000000013</v>
      </c>
      <c r="CA40" s="14">
        <f t="shared" si="39"/>
        <v>49.258004531609984</v>
      </c>
      <c r="CB40" s="22">
        <f t="shared" si="10"/>
        <v>430.2740205592209</v>
      </c>
      <c r="CC40" s="62">
        <f t="shared" si="11"/>
        <v>650.68690222130772</v>
      </c>
      <c r="CD40" s="62">
        <f ca="1">AVERAGE(OFFSET($CC$3,0,0,'Données projet'!$E$12+1,1))-AVERAGE(OFFSET($H$3,0,0,'Données projet'!$E$12+1,1))</f>
        <v>327.07074355218322</v>
      </c>
      <c r="CE40" s="62">
        <f t="shared" si="40"/>
        <v>462.01668587029087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11.955868629725988</v>
      </c>
      <c r="CL40" s="23">
        <f>EXP(-LN(2)/25)*CL39+(1-EXP(-LN(2)/25))/(LN(2)/25)*Calculateur!CG40*Calculateur!CI40*VLOOKUP('Données projet'!$B$12,Paramètres!$A$1:$I$89,3,0)*0.475*44/12</f>
        <v>2.5828795625953314</v>
      </c>
      <c r="CM40" s="23">
        <f>EXP(-LN(2)/2)*CM39+(1-EXP(-LN(2)/2))/(LN(2)/2)*CG40*CJ40*VLOOKUP('Données projet'!$B$12,Paramètres!$A$1:$I$89,3,0)*0.475*44/12</f>
        <v>5.2105905293881583E-5</v>
      </c>
      <c r="CN40" s="24">
        <f t="shared" si="12"/>
        <v>14.538800298226612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>
        <f>CT40*VLOOKUP('Données projet'!$B$13,Paramètres!$A$1:$I$89,3,0)*VLOOKUP('Données projet'!$B$13,Paramètres!$A$1:$I$89,5,0)</f>
        <v>0</v>
      </c>
      <c r="CV40" s="14" t="e">
        <f t="shared" si="41"/>
        <v>#NUM!</v>
      </c>
      <c r="CW40" s="22" t="e">
        <f t="shared" si="13"/>
        <v>#NUM!</v>
      </c>
      <c r="CX40" s="62" t="e">
        <f t="shared" si="14"/>
        <v>#NUM!</v>
      </c>
      <c r="CY40" s="62">
        <f ca="1">AVERAGE(OFFSET($CX$3,0,0,'Données projet'!$E$13+1,1))-AVERAGE(OFFSET($H$3,0,0,'Données projet'!$E$13+1,1))</f>
        <v>93.836028041880496</v>
      </c>
      <c r="CZ40" s="62">
        <f t="shared" si="42"/>
        <v>465.96044964631358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70.188562975605166</v>
      </c>
      <c r="DG40" s="23">
        <f>EXP(-LN(2)/25)*DG39+(1-EXP(-LN(2)/25))/(LN(2)/25)*Calculateur!DB40*Calculateur!DD40*VLOOKUP('Données projet'!$B$13,Paramètres!$A$1:$I$89,3,0)*0.475*44/12</f>
        <v>14.917159906606264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85.105722882211424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17</v>
      </c>
      <c r="DO40" s="13">
        <f>IF('Données projet'!$A$166&gt;35,DO39+DN40-DW39,IF(A40&lt;'Données projet'!$A$166,$DL$205^A40,IF(A40='Données projet'!$A$166,'Données projet'!$B$166,DO39+DN40-DW39)))</f>
        <v>280.99999999999994</v>
      </c>
      <c r="DP40" s="18">
        <f>DO40*VLOOKUP('Données projet'!$B$14,Paramètres!$A$1:$I$89,3,0)*VLOOKUP('Données projet'!$B$14,Paramètres!$A$1:$I$89,5,0)</f>
        <v>168.03799999999998</v>
      </c>
      <c r="DQ40" s="14">
        <f t="shared" si="43"/>
        <v>42.650304418351851</v>
      </c>
      <c r="DR40" s="22">
        <f t="shared" si="16"/>
        <v>366.94879686196276</v>
      </c>
      <c r="DS40" s="62">
        <f t="shared" si="17"/>
        <v>587.36167852404947</v>
      </c>
      <c r="DT40" s="62">
        <f ca="1">AVERAGE(OFFSET($DS$3,0,0,'Données projet'!$E$14+1,1))-AVERAGE(OFFSET($H$3,0,0,'Données projet'!$E$14+1,1))</f>
        <v>386.56102661082468</v>
      </c>
      <c r="DU40" s="62">
        <f t="shared" si="44"/>
        <v>410.28336627719011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16.947391039238259</v>
      </c>
      <c r="EB40" s="23">
        <f>EXP(-LN(2)/25)*EB39+(1-EXP(-LN(2)/25))/(LN(2)/25)*Calculateur!DW40*Calculateur!DY40*VLOOKUP('Données projet'!$B$14,Paramètres!$A$1:$I$89,3,0)*0.475*44/12</f>
        <v>1.8355524322634533</v>
      </c>
      <c r="EC40" s="23">
        <f>EXP(-LN(2)/2)*EC39+(1-EXP(-LN(2)/2))/(LN(2)/2)*DW40*DZ40*VLOOKUP('Données projet'!$B$14,Paramètres!$A$1:$I$89,3,0)*0.475*44/12</f>
        <v>1.1513943932509234</v>
      </c>
      <c r="ED40" s="24">
        <f t="shared" si="18"/>
        <v>19.934337864752635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524.6017257565976</v>
      </c>
      <c r="S41" s="62">
        <f ca="1">AVERAGE(OFFSET($R$3,0,0,'Données projet'!$E$9+1,1))-AVERAGE(OFFSET($H$3,0,0,'Données projet'!$E$9+1,1))</f>
        <v>499.92116338695428</v>
      </c>
      <c r="T41" s="62">
        <f t="shared" si="34"/>
        <v>316.79403154855652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1.9218222986440807</v>
      </c>
      <c r="AB41" s="23">
        <f>EXP(-LN(2)/2)*AB40+(1-EXP(-LN(2)/2))/(LN(2)/2)*V41*Y41*VLOOKUP('Données projet'!$B$9,Paramètres!$A$1:$I$89,3,0)*0.475*44/12</f>
        <v>1.4692896856450286</v>
      </c>
      <c r="AC41" s="24">
        <f t="shared" si="3"/>
        <v>3.3911119842891093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661.16077424403852</v>
      </c>
      <c r="AN41" s="62">
        <f ca="1">AVERAGE(OFFSET($AM$3,0,0,'Données projet'!$E$10+1,1))-AVERAGE(OFFSET($H$3,0,0,'Données projet'!$E$10+1,1))</f>
        <v>225.71928466161592</v>
      </c>
      <c r="AO41" s="62">
        <f t="shared" si="36"/>
        <v>385.98818770742025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211.70619219850786</v>
      </c>
      <c r="BJ41" s="62">
        <f t="shared" si="38"/>
        <v>426.883837098247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84.325793725205756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16.624058999440891</v>
      </c>
      <c r="BS41" s="24">
        <f t="shared" si="9"/>
        <v>100.94985272464665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4.8</v>
      </c>
      <c r="BY41" s="13">
        <f>IF('Données projet'!$A$114&gt;35,BY40+BX41-CG40,IF(A41&lt;'Données projet'!$A$114,$BV$205^A41,IF(A41='Données projet'!$A$114,'Données projet'!$B$114,BY40+BX41-CG40)))</f>
        <v>223.40000000000018</v>
      </c>
      <c r="BZ41" s="14">
        <f>BY41*VLOOKUP('Données projet'!$B$12,Paramètres!$A$1:$I$89,3,0)*VLOOKUP('Données projet'!$B$12,Paramètres!$A$1:$I$89,5,0)</f>
        <v>202.13232000000013</v>
      </c>
      <c r="CA41" s="14">
        <f t="shared" si="39"/>
        <v>50.21249748895967</v>
      </c>
      <c r="CB41" s="22">
        <f t="shared" si="10"/>
        <v>439.50055712660497</v>
      </c>
      <c r="CC41" s="62">
        <f t="shared" si="11"/>
        <v>661.17844559948094</v>
      </c>
      <c r="CD41" s="62">
        <f ca="1">AVERAGE(OFFSET($CC$3,0,0,'Données projet'!$E$12+1,1))-AVERAGE(OFFSET($H$3,0,0,'Données projet'!$E$12+1,1))</f>
        <v>327.07074355218322</v>
      </c>
      <c r="CE41" s="62">
        <f t="shared" si="40"/>
        <v>462.01668587029087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11.721421338256864</v>
      </c>
      <c r="CL41" s="23">
        <f>EXP(-LN(2)/25)*CL40+(1-EXP(-LN(2)/25))/(LN(2)/25)*Calculateur!CG41*Calculateur!CI41*VLOOKUP('Données projet'!$B$12,Paramètres!$A$1:$I$89,3,0)*0.475*44/12</f>
        <v>2.5122505851284291</v>
      </c>
      <c r="CM41" s="23">
        <f>EXP(-LN(2)/2)*CM40+(1-EXP(-LN(2)/2))/(LN(2)/2)*CG41*CJ41*VLOOKUP('Données projet'!$B$12,Paramètres!$A$1:$I$89,3,0)*0.475*44/12</f>
        <v>3.6844438973167693E-5</v>
      </c>
      <c r="CN41" s="24">
        <f t="shared" si="12"/>
        <v>14.233708767824266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>
        <f>CT41*VLOOKUP('Données projet'!$B$13,Paramètres!$A$1:$I$89,3,0)*VLOOKUP('Données projet'!$B$13,Paramètres!$A$1:$I$89,5,0)</f>
        <v>0</v>
      </c>
      <c r="CV41" s="14" t="e">
        <f t="shared" si="41"/>
        <v>#NUM!</v>
      </c>
      <c r="CW41" s="22" t="e">
        <f t="shared" si="13"/>
        <v>#NUM!</v>
      </c>
      <c r="CX41" s="62" t="e">
        <f t="shared" si="14"/>
        <v>#NUM!</v>
      </c>
      <c r="CY41" s="62">
        <f ca="1">AVERAGE(OFFSET($CX$3,0,0,'Données projet'!$E$13+1,1))-AVERAGE(OFFSET($H$3,0,0,'Données projet'!$E$13+1,1))</f>
        <v>93.836028041880496</v>
      </c>
      <c r="CZ41" s="62">
        <f t="shared" si="42"/>
        <v>465.96044964631358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68.812208066449742</v>
      </c>
      <c r="DG41" s="23">
        <f>EXP(-LN(2)/25)*DG40+(1-EXP(-LN(2)/25))/(LN(2)/25)*Calculateur!DB41*Calculateur!DD41*VLOOKUP('Données projet'!$B$13,Paramètres!$A$1:$I$89,3,0)*0.475*44/12</f>
        <v>14.50924938450077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83.321457450950504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17</v>
      </c>
      <c r="DO41" s="13">
        <f>IF('Données projet'!$A$166&gt;35,DO40+DN41-DW40,IF(A41&lt;'Données projet'!$A$166,$DL$205^A41,IF(A41='Données projet'!$A$166,'Données projet'!$B$166,DO40+DN41-DW40)))</f>
        <v>297.99999999999994</v>
      </c>
      <c r="DP41" s="18">
        <f>DO41*VLOOKUP('Données projet'!$B$14,Paramètres!$A$1:$I$89,3,0)*VLOOKUP('Données projet'!$B$14,Paramètres!$A$1:$I$89,5,0)</f>
        <v>178.20399999999998</v>
      </c>
      <c r="DQ41" s="14">
        <f t="shared" si="43"/>
        <v>44.9223763527798</v>
      </c>
      <c r="DR41" s="22">
        <f t="shared" si="16"/>
        <v>388.61177214775807</v>
      </c>
      <c r="DS41" s="62">
        <f t="shared" si="17"/>
        <v>610.28966062063398</v>
      </c>
      <c r="DT41" s="62">
        <f ca="1">AVERAGE(OFFSET($DS$3,0,0,'Données projet'!$E$14+1,1))-AVERAGE(OFFSET($H$3,0,0,'Données projet'!$E$14+1,1))</f>
        <v>386.56102661082468</v>
      </c>
      <c r="DU41" s="62">
        <f t="shared" si="44"/>
        <v>410.28336627719011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16.615063037846646</v>
      </c>
      <c r="EB41" s="23">
        <f>EXP(-LN(2)/25)*EB40+(1-EXP(-LN(2)/25))/(LN(2)/25)*Calculateur!DW41*Calculateur!DY41*VLOOKUP('Données projet'!$B$14,Paramètres!$A$1:$I$89,3,0)*0.475*44/12</f>
        <v>1.7853591544757019</v>
      </c>
      <c r="EC41" s="23">
        <f>EXP(-LN(2)/2)*EC40+(1-EXP(-LN(2)/2))/(LN(2)/2)*DW41*DZ41*VLOOKUP('Données projet'!$B$14,Paramètres!$A$1:$I$89,3,0)*0.475*44/12</f>
        <v>0.81415878328789837</v>
      </c>
      <c r="ED41" s="24">
        <f t="shared" si="18"/>
        <v>19.214580975610247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547.52738832189459</v>
      </c>
      <c r="S42" s="62">
        <f ca="1">AVERAGE(OFFSET($R$3,0,0,'Données projet'!$E$9+1,1))-AVERAGE(OFFSET($H$3,0,0,'Données projet'!$E$9+1,1))</f>
        <v>499.92116338695428</v>
      </c>
      <c r="T42" s="62">
        <f t="shared" si="34"/>
        <v>316.79403154855652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1.8692699668234161</v>
      </c>
      <c r="AB42" s="23">
        <f>EXP(-LN(2)/2)*AB41+(1-EXP(-LN(2)/2))/(LN(2)/2)*V42*Y42*VLOOKUP('Données projet'!$B$9,Paramètres!$A$1:$I$89,3,0)*0.475*44/12</f>
        <v>1.0389447002470504</v>
      </c>
      <c r="AC42" s="24">
        <f t="shared" si="3"/>
        <v>2.9082146670704665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222.92095024363059</v>
      </c>
      <c r="AN42" s="62">
        <f ca="1">AVERAGE(OFFSET($AM$3,0,0,'Données projet'!$E$10+1,1))-AVERAGE(OFFSET($H$3,0,0,'Données projet'!$E$10+1,1))</f>
        <v>225.71928466161592</v>
      </c>
      <c r="AO42" s="62">
        <f t="shared" si="36"/>
        <v>385.98818770742025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211.70619219850786</v>
      </c>
      <c r="BJ42" s="62">
        <f t="shared" si="38"/>
        <v>426.883837098247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82.672216343909994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11.754984849349906</v>
      </c>
      <c r="BS42" s="24">
        <f t="shared" si="9"/>
        <v>94.427201193259904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4.8</v>
      </c>
      <c r="BY42" s="13">
        <f>IF('Données projet'!$A$114&gt;35,BY41+BX42-CG41,IF(A42&lt;'Données projet'!$A$114,$BV$205^A42,IF(A42='Données projet'!$A$114,'Données projet'!$B$114,BY41+BX42-CG41)))</f>
        <v>228.20000000000019</v>
      </c>
      <c r="BZ42" s="14">
        <f>BY42*VLOOKUP('Données projet'!$B$12,Paramètres!$A$1:$I$89,3,0)*VLOOKUP('Données projet'!$B$12,Paramètres!$A$1:$I$89,5,0)</f>
        <v>206.47536000000017</v>
      </c>
      <c r="CA42" s="14">
        <f t="shared" si="39"/>
        <v>51.164606062687312</v>
      </c>
      <c r="CB42" s="22">
        <f t="shared" si="10"/>
        <v>448.72294089251392</v>
      </c>
      <c r="CC42" s="62">
        <f t="shared" si="11"/>
        <v>671.64389113614345</v>
      </c>
      <c r="CD42" s="62">
        <f ca="1">AVERAGE(OFFSET($CC$3,0,0,'Données projet'!$E$12+1,1))-AVERAGE(OFFSET($H$3,0,0,'Données projet'!$E$12+1,1))</f>
        <v>327.07074355218322</v>
      </c>
      <c r="CE42" s="62">
        <f t="shared" si="40"/>
        <v>462.01668587029087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11.491571415174722</v>
      </c>
      <c r="CL42" s="23">
        <f>EXP(-LN(2)/25)*CL41+(1-EXP(-LN(2)/25))/(LN(2)/25)*Calculateur!CG42*Calculateur!CI42*VLOOKUP('Données projet'!$B$12,Paramètres!$A$1:$I$89,3,0)*0.475*44/12</f>
        <v>2.4435529607645758</v>
      </c>
      <c r="CM42" s="23">
        <f>EXP(-LN(2)/2)*CM41+(1-EXP(-LN(2)/2))/(LN(2)/2)*CG42*CJ42*VLOOKUP('Données projet'!$B$12,Paramètres!$A$1:$I$89,3,0)*0.475*44/12</f>
        <v>2.6052952646940792E-5</v>
      </c>
      <c r="CN42" s="24">
        <f t="shared" si="12"/>
        <v>13.935150428891944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>
        <f>CT42*VLOOKUP('Données projet'!$B$13,Paramètres!$A$1:$I$89,3,0)*VLOOKUP('Données projet'!$B$13,Paramètres!$A$1:$I$89,5,0)</f>
        <v>0</v>
      </c>
      <c r="CV42" s="14" t="e">
        <f t="shared" si="41"/>
        <v>#NUM!</v>
      </c>
      <c r="CW42" s="22" t="e">
        <f t="shared" si="13"/>
        <v>#NUM!</v>
      </c>
      <c r="CX42" s="62" t="e">
        <f t="shared" si="14"/>
        <v>#NUM!</v>
      </c>
      <c r="CY42" s="62">
        <f ca="1">AVERAGE(OFFSET($CX$3,0,0,'Données projet'!$E$13+1,1))-AVERAGE(OFFSET($H$3,0,0,'Données projet'!$E$13+1,1))</f>
        <v>93.836028041880496</v>
      </c>
      <c r="CZ42" s="62">
        <f t="shared" si="42"/>
        <v>465.96044964631358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67.462842637569267</v>
      </c>
      <c r="DG42" s="23">
        <f>EXP(-LN(2)/25)*DG41+(1-EXP(-LN(2)/25))/(LN(2)/25)*Calculateur!DB42*Calculateur!DD42*VLOOKUP('Données projet'!$B$13,Paramètres!$A$1:$I$89,3,0)*0.475*44/12</f>
        <v>14.112493197073332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81.575335834642601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17</v>
      </c>
      <c r="DO42" s="13">
        <f>IF('Données projet'!$A$166&gt;35,DO41+DN42-DW41,IF(A42&lt;'Données projet'!$A$166,$DL$205^A42,IF(A42='Données projet'!$A$166,'Données projet'!$B$166,DO41+DN42-DW41)))</f>
        <v>314.99999999999994</v>
      </c>
      <c r="DP42" s="18">
        <f>DO42*VLOOKUP('Données projet'!$B$14,Paramètres!$A$1:$I$89,3,0)*VLOOKUP('Données projet'!$B$14,Paramètres!$A$1:$I$89,5,0)</f>
        <v>188.36999999999998</v>
      </c>
      <c r="DQ42" s="14">
        <f t="shared" si="43"/>
        <v>47.179402486491298</v>
      </c>
      <c r="DR42" s="22">
        <f t="shared" si="16"/>
        <v>410.24854266397227</v>
      </c>
      <c r="DS42" s="62">
        <f t="shared" si="17"/>
        <v>633.16949290760181</v>
      </c>
      <c r="DT42" s="62">
        <f ca="1">AVERAGE(OFFSET($DS$3,0,0,'Données projet'!$E$14+1,1))-AVERAGE(OFFSET($H$3,0,0,'Données projet'!$E$14+1,1))</f>
        <v>386.56102661082468</v>
      </c>
      <c r="DU42" s="62">
        <f t="shared" si="44"/>
        <v>410.28336627719011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16.289251785862259</v>
      </c>
      <c r="EB42" s="23">
        <f>EXP(-LN(2)/25)*EB41+(1-EXP(-LN(2)/25))/(LN(2)/25)*Calculateur!DW42*Calculateur!DY42*VLOOKUP('Données projet'!$B$14,Paramètres!$A$1:$I$89,3,0)*0.475*44/12</f>
        <v>1.7365384145086065</v>
      </c>
      <c r="EC42" s="23">
        <f>EXP(-LN(2)/2)*EC41+(1-EXP(-LN(2)/2))/(LN(2)/2)*DW42*DZ42*VLOOKUP('Données projet'!$B$14,Paramètres!$A$1:$I$89,3,0)*0.475*44/12</f>
        <v>0.5756971966254617</v>
      </c>
      <c r="ED42" s="24">
        <f t="shared" si="18"/>
        <v>18.601487396996326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570.39948933710059</v>
      </c>
      <c r="S43" s="62">
        <f ca="1">AVERAGE(OFFSET($R$3,0,0,'Données projet'!$E$9+1,1))-AVERAGE(OFFSET($H$3,0,0,'Données projet'!$E$9+1,1))</f>
        <v>499.92116338695428</v>
      </c>
      <c r="T43" s="62">
        <f t="shared" si="34"/>
        <v>316.79403154855652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1.8181546812799945</v>
      </c>
      <c r="AB43" s="23">
        <f>EXP(-LN(2)/2)*AB42+(1-EXP(-LN(2)/2))/(LN(2)/2)*V43*Y43*VLOOKUP('Données projet'!$B$9,Paramètres!$A$1:$I$89,3,0)*0.475*44/12</f>
        <v>0.7346448428225143</v>
      </c>
      <c r="AC43" s="24">
        <f t="shared" si="3"/>
        <v>2.5527995241025088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224.14244767173139</v>
      </c>
      <c r="AN43" s="62">
        <f ca="1">AVERAGE(OFFSET($AM$3,0,0,'Données projet'!$E$10+1,1))-AVERAGE(OFFSET($H$3,0,0,'Données projet'!$E$10+1,1))</f>
        <v>225.71928466161592</v>
      </c>
      <c r="AO43" s="62">
        <f t="shared" si="36"/>
        <v>385.98818770742025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211.70619219850786</v>
      </c>
      <c r="BJ43" s="62">
        <f t="shared" si="38"/>
        <v>426.883837098247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81.051064606478832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8.3120294997204454</v>
      </c>
      <c r="BS43" s="24">
        <f t="shared" si="9"/>
        <v>89.36309410619927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233</v>
      </c>
      <c r="BW43" s="13">
        <f>VLOOKUP(A43,'Données projet'!$A$113:$I$133,9,0)</f>
        <v>4.8</v>
      </c>
      <c r="BX43" s="13">
        <f t="array" ref="BX43">INDEX(BW:BW,MIN(IF(ISNUMBER(BW43:BW239),ROW(BW43:BW239),"")))</f>
        <v>4.8</v>
      </c>
      <c r="BY43" s="13">
        <f>IF('Données projet'!$A$114&gt;35,BY42+BX43-CG42,IF(A43&lt;'Données projet'!$A$114,$BV$205^A43,IF(A43='Données projet'!$A$114,'Données projet'!$B$114,BY42+BX43-CG42)))</f>
        <v>233.0000000000002</v>
      </c>
      <c r="BZ43" s="14">
        <f>BY43*VLOOKUP('Données projet'!$B$12,Paramètres!$A$1:$I$89,3,0)*VLOOKUP('Données projet'!$B$12,Paramètres!$A$1:$I$89,5,0)</f>
        <v>210.81840000000017</v>
      </c>
      <c r="CA43" s="14">
        <f t="shared" si="39"/>
        <v>52.114386184062248</v>
      </c>
      <c r="CB43" s="22">
        <f t="shared" si="10"/>
        <v>457.94126927057533</v>
      </c>
      <c r="CC43" s="62">
        <f t="shared" si="11"/>
        <v>682.08371694230561</v>
      </c>
      <c r="CD43" s="62">
        <f ca="1">AVERAGE(OFFSET($CC$3,0,0,'Données projet'!$E$12+1,1))-AVERAGE(OFFSET($H$3,0,0,'Données projet'!$E$12+1,1))</f>
        <v>327.07074355218322</v>
      </c>
      <c r="CE43" s="62">
        <f t="shared" si="40"/>
        <v>462.01668587029087</v>
      </c>
      <c r="CF43" s="16">
        <f>IF(ISNA(VLOOKUP(A43,'Données projet'!$A$113:$I$133,3,0)),0,VLOOKUP(A43,'Données projet'!$A$113:$I$133,3,0))</f>
        <v>8</v>
      </c>
      <c r="CG43" s="16">
        <f>IF(ISNA(VLOOKUP(A43,'Données projet'!$A$113:$I$133,4,0)),0,VLOOKUP(A43,'Données projet'!$A$113:$I$133,4,0))</f>
        <v>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11.266228708889612</v>
      </c>
      <c r="CL43" s="23">
        <f>EXP(-LN(2)/25)*CL42+(1-EXP(-LN(2)/25))/(LN(2)/25)*Calculateur!CG43*Calculateur!CI43*VLOOKUP('Données projet'!$B$12,Paramètres!$A$1:$I$89,3,0)*0.475*44/12</f>
        <v>2.3767338765516031</v>
      </c>
      <c r="CM43" s="23">
        <f>EXP(-LN(2)/2)*CM42+(1-EXP(-LN(2)/2))/(LN(2)/2)*CG43*CJ43*VLOOKUP('Données projet'!$B$12,Paramètres!$A$1:$I$89,3,0)*0.475*44/12</f>
        <v>1.8422219486583846E-5</v>
      </c>
      <c r="CN43" s="24">
        <f t="shared" si="12"/>
        <v>13.642981007660701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>
        <f>CT43*VLOOKUP('Données projet'!$B$13,Paramètres!$A$1:$I$89,3,0)*VLOOKUP('Données projet'!$B$13,Paramètres!$A$1:$I$89,5,0)</f>
        <v>0</v>
      </c>
      <c r="CV43" s="14" t="e">
        <f t="shared" si="41"/>
        <v>#NUM!</v>
      </c>
      <c r="CW43" s="22" t="e">
        <f t="shared" si="13"/>
        <v>#NUM!</v>
      </c>
      <c r="CX43" s="62" t="e">
        <f t="shared" si="14"/>
        <v>#NUM!</v>
      </c>
      <c r="CY43" s="62">
        <f ca="1">AVERAGE(OFFSET($CX$3,0,0,'Données projet'!$E$13+1,1))-AVERAGE(OFFSET($H$3,0,0,'Données projet'!$E$13+1,1))</f>
        <v>93.836028041880496</v>
      </c>
      <c r="CZ43" s="62">
        <f t="shared" si="42"/>
        <v>465.96044964631358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66.139937441717493</v>
      </c>
      <c r="DG43" s="23">
        <f>EXP(-LN(2)/25)*DG42+(1-EXP(-LN(2)/25))/(LN(2)/25)*Calculateur!DB43*Calculateur!DD43*VLOOKUP('Données projet'!$B$13,Paramètres!$A$1:$I$89,3,0)*0.475*44/12</f>
        <v>13.7265863284556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79.866523770173089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332</v>
      </c>
      <c r="DM43" s="13">
        <f>VLOOKUP(A43,'Données projet'!$A$165:$I$185,9,0)</f>
        <v>17</v>
      </c>
      <c r="DN43" s="13">
        <f t="array" ref="DN43">INDEX(DM:DM,MIN(IF(ISNUMBER(DM43:DM239),ROW(DM43:DM239),"")))</f>
        <v>17</v>
      </c>
      <c r="DO43" s="13">
        <f>IF('Données projet'!$A$166&gt;35,DO42+DN43-DW42,IF(A43&lt;'Données projet'!$A$166,$DL$205^A43,IF(A43='Données projet'!$A$166,'Données projet'!$B$166,DO42+DN43-DW42)))</f>
        <v>331.99999999999994</v>
      </c>
      <c r="DP43" s="18">
        <f>DO43*VLOOKUP('Données projet'!$B$14,Paramètres!$A$1:$I$89,3,0)*VLOOKUP('Données projet'!$B$14,Paramètres!$A$1:$I$89,5,0)</f>
        <v>198.53599999999997</v>
      </c>
      <c r="DQ43" s="14">
        <f t="shared" si="43"/>
        <v>49.422287391228707</v>
      </c>
      <c r="DR43" s="22">
        <f t="shared" si="16"/>
        <v>431.86068387305659</v>
      </c>
      <c r="DS43" s="62">
        <f t="shared" si="17"/>
        <v>656.00313154478692</v>
      </c>
      <c r="DT43" s="62">
        <f ca="1">AVERAGE(OFFSET($DS$3,0,0,'Données projet'!$E$14+1,1))-AVERAGE(OFFSET($H$3,0,0,'Données projet'!$E$14+1,1))</f>
        <v>386.56102661082468</v>
      </c>
      <c r="DU43" s="62">
        <f t="shared" si="44"/>
        <v>410.28336627719011</v>
      </c>
      <c r="DV43" s="16">
        <f>IF(ISNA(VLOOKUP(A43,'Données projet'!$A$165:$I$185,3,0)),0,VLOOKUP(A43,'Données projet'!$A$165:$I$185,3,0))</f>
        <v>6</v>
      </c>
      <c r="DW43" s="16">
        <f>IF(ISNA(VLOOKUP(A43,'Données projet'!$A$165:$I$185,4,0)),0,VLOOKUP(A43,'Données projet'!$A$165:$I$185,4,0))</f>
        <v>48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15.969829493804044</v>
      </c>
      <c r="EB43" s="23">
        <f>EXP(-LN(2)/25)*EB42+(1-EXP(-LN(2)/25))/(LN(2)/25)*Calculateur!DW43*Calculateur!DY43*VLOOKUP('Données projet'!$B$14,Paramètres!$A$1:$I$89,3,0)*0.475*44/12</f>
        <v>1.6890526802432824</v>
      </c>
      <c r="EC43" s="23">
        <f>EXP(-LN(2)/2)*EC42+(1-EXP(-LN(2)/2))/(LN(2)/2)*DW43*DZ43*VLOOKUP('Données projet'!$B$14,Paramètres!$A$1:$I$89,3,0)*0.475*44/12</f>
        <v>0.40707939164394918</v>
      </c>
      <c r="ED43" s="24">
        <f t="shared" si="18"/>
        <v>18.065961565691278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539.49922980721726</v>
      </c>
      <c r="S44" s="62">
        <f ca="1">AVERAGE(OFFSET($R$3,0,0,'Données projet'!$E$9+1,1))-AVERAGE(OFFSET($H$3,0,0,'Données projet'!$E$9+1,1))</f>
        <v>499.92116338695428</v>
      </c>
      <c r="T44" s="62">
        <f t="shared" si="34"/>
        <v>316.79403154855652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1.7684371459077939</v>
      </c>
      <c r="AB44" s="23">
        <f>EXP(-LN(2)/2)*AB43+(1-EXP(-LN(2)/2))/(LN(2)/2)*V44*Y44*VLOOKUP('Données projet'!$B$9,Paramètres!$A$1:$I$89,3,0)*0.475*44/12</f>
        <v>0.51947235012352522</v>
      </c>
      <c r="AC44" s="24">
        <f t="shared" si="3"/>
        <v>2.2879094960313191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225.34275485031372</v>
      </c>
      <c r="AN44" s="62">
        <f ca="1">AVERAGE(OFFSET($AM$3,0,0,'Données projet'!$E$10+1,1))-AVERAGE(OFFSET($H$3,0,0,'Données projet'!$E$10+1,1))</f>
        <v>225.71928466161592</v>
      </c>
      <c r="AO44" s="62">
        <f t="shared" si="36"/>
        <v>385.98818770742025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211.70619219850786</v>
      </c>
      <c r="BJ44" s="62">
        <f t="shared" si="38"/>
        <v>426.883837098247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79.46170266581376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5.8774924246749531</v>
      </c>
      <c r="BS44" s="24">
        <f t="shared" si="9"/>
        <v>85.339195090488715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</v>
      </c>
      <c r="BY44" s="13">
        <f>IF('Données projet'!$A$114&gt;35,BY43+BX44-CG43,IF(A44&lt;'Données projet'!$A$114,$BV$205^A44,IF(A44='Données projet'!$A$114,'Données projet'!$B$114,BY43+BX44-CG43)))</f>
        <v>232.0000000000002</v>
      </c>
      <c r="BZ44" s="14">
        <f>BY44*VLOOKUP('Données projet'!$B$12,Paramètres!$A$1:$I$89,3,0)*VLOOKUP('Données projet'!$B$12,Paramètres!$A$1:$I$89,5,0)</f>
        <v>209.9136000000002</v>
      </c>
      <c r="CA44" s="14">
        <f t="shared" si="39"/>
        <v>51.916704672341361</v>
      </c>
      <c r="CB44" s="22">
        <f t="shared" si="10"/>
        <v>456.02111397099492</v>
      </c>
      <c r="CC44" s="62">
        <f t="shared" si="11"/>
        <v>681.36386882130751</v>
      </c>
      <c r="CD44" s="62">
        <f ca="1">AVERAGE(OFFSET($CC$3,0,0,'Données projet'!$E$12+1,1))-AVERAGE(OFFSET($H$3,0,0,'Données projet'!$E$12+1,1))</f>
        <v>327.07074355218322</v>
      </c>
      <c r="CE44" s="62">
        <f t="shared" si="40"/>
        <v>462.01668587029087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11.045304835629272</v>
      </c>
      <c r="CL44" s="23">
        <f>EXP(-LN(2)/25)*CL43+(1-EXP(-LN(2)/25))/(LN(2)/25)*Calculateur!CG44*Calculateur!CI44*VLOOKUP('Données projet'!$B$12,Paramètres!$A$1:$I$89,3,0)*0.475*44/12</f>
        <v>2.3117419637102969</v>
      </c>
      <c r="CM44" s="23">
        <f>EXP(-LN(2)/2)*CM43+(1-EXP(-LN(2)/2))/(LN(2)/2)*CG44*CJ44*VLOOKUP('Données projet'!$B$12,Paramètres!$A$1:$I$89,3,0)*0.475*44/12</f>
        <v>1.3026476323470396E-5</v>
      </c>
      <c r="CN44" s="24">
        <f t="shared" si="12"/>
        <v>13.357059825815893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>
        <f>CT44*VLOOKUP('Données projet'!$B$13,Paramètres!$A$1:$I$89,3,0)*VLOOKUP('Données projet'!$B$13,Paramètres!$A$1:$I$89,5,0)</f>
        <v>0</v>
      </c>
      <c r="CV44" s="14" t="e">
        <f t="shared" si="41"/>
        <v>#NUM!</v>
      </c>
      <c r="CW44" s="22" t="e">
        <f t="shared" si="13"/>
        <v>#NUM!</v>
      </c>
      <c r="CX44" s="62" t="e">
        <f t="shared" si="14"/>
        <v>#NUM!</v>
      </c>
      <c r="CY44" s="62">
        <f ca="1">AVERAGE(OFFSET($CX$3,0,0,'Données projet'!$E$13+1,1))-AVERAGE(OFFSET($H$3,0,0,'Données projet'!$E$13+1,1))</f>
        <v>93.836028041880496</v>
      </c>
      <c r="CZ44" s="62">
        <f t="shared" si="42"/>
        <v>465.96044964631358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64.842973609863876</v>
      </c>
      <c r="DG44" s="23">
        <f>EXP(-LN(2)/25)*DG43+(1-EXP(-LN(2)/25))/(LN(2)/25)*Calculateur!DB44*Calculateur!DD44*VLOOKUP('Données projet'!$B$13,Paramètres!$A$1:$I$89,3,0)*0.475*44/12</f>
        <v>13.351232103454178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78.194205713318055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20</v>
      </c>
      <c r="DO44" s="13">
        <f>IF('Données projet'!$A$166&gt;35,DO43+DN44-DW43,IF(A44&lt;'Données projet'!$A$166,$DL$205^A44,IF(A44='Données projet'!$A$166,'Données projet'!$B$166,DO43+DN44-DW43)))</f>
        <v>303.99999999999994</v>
      </c>
      <c r="DP44" s="18">
        <f>DO44*VLOOKUP('Données projet'!$B$14,Paramètres!$A$1:$I$89,3,0)*VLOOKUP('Données projet'!$B$14,Paramètres!$A$1:$I$89,5,0)</f>
        <v>181.79199999999997</v>
      </c>
      <c r="DQ44" s="14">
        <f t="shared" si="43"/>
        <v>45.720642997712531</v>
      </c>
      <c r="DR44" s="22">
        <f t="shared" si="16"/>
        <v>396.25118655434926</v>
      </c>
      <c r="DS44" s="62">
        <f t="shared" si="17"/>
        <v>621.5939414046619</v>
      </c>
      <c r="DT44" s="62">
        <f ca="1">AVERAGE(OFFSET($DS$3,0,0,'Données projet'!$E$14+1,1))-AVERAGE(OFFSET($H$3,0,0,'Données projet'!$E$14+1,1))</f>
        <v>386.56102661082468</v>
      </c>
      <c r="DU44" s="62">
        <f t="shared" si="44"/>
        <v>410.28336627719011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15.65667087806473</v>
      </c>
      <c r="EB44" s="23">
        <f>EXP(-LN(2)/25)*EB43+(1-EXP(-LN(2)/25))/(LN(2)/25)*Calculateur!DW44*Calculateur!DY44*VLOOKUP('Données projet'!$B$14,Paramètres!$A$1:$I$89,3,0)*0.475*44/12</f>
        <v>1.6428654458786098</v>
      </c>
      <c r="EC44" s="23">
        <f>EXP(-LN(2)/2)*EC43+(1-EXP(-LN(2)/2))/(LN(2)/2)*DW44*DZ44*VLOOKUP('Données projet'!$B$14,Paramètres!$A$1:$I$89,3,0)*0.475*44/12</f>
        <v>0.28784859831273085</v>
      </c>
      <c r="ED44" s="24">
        <f t="shared" si="18"/>
        <v>17.587384922256071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562.73104170042757</v>
      </c>
      <c r="S45" s="62">
        <f ca="1">AVERAGE(OFFSET($R$3,0,0,'Données projet'!$E$9+1,1))-AVERAGE(OFFSET($H$3,0,0,'Données projet'!$E$9+1,1))</f>
        <v>499.92116338695428</v>
      </c>
      <c r="T45" s="62">
        <f t="shared" si="34"/>
        <v>316.79403154855652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1.7200791391548775</v>
      </c>
      <c r="AB45" s="23">
        <f>EXP(-LN(2)/2)*AB44+(1-EXP(-LN(2)/2))/(LN(2)/2)*V45*Y45*VLOOKUP('Données projet'!$B$9,Paramètres!$A$1:$I$89,3,0)*0.475*44/12</f>
        <v>0.36732242141125715</v>
      </c>
      <c r="AC45" s="24">
        <f t="shared" si="3"/>
        <v>2.0874015605661347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226.52223938283251</v>
      </c>
      <c r="AN45" s="62">
        <f ca="1">AVERAGE(OFFSET($AM$3,0,0,'Données projet'!$E$10+1,1))-AVERAGE(OFFSET($H$3,0,0,'Données projet'!$E$10+1,1))</f>
        <v>225.71928466161592</v>
      </c>
      <c r="AO45" s="62">
        <f t="shared" si="36"/>
        <v>385.98818770742025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211.70619219850786</v>
      </c>
      <c r="BJ45" s="62">
        <f t="shared" si="38"/>
        <v>426.883837098247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77.903507143390073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4.1560147498602227</v>
      </c>
      <c r="BS45" s="24">
        <f t="shared" si="9"/>
        <v>82.059521893250292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</v>
      </c>
      <c r="BY45" s="13">
        <f>IF('Données projet'!$A$114&gt;35,BY44+BX45-CG44,IF(A45&lt;'Données projet'!$A$114,$BV$205^A45,IF(A45='Données projet'!$A$114,'Données projet'!$B$114,BY44+BX45-CG44)))</f>
        <v>237.0000000000002</v>
      </c>
      <c r="BZ45" s="14">
        <f>BY45*VLOOKUP('Données projet'!$B$12,Paramètres!$A$1:$I$89,3,0)*VLOOKUP('Données projet'!$B$12,Paramètres!$A$1:$I$89,5,0)</f>
        <v>214.43760000000015</v>
      </c>
      <c r="CA45" s="14">
        <f t="shared" si="39"/>
        <v>52.904129603372425</v>
      </c>
      <c r="CB45" s="22">
        <f t="shared" si="10"/>
        <v>465.6201790592072</v>
      </c>
      <c r="CC45" s="62">
        <f t="shared" si="11"/>
        <v>692.14241844203866</v>
      </c>
      <c r="CD45" s="62">
        <f ca="1">AVERAGE(OFFSET($CC$3,0,0,'Données projet'!$E$12+1,1))-AVERAGE(OFFSET($H$3,0,0,'Données projet'!$E$12+1,1))</f>
        <v>327.07074355218322</v>
      </c>
      <c r="CE45" s="62">
        <f t="shared" si="40"/>
        <v>462.01668587029087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10.828713144773312</v>
      </c>
      <c r="CL45" s="23">
        <f>EXP(-LN(2)/25)*CL44+(1-EXP(-LN(2)/25))/(LN(2)/25)*Calculateur!CG45*Calculateur!CI45*VLOOKUP('Données projet'!$B$12,Paramètres!$A$1:$I$89,3,0)*0.475*44/12</f>
        <v>2.2485272581434126</v>
      </c>
      <c r="CM45" s="23">
        <f>EXP(-LN(2)/2)*CM44+(1-EXP(-LN(2)/2))/(LN(2)/2)*CG45*CJ45*VLOOKUP('Données projet'!$B$12,Paramètres!$A$1:$I$89,3,0)*0.475*44/12</f>
        <v>9.2111097432919232E-6</v>
      </c>
      <c r="CN45" s="24">
        <f t="shared" si="12"/>
        <v>13.077249614026469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>
        <f>CT45*VLOOKUP('Données projet'!$B$13,Paramètres!$A$1:$I$89,3,0)*VLOOKUP('Données projet'!$B$13,Paramètres!$A$1:$I$89,5,0)</f>
        <v>0</v>
      </c>
      <c r="CV45" s="14" t="e">
        <f t="shared" si="41"/>
        <v>#NUM!</v>
      </c>
      <c r="CW45" s="22" t="e">
        <f t="shared" si="13"/>
        <v>#NUM!</v>
      </c>
      <c r="CX45" s="62" t="e">
        <f t="shared" si="14"/>
        <v>#NUM!</v>
      </c>
      <c r="CY45" s="62">
        <f ca="1">AVERAGE(OFFSET($CX$3,0,0,'Données projet'!$E$13+1,1))-AVERAGE(OFFSET($H$3,0,0,'Données projet'!$E$13+1,1))</f>
        <v>93.836028041880496</v>
      </c>
      <c r="CZ45" s="62">
        <f t="shared" si="42"/>
        <v>465.96044964631358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63.571442447683076</v>
      </c>
      <c r="DG45" s="23">
        <f>EXP(-LN(2)/25)*DG44+(1-EXP(-LN(2)/25))/(LN(2)/25)*Calculateur!DB45*Calculateur!DD45*VLOOKUP('Données projet'!$B$13,Paramètres!$A$1:$I$89,3,0)*0.475*44/12</f>
        <v>12.986141959474441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76.55758440715752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20</v>
      </c>
      <c r="DO45" s="13">
        <f>IF('Données projet'!$A$166&gt;35,DO44+DN45-DW44,IF(A45&lt;'Données projet'!$A$166,$DL$205^A45,IF(A45='Données projet'!$A$166,'Données projet'!$B$166,DO44+DN45-DW44)))</f>
        <v>323.99999999999994</v>
      </c>
      <c r="DP45" s="18">
        <f>DO45*VLOOKUP('Données projet'!$B$14,Paramètres!$A$1:$I$89,3,0)*VLOOKUP('Données projet'!$B$14,Paramètres!$A$1:$I$89,5,0)</f>
        <v>193.75200000000001</v>
      </c>
      <c r="DQ45" s="14">
        <f t="shared" si="43"/>
        <v>48.368520355376113</v>
      </c>
      <c r="DR45" s="22">
        <f t="shared" si="16"/>
        <v>421.69323961894673</v>
      </c>
      <c r="DS45" s="62">
        <f t="shared" si="17"/>
        <v>648.21547900177814</v>
      </c>
      <c r="DT45" s="62">
        <f ca="1">AVERAGE(OFFSET($DS$3,0,0,'Données projet'!$E$14+1,1))-AVERAGE(OFFSET($H$3,0,0,'Données projet'!$E$14+1,1))</f>
        <v>386.56102661082468</v>
      </c>
      <c r="DU45" s="62">
        <f t="shared" si="44"/>
        <v>410.28336627719011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15.34965311177217</v>
      </c>
      <c r="EB45" s="23">
        <f>EXP(-LN(2)/25)*EB44+(1-EXP(-LN(2)/25))/(LN(2)/25)*Calculateur!DW45*Calculateur!DY45*VLOOKUP('Données projet'!$B$14,Paramètres!$A$1:$I$89,3,0)*0.475*44/12</f>
        <v>1.5979412038665202</v>
      </c>
      <c r="EC45" s="23">
        <f>EXP(-LN(2)/2)*EC44+(1-EXP(-LN(2)/2))/(LN(2)/2)*DW45*DZ45*VLOOKUP('Données projet'!$B$14,Paramètres!$A$1:$I$89,3,0)*0.475*44/12</f>
        <v>0.20353969582197459</v>
      </c>
      <c r="ED45" s="24">
        <f t="shared" si="18"/>
        <v>17.151134011460663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585.91054807647424</v>
      </c>
      <c r="S46" s="62">
        <f ca="1">AVERAGE(OFFSET($R$3,0,0,'Données projet'!$E$9+1,1))-AVERAGE(OFFSET($H$3,0,0,'Données projet'!$E$9+1,1))</f>
        <v>499.92116338695428</v>
      </c>
      <c r="T46" s="62">
        <f t="shared" si="34"/>
        <v>316.79403154855652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1.6730434846396567</v>
      </c>
      <c r="AB46" s="23">
        <f>EXP(-LN(2)/2)*AB45+(1-EXP(-LN(2)/2))/(LN(2)/2)*V46*Y46*VLOOKUP('Données projet'!$B$9,Paramètres!$A$1:$I$89,3,0)*0.475*44/12</f>
        <v>0.25973617506176261</v>
      </c>
      <c r="AC46" s="24">
        <f t="shared" si="3"/>
        <v>1.9327796597014193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227.68126249564446</v>
      </c>
      <c r="AN46" s="62">
        <f ca="1">AVERAGE(OFFSET($AM$3,0,0,'Données projet'!$E$10+1,1))-AVERAGE(OFFSET($H$3,0,0,'Données projet'!$E$10+1,1))</f>
        <v>225.71928466161592</v>
      </c>
      <c r="AO46" s="62">
        <f t="shared" si="36"/>
        <v>385.98818770742025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211.70619219850786</v>
      </c>
      <c r="BJ46" s="62">
        <f t="shared" si="38"/>
        <v>426.883837098247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76.375866884755695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2.9387462123374766</v>
      </c>
      <c r="BS46" s="24">
        <f t="shared" si="9"/>
        <v>79.314613097093172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</v>
      </c>
      <c r="BY46" s="13">
        <f>IF('Données projet'!$A$114&gt;35,BY45+BX46-CG45,IF(A46&lt;'Données projet'!$A$114,$BV$205^A46,IF(A46='Données projet'!$A$114,'Données projet'!$B$114,BY45+BX46-CG45)))</f>
        <v>242.0000000000002</v>
      </c>
      <c r="BZ46" s="14">
        <f>BY46*VLOOKUP('Données projet'!$B$12,Paramètres!$A$1:$I$89,3,0)*VLOOKUP('Données projet'!$B$12,Paramètres!$A$1:$I$89,5,0)</f>
        <v>218.96160000000017</v>
      </c>
      <c r="CA46" s="14">
        <f t="shared" si="39"/>
        <v>53.889132503707479</v>
      </c>
      <c r="CB46" s="22">
        <f t="shared" si="10"/>
        <v>475.2150257772908</v>
      </c>
      <c r="CC46" s="62">
        <f t="shared" si="11"/>
        <v>702.89628827293416</v>
      </c>
      <c r="CD46" s="62">
        <f ca="1">AVERAGE(OFFSET($CC$3,0,0,'Données projet'!$E$12+1,1))-AVERAGE(OFFSET($H$3,0,0,'Données projet'!$E$12+1,1))</f>
        <v>327.07074355218322</v>
      </c>
      <c r="CE46" s="62">
        <f t="shared" si="40"/>
        <v>462.01668587029087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10.616368684867149</v>
      </c>
      <c r="CL46" s="23">
        <f>EXP(-LN(2)/25)*CL45+(1-EXP(-LN(2)/25))/(LN(2)/25)*Calculateur!CG46*Calculateur!CI46*VLOOKUP('Données projet'!$B$12,Paramètres!$A$1:$I$89,3,0)*0.475*44/12</f>
        <v>2.1870411620245713</v>
      </c>
      <c r="CM46" s="23">
        <f>EXP(-LN(2)/2)*CM45+(1-EXP(-LN(2)/2))/(LN(2)/2)*CG46*CJ46*VLOOKUP('Données projet'!$B$12,Paramètres!$A$1:$I$89,3,0)*0.475*44/12</f>
        <v>6.5132381617351979E-6</v>
      </c>
      <c r="CN46" s="24">
        <f t="shared" si="12"/>
        <v>12.803416360129884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>
        <f>CT46*VLOOKUP('Données projet'!$B$13,Paramètres!$A$1:$I$89,3,0)*VLOOKUP('Données projet'!$B$13,Paramètres!$A$1:$I$89,5,0)</f>
        <v>0</v>
      </c>
      <c r="CV46" s="14" t="e">
        <f t="shared" si="41"/>
        <v>#NUM!</v>
      </c>
      <c r="CW46" s="22" t="e">
        <f t="shared" si="13"/>
        <v>#NUM!</v>
      </c>
      <c r="CX46" s="62" t="e">
        <f t="shared" si="14"/>
        <v>#NUM!</v>
      </c>
      <c r="CY46" s="62">
        <f ca="1">AVERAGE(OFFSET($CX$3,0,0,'Données projet'!$E$13+1,1))-AVERAGE(OFFSET($H$3,0,0,'Données projet'!$E$13+1,1))</f>
        <v>93.836028041880496</v>
      </c>
      <c r="CZ46" s="62">
        <f t="shared" si="42"/>
        <v>465.96044964631358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62.324845236035216</v>
      </c>
      <c r="DG46" s="23">
        <f>EXP(-LN(2)/25)*DG45+(1-EXP(-LN(2)/25))/(LN(2)/25)*Calculateur!DB46*Calculateur!DD46*VLOOKUP('Données projet'!$B$13,Paramètres!$A$1:$I$89,3,0)*0.475*44/12</f>
        <v>12.631035224681087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74.955880460716301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20</v>
      </c>
      <c r="DO46" s="13">
        <f>IF('Données projet'!$A$166&gt;35,DO45+DN46-DW45,IF(A46&lt;'Données projet'!$A$166,$DL$205^A46,IF(A46='Données projet'!$A$166,'Données projet'!$B$166,DO45+DN46-DW45)))</f>
        <v>343.99999999999994</v>
      </c>
      <c r="DP46" s="18">
        <f>DO46*VLOOKUP('Données projet'!$B$14,Paramètres!$A$1:$I$89,3,0)*VLOOKUP('Données projet'!$B$14,Paramètres!$A$1:$I$89,5,0)</f>
        <v>205.71199999999999</v>
      </c>
      <c r="DQ46" s="14">
        <f t="shared" si="43"/>
        <v>50.99742769693372</v>
      </c>
      <c r="DR46" s="22">
        <f t="shared" si="16"/>
        <v>447.10225323882611</v>
      </c>
      <c r="DS46" s="62">
        <f t="shared" si="17"/>
        <v>674.78351573446946</v>
      </c>
      <c r="DT46" s="62">
        <f ca="1">AVERAGE(OFFSET($DS$3,0,0,'Données projet'!$E$14+1,1))-AVERAGE(OFFSET($H$3,0,0,'Données projet'!$E$14+1,1))</f>
        <v>386.56102661082468</v>
      </c>
      <c r="DU46" s="62">
        <f t="shared" si="44"/>
        <v>410.28336627719011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15.048655776614259</v>
      </c>
      <c r="EB46" s="23">
        <f>EXP(-LN(2)/25)*EB45+(1-EXP(-LN(2)/25))/(LN(2)/25)*Calculateur!DW46*Calculateur!DY46*VLOOKUP('Données projet'!$B$14,Paramètres!$A$1:$I$89,3,0)*0.475*44/12</f>
        <v>1.5542454176147145</v>
      </c>
      <c r="EC46" s="23">
        <f>EXP(-LN(2)/2)*EC45+(1-EXP(-LN(2)/2))/(LN(2)/2)*DW46*DZ46*VLOOKUP('Données projet'!$B$14,Paramètres!$A$1:$I$89,3,0)*0.475*44/12</f>
        <v>0.14392429915636543</v>
      </c>
      <c r="ED46" s="24">
        <f t="shared" si="18"/>
        <v>16.746825493385337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609.04033539781517</v>
      </c>
      <c r="S47" s="62">
        <f ca="1">AVERAGE(OFFSET($R$3,0,0,'Données projet'!$E$9+1,1))-AVERAGE(OFFSET($H$3,0,0,'Données projet'!$E$9+1,1))</f>
        <v>499.92116338695428</v>
      </c>
      <c r="T47" s="62">
        <f t="shared" si="34"/>
        <v>316.79403154855652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1.6272940225706523</v>
      </c>
      <c r="AB47" s="23">
        <f>EXP(-LN(2)/2)*AB46+(1-EXP(-LN(2)/2))/(LN(2)/2)*V47*Y47*VLOOKUP('Données projet'!$B$9,Paramètres!$A$1:$I$89,3,0)*0.475*44/12</f>
        <v>0.18366121070562857</v>
      </c>
      <c r="AC47" s="24">
        <f t="shared" si="3"/>
        <v>1.8109552332762808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228.82017914863664</v>
      </c>
      <c r="AN47" s="62">
        <f ca="1">AVERAGE(OFFSET($AM$3,0,0,'Données projet'!$E$10+1,1))-AVERAGE(OFFSET($H$3,0,0,'Données projet'!$E$10+1,1))</f>
        <v>225.71928466161592</v>
      </c>
      <c r="AO47" s="62">
        <f t="shared" si="36"/>
        <v>385.98818770742025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211.70619219850786</v>
      </c>
      <c r="BJ47" s="62">
        <f t="shared" si="38"/>
        <v>426.883837098247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74.878182719824579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2.0780073749301113</v>
      </c>
      <c r="BS47" s="24">
        <f t="shared" si="9"/>
        <v>76.956190094754689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</v>
      </c>
      <c r="BY47" s="13">
        <f>IF('Données projet'!$A$114&gt;35,BY46+BX47-CG46,IF(A47&lt;'Données projet'!$A$114,$BV$205^A47,IF(A47='Données projet'!$A$114,'Données projet'!$B$114,BY46+BX47-CG46)))</f>
        <v>247.0000000000002</v>
      </c>
      <c r="BZ47" s="14">
        <f>BY47*VLOOKUP('Données projet'!$B$12,Paramètres!$A$1:$I$89,3,0)*VLOOKUP('Données projet'!$B$12,Paramètres!$A$1:$I$89,5,0)</f>
        <v>223.48560000000018</v>
      </c>
      <c r="CA47" s="14">
        <f t="shared" si="39"/>
        <v>54.87176918107798</v>
      </c>
      <c r="CB47" s="22">
        <f t="shared" si="10"/>
        <v>484.80575132371115</v>
      </c>
      <c r="CC47" s="62">
        <f t="shared" si="11"/>
        <v>713.62593047234668</v>
      </c>
      <c r="CD47" s="62">
        <f ca="1">AVERAGE(OFFSET($CC$3,0,0,'Données projet'!$E$12+1,1))-AVERAGE(OFFSET($H$3,0,0,'Données projet'!$E$12+1,1))</f>
        <v>327.07074355218322</v>
      </c>
      <c r="CE47" s="62">
        <f t="shared" si="40"/>
        <v>462.01668587029087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10.408188170302415</v>
      </c>
      <c r="CL47" s="23">
        <f>EXP(-LN(2)/25)*CL46+(1-EXP(-LN(2)/25))/(LN(2)/25)*Calculateur!CG47*Calculateur!CI47*VLOOKUP('Données projet'!$B$12,Paramètres!$A$1:$I$89,3,0)*0.475*44/12</f>
        <v>2.1272364064375133</v>
      </c>
      <c r="CM47" s="23">
        <f>EXP(-LN(2)/2)*CM46+(1-EXP(-LN(2)/2))/(LN(2)/2)*CG47*CJ47*VLOOKUP('Données projet'!$B$12,Paramètres!$A$1:$I$89,3,0)*0.475*44/12</f>
        <v>4.6055548716459616E-6</v>
      </c>
      <c r="CN47" s="24">
        <f t="shared" si="12"/>
        <v>12.535429182294799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>
        <f>CT47*VLOOKUP('Données projet'!$B$13,Paramètres!$A$1:$I$89,3,0)*VLOOKUP('Données projet'!$B$13,Paramètres!$A$1:$I$89,5,0)</f>
        <v>0</v>
      </c>
      <c r="CV47" s="14" t="e">
        <f t="shared" si="41"/>
        <v>#NUM!</v>
      </c>
      <c r="CW47" s="22" t="e">
        <f t="shared" si="13"/>
        <v>#NUM!</v>
      </c>
      <c r="CX47" s="62" t="e">
        <f t="shared" si="14"/>
        <v>#NUM!</v>
      </c>
      <c r="CY47" s="62">
        <f ca="1">AVERAGE(OFFSET($CX$3,0,0,'Données projet'!$E$13+1,1))-AVERAGE(OFFSET($H$3,0,0,'Données projet'!$E$13+1,1))</f>
        <v>93.836028041880496</v>
      </c>
      <c r="CZ47" s="62">
        <f t="shared" si="42"/>
        <v>465.96044964631358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61.102693035358548</v>
      </c>
      <c r="DG47" s="23">
        <f>EXP(-LN(2)/25)*DG46+(1-EXP(-LN(2)/25))/(LN(2)/25)*Calculateur!DB47*Calculateur!DD47*VLOOKUP('Données projet'!$B$13,Paramètres!$A$1:$I$89,3,0)*0.475*44/12</f>
        <v>12.285638902224909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73.388331937583459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20</v>
      </c>
      <c r="DO47" s="13">
        <f>IF('Données projet'!$A$166&gt;35,DO46+DN47-DW46,IF(A47&lt;'Données projet'!$A$166,$DL$205^A47,IF(A47='Données projet'!$A$166,'Données projet'!$B$166,DO46+DN47-DW46)))</f>
        <v>363.99999999999994</v>
      </c>
      <c r="DP47" s="18">
        <f>DO47*VLOOKUP('Données projet'!$B$14,Paramètres!$A$1:$I$89,3,0)*VLOOKUP('Données projet'!$B$14,Paramètres!$A$1:$I$89,5,0)</f>
        <v>217.67199999999997</v>
      </c>
      <c r="DQ47" s="14">
        <f t="shared" si="43"/>
        <v>53.60859357546002</v>
      </c>
      <c r="DR47" s="22">
        <f t="shared" si="16"/>
        <v>472.48036714392612</v>
      </c>
      <c r="DS47" s="62">
        <f t="shared" si="17"/>
        <v>701.30054629256165</v>
      </c>
      <c r="DT47" s="62">
        <f ca="1">AVERAGE(OFFSET($DS$3,0,0,'Données projet'!$E$14+1,1))-AVERAGE(OFFSET($H$3,0,0,'Données projet'!$E$14+1,1))</f>
        <v>386.56102661082468</v>
      </c>
      <c r="DU47" s="62">
        <f t="shared" si="44"/>
        <v>410.28336627719011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14.753560815608548</v>
      </c>
      <c r="EB47" s="23">
        <f>EXP(-LN(2)/25)*EB46+(1-EXP(-LN(2)/25))/(LN(2)/25)*Calculateur!DW47*Calculateur!DY47*VLOOKUP('Données projet'!$B$14,Paramètres!$A$1:$I$89,3,0)*0.475*44/12</f>
        <v>1.5117444949358259</v>
      </c>
      <c r="EC47" s="23">
        <f>EXP(-LN(2)/2)*EC46+(1-EXP(-LN(2)/2))/(LN(2)/2)*DW47*DZ47*VLOOKUP('Données projet'!$B$14,Paramètres!$A$1:$I$89,3,0)*0.475*44/12</f>
        <v>0.1017698479109873</v>
      </c>
      <c r="ED47" s="24">
        <f t="shared" si="18"/>
        <v>16.367075158455361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632.12270488026672</v>
      </c>
      <c r="S48" s="62">
        <f ca="1">AVERAGE(OFFSET($R$3,0,0,'Données projet'!$E$9+1,1))-AVERAGE(OFFSET($H$3,0,0,'Données projet'!$E$9+1,1))</f>
        <v>499.92116338695428</v>
      </c>
      <c r="T48" s="62">
        <f t="shared" si="34"/>
        <v>316.79403154855652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1.5827955819477844</v>
      </c>
      <c r="AB48" s="23">
        <f>EXP(-LN(2)/2)*AB47+(1-EXP(-LN(2)/2))/(LN(2)/2)*V48*Y48*VLOOKUP('Données projet'!$B$9,Paramètres!$A$1:$I$89,3,0)*0.475*44/12</f>
        <v>0.1298680875308813</v>
      </c>
      <c r="AC48" s="24">
        <f t="shared" si="3"/>
        <v>1.7126636694786657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229.9393381439356</v>
      </c>
      <c r="AN48" s="62">
        <f ca="1">AVERAGE(OFFSET($AM$3,0,0,'Données projet'!$E$10+1,1))-AVERAGE(OFFSET($H$3,0,0,'Données projet'!$E$10+1,1))</f>
        <v>225.71928466161592</v>
      </c>
      <c r="AO48" s="62">
        <f t="shared" si="36"/>
        <v>385.98818770742025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211.70619219850786</v>
      </c>
      <c r="BJ48" s="62">
        <f t="shared" si="38"/>
        <v>426.883837098247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73.40986722787062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1.4693731061687383</v>
      </c>
      <c r="BS48" s="24">
        <f t="shared" si="9"/>
        <v>74.879240334039352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252</v>
      </c>
      <c r="BW48" s="13">
        <f>VLOOKUP(A48,'Données projet'!$A$113:$I$133,9,0)</f>
        <v>5</v>
      </c>
      <c r="BX48" s="13">
        <f t="array" ref="BX48">INDEX(BW:BW,MIN(IF(ISNUMBER(BW48:BW244),ROW(BW48:BW244),"")))</f>
        <v>5</v>
      </c>
      <c r="BY48" s="13">
        <f>IF('Données projet'!$A$114&gt;35,BY47+BX48-CG47,IF(A48&lt;'Données projet'!$A$114,$BV$205^A48,IF(A48='Données projet'!$A$114,'Données projet'!$B$114,BY47+BX48-CG47)))</f>
        <v>252.0000000000002</v>
      </c>
      <c r="BZ48" s="14">
        <f>BY48*VLOOKUP('Données projet'!$B$12,Paramètres!$A$1:$I$89,3,0)*VLOOKUP('Données projet'!$B$12,Paramètres!$A$1:$I$89,5,0)</f>
        <v>228.00960000000018</v>
      </c>
      <c r="CA48" s="14">
        <f t="shared" si="39"/>
        <v>55.852093054619878</v>
      </c>
      <c r="CB48" s="22">
        <f t="shared" si="10"/>
        <v>494.39244873679655</v>
      </c>
      <c r="CC48" s="62">
        <f t="shared" si="11"/>
        <v>724.3317868807311</v>
      </c>
      <c r="CD48" s="62">
        <f ca="1">AVERAGE(OFFSET($CC$3,0,0,'Données projet'!$E$12+1,1))-AVERAGE(OFFSET($H$3,0,0,'Données projet'!$E$12+1,1))</f>
        <v>327.07074355218322</v>
      </c>
      <c r="CE48" s="62">
        <f t="shared" si="40"/>
        <v>462.01668587029087</v>
      </c>
      <c r="CF48" s="16">
        <f>IF(ISNA(VLOOKUP(A48,'Données projet'!$A$113:$I$133,3,0)),0,VLOOKUP(A48,'Données projet'!$A$113:$I$133,3,0))</f>
        <v>9</v>
      </c>
      <c r="CG48" s="16">
        <f>IF(ISNA(VLOOKUP(A48,'Données projet'!$A$113:$I$133,4,0)),0,VLOOKUP(A48,'Données projet'!$A$113:$I$133,4,0))</f>
        <v>252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10.204089948650719</v>
      </c>
      <c r="CL48" s="23">
        <f>EXP(-LN(2)/25)*CL47+(1-EXP(-LN(2)/25))/(LN(2)/25)*Calculateur!CG48*Calculateur!CI48*VLOOKUP('Données projet'!$B$12,Paramètres!$A$1:$I$89,3,0)*0.475*44/12</f>
        <v>2.0690670150369788</v>
      </c>
      <c r="CM48" s="23">
        <f>EXP(-LN(2)/2)*CM47+(1-EXP(-LN(2)/2))/(LN(2)/2)*CG48*CJ48*VLOOKUP('Données projet'!$B$12,Paramètres!$A$1:$I$89,3,0)*0.475*44/12</f>
        <v>3.256619080867599E-6</v>
      </c>
      <c r="CN48" s="24">
        <f t="shared" si="12"/>
        <v>12.273160220306778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>
        <f>CT48*VLOOKUP('Données projet'!$B$13,Paramètres!$A$1:$I$89,3,0)*VLOOKUP('Données projet'!$B$13,Paramètres!$A$1:$I$89,5,0)</f>
        <v>0</v>
      </c>
      <c r="CV48" s="14" t="e">
        <f t="shared" si="41"/>
        <v>#NUM!</v>
      </c>
      <c r="CW48" s="22" t="e">
        <f t="shared" si="13"/>
        <v>#NUM!</v>
      </c>
      <c r="CX48" s="62" t="e">
        <f t="shared" si="14"/>
        <v>#NUM!</v>
      </c>
      <c r="CY48" s="62">
        <f ca="1">AVERAGE(OFFSET($CX$3,0,0,'Données projet'!$E$13+1,1))-AVERAGE(OFFSET($H$3,0,0,'Données projet'!$E$13+1,1))</f>
        <v>93.836028041880496</v>
      </c>
      <c r="CZ48" s="62">
        <f t="shared" si="42"/>
        <v>465.96044964631358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59.904506493897912</v>
      </c>
      <c r="DG48" s="23">
        <f>EXP(-LN(2)/25)*DG47+(1-EXP(-LN(2)/25))/(LN(2)/25)*Calculateur!DB48*Calculateur!DD48*VLOOKUP('Données projet'!$B$13,Paramètres!$A$1:$I$89,3,0)*0.475*44/12</f>
        <v>11.949687460369898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71.854193954267814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384</v>
      </c>
      <c r="DM48" s="13">
        <f>VLOOKUP(A48,'Données projet'!$A$165:$I$185,9,0)</f>
        <v>20</v>
      </c>
      <c r="DN48" s="13">
        <f t="array" ref="DN48">INDEX(DM:DM,MIN(IF(ISNUMBER(DM48:DM244),ROW(DM48:DM244),"")))</f>
        <v>20</v>
      </c>
      <c r="DO48" s="13">
        <f>IF('Données projet'!$A$166&gt;35,DO47+DN48-DW47,IF(A48&lt;'Données projet'!$A$166,$DL$205^A48,IF(A48='Données projet'!$A$166,'Données projet'!$B$166,DO47+DN48-DW47)))</f>
        <v>383.99999999999994</v>
      </c>
      <c r="DP48" s="18">
        <f>DO48*VLOOKUP('Données projet'!$B$14,Paramètres!$A$1:$I$89,3,0)*VLOOKUP('Données projet'!$B$14,Paramètres!$A$1:$I$89,5,0)</f>
        <v>229.63199999999998</v>
      </c>
      <c r="DQ48" s="14">
        <f t="shared" si="43"/>
        <v>56.20310391330667</v>
      </c>
      <c r="DR48" s="22">
        <f t="shared" si="16"/>
        <v>497.82947264900895</v>
      </c>
      <c r="DS48" s="62">
        <f t="shared" si="17"/>
        <v>727.76881079294344</v>
      </c>
      <c r="DT48" s="62">
        <f ca="1">AVERAGE(OFFSET($DS$3,0,0,'Données projet'!$E$14+1,1))-AVERAGE(OFFSET($H$3,0,0,'Données projet'!$E$14+1,1))</f>
        <v>386.56102661082468</v>
      </c>
      <c r="DU48" s="62">
        <f t="shared" si="44"/>
        <v>410.28336627719011</v>
      </c>
      <c r="DV48" s="16">
        <f>IF(ISNA(VLOOKUP(A48,'Données projet'!$A$165:$I$185,3,0)),0,VLOOKUP(A48,'Données projet'!$A$165:$I$185,3,0))</f>
        <v>7</v>
      </c>
      <c r="DW48" s="16">
        <f>IF(ISNA(VLOOKUP(A48,'Données projet'!$A$165:$I$185,4,0)),0,VLOOKUP(A48,'Données projet'!$A$165:$I$185,4,0))</f>
        <v>57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14.464252486798006</v>
      </c>
      <c r="EB48" s="23">
        <f>EXP(-LN(2)/25)*EB47+(1-EXP(-LN(2)/25))/(LN(2)/25)*Calculateur!DW48*Calculateur!DY48*VLOOKUP('Données projet'!$B$14,Paramètres!$A$1:$I$89,3,0)*0.475*44/12</f>
        <v>1.4704057622226179</v>
      </c>
      <c r="EC48" s="23">
        <f>EXP(-LN(2)/2)*EC47+(1-EXP(-LN(2)/2))/(LN(2)/2)*DW48*DZ48*VLOOKUP('Données projet'!$B$14,Paramètres!$A$1:$I$89,3,0)*0.475*44/12</f>
        <v>7.1962149578182713E-2</v>
      </c>
      <c r="ED48" s="24">
        <f t="shared" si="18"/>
        <v>16.006620398598809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600.46027734687527</v>
      </c>
      <c r="S49" s="62">
        <f ca="1">AVERAGE(OFFSET($R$3,0,0,'Données projet'!$E$9+1,1))-AVERAGE(OFFSET($H$3,0,0,'Données projet'!$E$9+1,1))</f>
        <v>499.92116338695428</v>
      </c>
      <c r="T49" s="62">
        <f t="shared" si="34"/>
        <v>316.79403154855652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1.53951395352382</v>
      </c>
      <c r="AB49" s="23">
        <f>EXP(-LN(2)/2)*AB48+(1-EXP(-LN(2)/2))/(LN(2)/2)*V49*Y49*VLOOKUP('Données projet'!$B$9,Paramètres!$A$1:$I$89,3,0)*0.475*44/12</f>
        <v>9.1830605352814287E-2</v>
      </c>
      <c r="AC49" s="24">
        <f t="shared" si="3"/>
        <v>1.6313445588766342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231.03908223273078</v>
      </c>
      <c r="AN49" s="62">
        <f ca="1">AVERAGE(OFFSET($AM$3,0,0,'Données projet'!$E$10+1,1))-AVERAGE(OFFSET($H$3,0,0,'Données projet'!$E$10+1,1))</f>
        <v>225.71928466161592</v>
      </c>
      <c r="AO49" s="62">
        <f t="shared" si="36"/>
        <v>385.98818770742025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211.70619219850786</v>
      </c>
      <c r="BJ49" s="62">
        <f t="shared" si="38"/>
        <v>426.883837098247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71.970344507129866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1.0390036874650557</v>
      </c>
      <c r="BS49" s="24">
        <f t="shared" si="9"/>
        <v>73.009348194594921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1.9895196601282805E-13</v>
      </c>
      <c r="BZ49" s="14">
        <f>BY49*VLOOKUP('Données projet'!$B$12,Paramètres!$A$1:$I$89,3,0)*VLOOKUP('Données projet'!$B$12,Paramètres!$A$1:$I$89,5,0)</f>
        <v>1.8001173884840681E-13</v>
      </c>
      <c r="CA49" s="14">
        <f t="shared" si="39"/>
        <v>2.5254331426407198E-12</v>
      </c>
      <c r="CB49" s="22">
        <f t="shared" si="10"/>
        <v>4.7119831685935622E-12</v>
      </c>
      <c r="CC49" s="62">
        <f t="shared" si="11"/>
        <v>231.03908223273442</v>
      </c>
      <c r="CD49" s="62">
        <f ca="1">AVERAGE(OFFSET($CC$3,0,0,'Données projet'!$E$12+1,1))-AVERAGE(OFFSET($H$3,0,0,'Données projet'!$E$12+1,1))</f>
        <v>327.07074355218322</v>
      </c>
      <c r="CE49" s="62">
        <f t="shared" si="40"/>
        <v>462.01668587029087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10.003993968637989</v>
      </c>
      <c r="CL49" s="23">
        <f>EXP(-LN(2)/25)*CL48+(1-EXP(-LN(2)/25))/(LN(2)/25)*Calculateur!CG49*Calculateur!CI49*VLOOKUP('Données projet'!$B$12,Paramètres!$A$1:$I$89,3,0)*0.475*44/12</f>
        <v>2.012488268703287</v>
      </c>
      <c r="CM49" s="23">
        <f>EXP(-LN(2)/2)*CM48+(1-EXP(-LN(2)/2))/(LN(2)/2)*CG49*CJ49*VLOOKUP('Données projet'!$B$12,Paramètres!$A$1:$I$89,3,0)*0.475*44/12</f>
        <v>2.3027774358229808E-6</v>
      </c>
      <c r="CN49" s="24">
        <f t="shared" si="12"/>
        <v>12.016484540118711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>
        <f>CT49*VLOOKUP('Données projet'!$B$13,Paramètres!$A$1:$I$89,3,0)*VLOOKUP('Données projet'!$B$13,Paramètres!$A$1:$I$89,5,0)</f>
        <v>0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93.836028041880496</v>
      </c>
      <c r="CZ49" s="62">
        <f t="shared" si="42"/>
        <v>465.96044964631358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58.729815659693692</v>
      </c>
      <c r="DG49" s="23">
        <f>EXP(-LN(2)/25)*DG48+(1-EXP(-LN(2)/25))/(LN(2)/25)*Calculateur!DB49*Calculateur!DD49*VLOOKUP('Données projet'!$B$13,Paramètres!$A$1:$I$89,3,0)*0.475*44/12</f>
        <v>11.62292262835933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70.352738288053018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17.399999999999999</v>
      </c>
      <c r="DO49" s="13">
        <f>IF('Données projet'!$A$166&gt;35,DO48+DN49-DW48,IF(A49&lt;'Données projet'!$A$166,$DL$205^A49,IF(A49='Données projet'!$A$166,'Données projet'!$B$166,DO48+DN49-DW48)))</f>
        <v>344.39999999999992</v>
      </c>
      <c r="DP49" s="18">
        <f>DO49*VLOOKUP('Données projet'!$B$14,Paramètres!$A$1:$I$89,3,0)*VLOOKUP('Données projet'!$B$14,Paramètres!$A$1:$I$89,5,0)</f>
        <v>205.95119999999997</v>
      </c>
      <c r="DQ49" s="14">
        <f t="shared" si="43"/>
        <v>51.049821044529814</v>
      </c>
      <c r="DR49" s="22">
        <f t="shared" si="16"/>
        <v>447.61011165255604</v>
      </c>
      <c r="DS49" s="62">
        <f t="shared" si="17"/>
        <v>678.64919388528574</v>
      </c>
      <c r="DT49" s="62">
        <f ca="1">AVERAGE(OFFSET($DS$3,0,0,'Données projet'!$E$14+1,1))-AVERAGE(OFFSET($H$3,0,0,'Données projet'!$E$14+1,1))</f>
        <v>386.56102661082468</v>
      </c>
      <c r="DU49" s="62">
        <f t="shared" si="44"/>
        <v>410.28336627719011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14.180617317854782</v>
      </c>
      <c r="EB49" s="23">
        <f>EXP(-LN(2)/25)*EB48+(1-EXP(-LN(2)/25))/(LN(2)/25)*Calculateur!DW49*Calculateur!DY49*VLOOKUP('Données projet'!$B$14,Paramètres!$A$1:$I$89,3,0)*0.475*44/12</f>
        <v>1.4301974393293619</v>
      </c>
      <c r="EC49" s="23">
        <f>EXP(-LN(2)/2)*EC48+(1-EXP(-LN(2)/2))/(LN(2)/2)*DW49*DZ49*VLOOKUP('Données projet'!$B$14,Paramètres!$A$1:$I$89,3,0)*0.475*44/12</f>
        <v>5.0884923955493648E-2</v>
      </c>
      <c r="ED49" s="24">
        <f t="shared" si="18"/>
        <v>15.661699681139638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622.74686809456375</v>
      </c>
      <c r="S50" s="62">
        <f ca="1">AVERAGE(OFFSET($R$3,0,0,'Données projet'!$E$9+1,1))-AVERAGE(OFFSET($H$3,0,0,'Données projet'!$E$9+1,1))</f>
        <v>499.92116338695428</v>
      </c>
      <c r="T50" s="62">
        <f t="shared" si="34"/>
        <v>316.79403154855652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1.4974158635051911</v>
      </c>
      <c r="AB50" s="23">
        <f>EXP(-LN(2)/2)*AB49+(1-EXP(-LN(2)/2))/(LN(2)/2)*V50*Y50*VLOOKUP('Données projet'!$B$9,Paramètres!$A$1:$I$89,3,0)*0.475*44/12</f>
        <v>6.4934043765440652E-2</v>
      </c>
      <c r="AC50" s="24">
        <f t="shared" si="3"/>
        <v>1.5623499072706317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232.11974822024482</v>
      </c>
      <c r="AN50" s="62">
        <f ca="1">AVERAGE(OFFSET($AM$3,0,0,'Données projet'!$E$10+1,1))-AVERAGE(OFFSET($H$3,0,0,'Données projet'!$E$10+1,1))</f>
        <v>225.71928466161592</v>
      </c>
      <c r="AO50" s="62">
        <f t="shared" si="36"/>
        <v>385.98818770742025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211.70619219850786</v>
      </c>
      <c r="BJ50" s="62">
        <f t="shared" si="38"/>
        <v>426.883837098247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70.559049948920674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0.73468655308436914</v>
      </c>
      <c r="BS50" s="24">
        <f t="shared" si="9"/>
        <v>71.293736502005046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1.9895196601282805E-13</v>
      </c>
      <c r="BZ50" s="14">
        <f>BY50*VLOOKUP('Données projet'!$B$12,Paramètres!$A$1:$I$89,3,0)*VLOOKUP('Données projet'!$B$12,Paramètres!$A$1:$I$89,5,0)</f>
        <v>1.8001173884840681E-13</v>
      </c>
      <c r="CA50" s="14">
        <f t="shared" si="39"/>
        <v>2.5254331426407198E-12</v>
      </c>
      <c r="CB50" s="22">
        <f t="shared" si="10"/>
        <v>4.7119831685935622E-12</v>
      </c>
      <c r="CC50" s="62">
        <f t="shared" si="11"/>
        <v>232.11974822024845</v>
      </c>
      <c r="CD50" s="62">
        <f ca="1">AVERAGE(OFFSET($CC$3,0,0,'Données projet'!$E$12+1,1))-AVERAGE(OFFSET($H$3,0,0,'Données projet'!$E$12+1,1))</f>
        <v>327.07074355218322</v>
      </c>
      <c r="CE50" s="62">
        <f t="shared" si="40"/>
        <v>462.01668587029087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9.8078217487468127</v>
      </c>
      <c r="CL50" s="23">
        <f>EXP(-LN(2)/25)*CL49+(1-EXP(-LN(2)/25))/(LN(2)/25)*Calculateur!CG50*Calculateur!CI50*VLOOKUP('Données projet'!$B$12,Paramètres!$A$1:$I$89,3,0)*0.475*44/12</f>
        <v>1.9574566711634371</v>
      </c>
      <c r="CM50" s="23">
        <f>EXP(-LN(2)/2)*CM49+(1-EXP(-LN(2)/2))/(LN(2)/2)*CG50*CJ50*VLOOKUP('Données projet'!$B$12,Paramètres!$A$1:$I$89,3,0)*0.475*44/12</f>
        <v>1.6283095404337995E-6</v>
      </c>
      <c r="CN50" s="24">
        <f t="shared" si="12"/>
        <v>11.76528004821979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>
        <f>CT50*VLOOKUP('Données projet'!$B$13,Paramètres!$A$1:$I$89,3,0)*VLOOKUP('Données projet'!$B$13,Paramètres!$A$1:$I$89,5,0)</f>
        <v>0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93.836028041880496</v>
      </c>
      <c r="CZ50" s="62">
        <f t="shared" si="42"/>
        <v>465.96044964631358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57.578159796257559</v>
      </c>
      <c r="DG50" s="23">
        <f>EXP(-LN(2)/25)*DG49+(1-EXP(-LN(2)/25))/(LN(2)/25)*Calculateur!DB50*Calculateur!DD50*VLOOKUP('Données projet'!$B$13,Paramètres!$A$1:$I$89,3,0)*0.475*44/12</f>
        <v>11.305093197863908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68.883252994121463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17.399999999999999</v>
      </c>
      <c r="DO50" s="13">
        <f>IF('Données projet'!$A$166&gt;35,DO49+DN50-DW49,IF(A50&lt;'Données projet'!$A$166,$DL$205^A50,IF(A50='Données projet'!$A$166,'Données projet'!$B$166,DO49+DN50-DW49)))</f>
        <v>361.7999999999999</v>
      </c>
      <c r="DP50" s="18">
        <f>DO50*VLOOKUP('Données projet'!$B$14,Paramètres!$A$1:$I$89,3,0)*VLOOKUP('Données projet'!$B$14,Paramètres!$A$1:$I$89,5,0)</f>
        <v>216.35639999999998</v>
      </c>
      <c r="DQ50" s="14">
        <f t="shared" si="43"/>
        <v>53.322199188237285</v>
      </c>
      <c r="DR50" s="22">
        <f t="shared" si="16"/>
        <v>469.69022691951324</v>
      </c>
      <c r="DS50" s="62">
        <f t="shared" si="17"/>
        <v>701.80997513975694</v>
      </c>
      <c r="DT50" s="62">
        <f ca="1">AVERAGE(OFFSET($DS$3,0,0,'Données projet'!$E$14+1,1))-AVERAGE(OFFSET($H$3,0,0,'Données projet'!$E$14+1,1))</f>
        <v>386.56102661082468</v>
      </c>
      <c r="DU50" s="62">
        <f t="shared" si="44"/>
        <v>410.28336627719011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13.902544061574165</v>
      </c>
      <c r="EB50" s="23">
        <f>EXP(-LN(2)/25)*EB49+(1-EXP(-LN(2)/25))/(LN(2)/25)*Calculateur!DW50*Calculateur!DY50*VLOOKUP('Données projet'!$B$14,Paramètres!$A$1:$I$89,3,0)*0.475*44/12</f>
        <v>1.3910886151400859</v>
      </c>
      <c r="EC50" s="23">
        <f>EXP(-LN(2)/2)*EC49+(1-EXP(-LN(2)/2))/(LN(2)/2)*DW50*DZ50*VLOOKUP('Données projet'!$B$14,Paramètres!$A$1:$I$89,3,0)*0.475*44/12</f>
        <v>3.5981074789091357E-2</v>
      </c>
      <c r="ED50" s="24">
        <f t="shared" si="18"/>
        <v>15.329613751503343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644.98974344756925</v>
      </c>
      <c r="S51" s="62">
        <f ca="1">AVERAGE(OFFSET($R$3,0,0,'Données projet'!$E$9+1,1))-AVERAGE(OFFSET($H$3,0,0,'Données projet'!$E$9+1,1))</f>
        <v>499.92116338695428</v>
      </c>
      <c r="T51" s="62">
        <f t="shared" si="34"/>
        <v>316.79403154855652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1.4564689479719637</v>
      </c>
      <c r="AB51" s="23">
        <f>EXP(-LN(2)/2)*AB50+(1-EXP(-LN(2)/2))/(LN(2)/2)*V51*Y51*VLOOKUP('Données projet'!$B$9,Paramètres!$A$1:$I$89,3,0)*0.475*44/12</f>
        <v>4.5915302676407144E-2</v>
      </c>
      <c r="AC51" s="24">
        <f t="shared" si="3"/>
        <v>1.5023842506483709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233.18166706888263</v>
      </c>
      <c r="AN51" s="62">
        <f ca="1">AVERAGE(OFFSET($AM$3,0,0,'Données projet'!$E$10+1,1))-AVERAGE(OFFSET($H$3,0,0,'Données projet'!$E$10+1,1))</f>
        <v>225.71928466161592</v>
      </c>
      <c r="AO51" s="62">
        <f t="shared" si="36"/>
        <v>385.98818770742025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211.70619219850786</v>
      </c>
      <c r="BJ51" s="62">
        <f t="shared" si="38"/>
        <v>426.883837098247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69.175430016193275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0.51950184373252783</v>
      </c>
      <c r="BS51" s="24">
        <f t="shared" si="9"/>
        <v>69.694931859925802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1.9895196601282805E-13</v>
      </c>
      <c r="BZ51" s="14">
        <f>BY51*VLOOKUP('Données projet'!$B$12,Paramètres!$A$1:$I$89,3,0)*VLOOKUP('Données projet'!$B$12,Paramètres!$A$1:$I$89,5,0)</f>
        <v>1.8001173884840681E-13</v>
      </c>
      <c r="CA51" s="14">
        <f t="shared" si="39"/>
        <v>2.5254331426407198E-12</v>
      </c>
      <c r="CB51" s="22">
        <f t="shared" si="10"/>
        <v>4.7119831685935622E-12</v>
      </c>
      <c r="CC51" s="62">
        <f t="shared" si="11"/>
        <v>233.18166706888627</v>
      </c>
      <c r="CD51" s="62">
        <f ca="1">AVERAGE(OFFSET($CC$3,0,0,'Données projet'!$E$12+1,1))-AVERAGE(OFFSET($H$3,0,0,'Données projet'!$E$12+1,1))</f>
        <v>327.07074355218322</v>
      </c>
      <c r="CE51" s="62">
        <f t="shared" si="40"/>
        <v>462.01668587029087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9.6154963464344636</v>
      </c>
      <c r="CL51" s="23">
        <f>EXP(-LN(2)/25)*CL50+(1-EXP(-LN(2)/25))/(LN(2)/25)*Calculateur!CG51*Calculateur!CI51*VLOOKUP('Données projet'!$B$12,Paramètres!$A$1:$I$89,3,0)*0.475*44/12</f>
        <v>1.9039299155523004</v>
      </c>
      <c r="CM51" s="23">
        <f>EXP(-LN(2)/2)*CM50+(1-EXP(-LN(2)/2))/(LN(2)/2)*CG51*CJ51*VLOOKUP('Données projet'!$B$12,Paramètres!$A$1:$I$89,3,0)*0.475*44/12</f>
        <v>1.1513887179114904E-6</v>
      </c>
      <c r="CN51" s="24">
        <f t="shared" si="12"/>
        <v>11.519427413375482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>
        <f>CT51*VLOOKUP('Données projet'!$B$13,Paramètres!$A$1:$I$89,3,0)*VLOOKUP('Données projet'!$B$13,Paramètres!$A$1:$I$89,5,0)</f>
        <v>0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93.836028041880496</v>
      </c>
      <c r="CZ51" s="62">
        <f t="shared" si="42"/>
        <v>465.96044964631358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56.449087201862689</v>
      </c>
      <c r="DG51" s="23">
        <f>EXP(-LN(2)/25)*DG50+(1-EXP(-LN(2)/25))/(LN(2)/25)*Calculateur!DB51*Calculateur!DD51*VLOOKUP('Données projet'!$B$13,Paramètres!$A$1:$I$89,3,0)*0.475*44/12</f>
        <v>10.995954829859306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67.445042031721997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17.399999999999999</v>
      </c>
      <c r="DO51" s="13">
        <f>IF('Données projet'!$A$166&gt;35,DO50+DN51-DW50,IF(A51&lt;'Données projet'!$A$166,$DL$205^A51,IF(A51='Données projet'!$A$166,'Données projet'!$B$166,DO50+DN51-DW50)))</f>
        <v>379.19999999999987</v>
      </c>
      <c r="DP51" s="18">
        <f>DO51*VLOOKUP('Données projet'!$B$14,Paramètres!$A$1:$I$89,3,0)*VLOOKUP('Données projet'!$B$14,Paramètres!$A$1:$I$89,5,0)</f>
        <v>226.76159999999996</v>
      </c>
      <c r="DQ51" s="14">
        <f t="shared" si="43"/>
        <v>55.581886910575918</v>
      </c>
      <c r="DR51" s="22">
        <f t="shared" si="16"/>
        <v>491.74823970258626</v>
      </c>
      <c r="DS51" s="62">
        <f t="shared" si="17"/>
        <v>724.92990677146781</v>
      </c>
      <c r="DT51" s="62">
        <f ca="1">AVERAGE(OFFSET($DS$3,0,0,'Données projet'!$E$14+1,1))-AVERAGE(OFFSET($H$3,0,0,'Données projet'!$E$14+1,1))</f>
        <v>386.56102661082468</v>
      </c>
      <c r="DU51" s="62">
        <f t="shared" si="44"/>
        <v>410.28336627719011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13.629923652241271</v>
      </c>
      <c r="EB51" s="23">
        <f>EXP(-LN(2)/25)*EB50+(1-EXP(-LN(2)/25))/(LN(2)/25)*Calculateur!DW51*Calculateur!DY51*VLOOKUP('Données projet'!$B$14,Paramètres!$A$1:$I$89,3,0)*0.475*44/12</f>
        <v>1.3530492238049092</v>
      </c>
      <c r="EC51" s="23">
        <f>EXP(-LN(2)/2)*EC50+(1-EXP(-LN(2)/2))/(LN(2)/2)*DW51*DZ51*VLOOKUP('Données projet'!$B$14,Paramètres!$A$1:$I$89,3,0)*0.475*44/12</f>
        <v>2.5442461977746824E-2</v>
      </c>
      <c r="ED51" s="24">
        <f t="shared" si="18"/>
        <v>15.008415338023926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667.19069261048276</v>
      </c>
      <c r="S52" s="62">
        <f ca="1">AVERAGE(OFFSET($R$3,0,0,'Données projet'!$E$9+1,1))-AVERAGE(OFFSET($H$3,0,0,'Données projet'!$E$9+1,1))</f>
        <v>499.92116338695428</v>
      </c>
      <c r="T52" s="62">
        <f t="shared" si="34"/>
        <v>316.79403154855652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1.4166417279972972</v>
      </c>
      <c r="AB52" s="23">
        <f>EXP(-LN(2)/2)*AB51+(1-EXP(-LN(2)/2))/(LN(2)/2)*V52*Y52*VLOOKUP('Données projet'!$B$9,Paramètres!$A$1:$I$89,3,0)*0.475*44/12</f>
        <v>3.2467021882720326E-2</v>
      </c>
      <c r="AC52" s="24">
        <f t="shared" si="3"/>
        <v>1.4491087498800175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234.22516399959153</v>
      </c>
      <c r="AN52" s="62">
        <f ca="1">AVERAGE(OFFSET($AM$3,0,0,'Données projet'!$E$10+1,1))-AVERAGE(OFFSET($H$3,0,0,'Données projet'!$E$10+1,1))</f>
        <v>225.71928466161592</v>
      </c>
      <c r="AO52" s="62">
        <f t="shared" si="36"/>
        <v>385.98818770742025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211.70619219850786</v>
      </c>
      <c r="BJ52" s="62">
        <f t="shared" si="38"/>
        <v>426.883837098247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67.818942026421837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0.36734327654218457</v>
      </c>
      <c r="BS52" s="24">
        <f t="shared" si="9"/>
        <v>68.186285302964023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1.9895196601282805E-13</v>
      </c>
      <c r="BZ52" s="14">
        <f>BY52*VLOOKUP('Données projet'!$B$12,Paramètres!$A$1:$I$89,3,0)*VLOOKUP('Données projet'!$B$12,Paramètres!$A$1:$I$89,5,0)</f>
        <v>1.8001173884840681E-13</v>
      </c>
      <c r="CA52" s="14">
        <f t="shared" si="39"/>
        <v>2.5254331426407198E-12</v>
      </c>
      <c r="CB52" s="22">
        <f t="shared" si="10"/>
        <v>4.7119831685935622E-12</v>
      </c>
      <c r="CC52" s="62">
        <f t="shared" si="11"/>
        <v>234.22516399959517</v>
      </c>
      <c r="CD52" s="62">
        <f ca="1">AVERAGE(OFFSET($CC$3,0,0,'Données projet'!$E$12+1,1))-AVERAGE(OFFSET($H$3,0,0,'Données projet'!$E$12+1,1))</f>
        <v>327.07074355218322</v>
      </c>
      <c r="CE52" s="62">
        <f t="shared" si="40"/>
        <v>462.01668587029087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9.4269423279545475</v>
      </c>
      <c r="CL52" s="23">
        <f>EXP(-LN(2)/25)*CL51+(1-EXP(-LN(2)/25))/(LN(2)/25)*Calculateur!CG52*Calculateur!CI52*VLOOKUP('Données projet'!$B$12,Paramètres!$A$1:$I$89,3,0)*0.475*44/12</f>
        <v>1.8518668518882</v>
      </c>
      <c r="CM52" s="23">
        <f>EXP(-LN(2)/2)*CM51+(1-EXP(-LN(2)/2))/(LN(2)/2)*CG52*CJ52*VLOOKUP('Données projet'!$B$12,Paramètres!$A$1:$I$89,3,0)*0.475*44/12</f>
        <v>8.1415477021689974E-7</v>
      </c>
      <c r="CN52" s="24">
        <f t="shared" si="12"/>
        <v>11.278809993997518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>
        <f>CT52*VLOOKUP('Données projet'!$B$13,Paramètres!$A$1:$I$89,3,0)*VLOOKUP('Données projet'!$B$13,Paramètres!$A$1:$I$89,5,0)</f>
        <v>0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93.836028041880496</v>
      </c>
      <c r="CZ52" s="62">
        <f t="shared" si="42"/>
        <v>465.96044964631358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55.342155032377619</v>
      </c>
      <c r="DG52" s="23">
        <f>EXP(-LN(2)/25)*DG51+(1-EXP(-LN(2)/25))/(LN(2)/25)*Calculateur!DB52*Calculateur!DD52*VLOOKUP('Données projet'!$B$13,Paramètres!$A$1:$I$89,3,0)*0.475*44/12</f>
        <v>10.69526986678467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66.037424899162289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17.399999999999999</v>
      </c>
      <c r="DO52" s="13">
        <f>IF('Données projet'!$A$166&gt;35,DO51+DN52-DW51,IF(A52&lt;'Données projet'!$A$166,$DL$205^A52,IF(A52='Données projet'!$A$166,'Données projet'!$B$166,DO51+DN52-DW51)))</f>
        <v>396.59999999999985</v>
      </c>
      <c r="DP52" s="18">
        <f>DO52*VLOOKUP('Données projet'!$B$14,Paramètres!$A$1:$I$89,3,0)*VLOOKUP('Données projet'!$B$14,Paramètres!$A$1:$I$89,5,0)</f>
        <v>237.16679999999994</v>
      </c>
      <c r="DQ52" s="14">
        <f t="shared" si="43"/>
        <v>57.829533038824209</v>
      </c>
      <c r="DR52" s="22">
        <f t="shared" si="16"/>
        <v>513.78528004261875</v>
      </c>
      <c r="DS52" s="62">
        <f t="shared" si="17"/>
        <v>748.0104440422092</v>
      </c>
      <c r="DT52" s="62">
        <f ca="1">AVERAGE(OFFSET($DS$3,0,0,'Données projet'!$E$14+1,1))-AVERAGE(OFFSET($H$3,0,0,'Données projet'!$E$14+1,1))</f>
        <v>386.56102661082468</v>
      </c>
      <c r="DU52" s="62">
        <f t="shared" si="44"/>
        <v>410.28336627719011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13.362649162853364</v>
      </c>
      <c r="EB52" s="23">
        <f>EXP(-LN(2)/25)*EB51+(1-EXP(-LN(2)/25))/(LN(2)/25)*Calculateur!DW52*Calculateur!DY52*VLOOKUP('Données projet'!$B$14,Paramètres!$A$1:$I$89,3,0)*0.475*44/12</f>
        <v>1.3160500216261977</v>
      </c>
      <c r="EC52" s="23">
        <f>EXP(-LN(2)/2)*EC51+(1-EXP(-LN(2)/2))/(LN(2)/2)*DW52*DZ52*VLOOKUP('Données projet'!$B$14,Paramètres!$A$1:$I$89,3,0)*0.475*44/12</f>
        <v>1.7990537394545678E-2</v>
      </c>
      <c r="ED52" s="24">
        <f t="shared" si="18"/>
        <v>14.696689721874108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689.3513444777052</v>
      </c>
      <c r="S53" s="62">
        <f ca="1">AVERAGE(OFFSET($R$3,0,0,'Données projet'!$E$9+1,1))-AVERAGE(OFFSET($H$3,0,0,'Données projet'!$E$9+1,1))</f>
        <v>499.92116338695428</v>
      </c>
      <c r="T53" s="62">
        <f t="shared" si="34"/>
        <v>316.79403154855652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1.3779035854472603</v>
      </c>
      <c r="AB53" s="23">
        <f>EXP(-LN(2)/2)*AB52+(1-EXP(-LN(2)/2))/(LN(2)/2)*V53*Y53*VLOOKUP('Données projet'!$B$9,Paramètres!$A$1:$I$89,3,0)*0.475*44/12</f>
        <v>2.2957651338203572E-2</v>
      </c>
      <c r="AC53" s="24">
        <f t="shared" si="3"/>
        <v>1.4008612367854638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235.25055859146227</v>
      </c>
      <c r="AN53" s="62">
        <f ca="1">AVERAGE(OFFSET($AM$3,0,0,'Données projet'!$E$10+1,1))-AVERAGE(OFFSET($H$3,0,0,'Données projet'!$E$10+1,1))</f>
        <v>225.71928466161592</v>
      </c>
      <c r="AO53" s="62">
        <f t="shared" si="36"/>
        <v>385.98818770742025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211.70619219850786</v>
      </c>
      <c r="BJ53" s="62">
        <f t="shared" si="38"/>
        <v>426.883837098247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66.489053938753841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0.25975092186626392</v>
      </c>
      <c r="BS53" s="24">
        <f t="shared" si="9"/>
        <v>66.748804860620112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1.9895196601282805E-13</v>
      </c>
      <c r="BZ53" s="14">
        <f>BY53*VLOOKUP('Données projet'!$B$12,Paramètres!$A$1:$I$89,3,0)*VLOOKUP('Données projet'!$B$12,Paramètres!$A$1:$I$89,5,0)</f>
        <v>1.8001173884840681E-13</v>
      </c>
      <c r="CA53" s="14">
        <f t="shared" si="39"/>
        <v>2.5254331426407198E-12</v>
      </c>
      <c r="CB53" s="22">
        <f t="shared" si="10"/>
        <v>4.7119831685935622E-12</v>
      </c>
      <c r="CC53" s="62">
        <f t="shared" si="11"/>
        <v>235.2505585914659</v>
      </c>
      <c r="CD53" s="62">
        <f ca="1">AVERAGE(OFFSET($CC$3,0,0,'Données projet'!$E$12+1,1))-AVERAGE(OFFSET($H$3,0,0,'Données projet'!$E$12+1,1))</f>
        <v>327.07074355218322</v>
      </c>
      <c r="CE53" s="62">
        <f t="shared" si="40"/>
        <v>462.01668587029087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9.2420857387704274</v>
      </c>
      <c r="CL53" s="23">
        <f>EXP(-LN(2)/25)*CL52+(1-EXP(-LN(2)/25))/(LN(2)/25)*Calculateur!CG53*Calculateur!CI53*VLOOKUP('Données projet'!$B$12,Paramètres!$A$1:$I$89,3,0)*0.475*44/12</f>
        <v>1.801227455437872</v>
      </c>
      <c r="CM53" s="23">
        <f>EXP(-LN(2)/2)*CM52+(1-EXP(-LN(2)/2))/(LN(2)/2)*CG53*CJ53*VLOOKUP('Données projet'!$B$12,Paramètres!$A$1:$I$89,3,0)*0.475*44/12</f>
        <v>5.756943589557452E-7</v>
      </c>
      <c r="CN53" s="24">
        <f t="shared" si="12"/>
        <v>11.043313769902658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>
        <f>CT53*VLOOKUP('Données projet'!$B$13,Paramètres!$A$1:$I$89,3,0)*VLOOKUP('Données projet'!$B$13,Paramètres!$A$1:$I$89,5,0)</f>
        <v>0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93.836028041880496</v>
      </c>
      <c r="CZ53" s="62">
        <f t="shared" si="42"/>
        <v>465.96044964631358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54.256929127574196</v>
      </c>
      <c r="DG53" s="23">
        <f>EXP(-LN(2)/25)*DG52+(1-EXP(-LN(2)/25))/(LN(2)/25)*Calculateur!DB53*Calculateur!DD53*VLOOKUP('Données projet'!$B$13,Paramètres!$A$1:$I$89,3,0)*0.475*44/12</f>
        <v>10.402807149837646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64.659736277411838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414</v>
      </c>
      <c r="DM53" s="13">
        <f>VLOOKUP(A53,'Données projet'!$A$165:$I$185,9,0)</f>
        <v>17.399999999999999</v>
      </c>
      <c r="DN53" s="13">
        <f t="array" ref="DN53">INDEX(DM:DM,MIN(IF(ISNUMBER(DM53:DM249),ROW(DM53:DM249),"")))</f>
        <v>17.399999999999999</v>
      </c>
      <c r="DO53" s="13">
        <f>IF('Données projet'!$A$166&gt;35,DO52+DN53-DW52,IF(A53&lt;'Données projet'!$A$166,$DL$205^A53,IF(A53='Données projet'!$A$166,'Données projet'!$B$166,DO52+DN53-DW52)))</f>
        <v>413.99999999999983</v>
      </c>
      <c r="DP53" s="18">
        <f>DO53*VLOOKUP('Données projet'!$B$14,Paramètres!$A$1:$I$89,3,0)*VLOOKUP('Données projet'!$B$14,Paramètres!$A$1:$I$89,5,0)</f>
        <v>247.57199999999992</v>
      </c>
      <c r="DQ53" s="14">
        <f t="shared" si="43"/>
        <v>60.065726249156526</v>
      </c>
      <c r="DR53" s="22">
        <f t="shared" si="16"/>
        <v>535.80237321728089</v>
      </c>
      <c r="DS53" s="62">
        <f t="shared" si="17"/>
        <v>771.05293180874207</v>
      </c>
      <c r="DT53" s="62">
        <f ca="1">AVERAGE(OFFSET($DS$3,0,0,'Données projet'!$E$14+1,1))-AVERAGE(OFFSET($H$3,0,0,'Données projet'!$E$14+1,1))</f>
        <v>386.56102661082468</v>
      </c>
      <c r="DU53" s="62">
        <f t="shared" si="44"/>
        <v>410.28336627719011</v>
      </c>
      <c r="DV53" s="16">
        <f>IF(ISNA(VLOOKUP(A53,'Données projet'!$A$165:$I$185,3,0)),0,VLOOKUP(A53,'Données projet'!$A$165:$I$185,3,0))</f>
        <v>8</v>
      </c>
      <c r="DW53" s="16">
        <f>IF(ISNA(VLOOKUP(A53,'Données projet'!$A$165:$I$185,4,0)),0,VLOOKUP(A53,'Données projet'!$A$165:$I$185,4,0))</f>
        <v>47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13.100615763181013</v>
      </c>
      <c r="EB53" s="23">
        <f>EXP(-LN(2)/25)*EB52+(1-EXP(-LN(2)/25))/(LN(2)/25)*Calculateur!DW53*Calculateur!DY53*VLOOKUP('Données projet'!$B$14,Paramètres!$A$1:$I$89,3,0)*0.475*44/12</f>
        <v>1.2800625645767665</v>
      </c>
      <c r="EC53" s="23">
        <f>EXP(-LN(2)/2)*EC52+(1-EXP(-LN(2)/2))/(LN(2)/2)*DW53*DZ53*VLOOKUP('Données projet'!$B$14,Paramètres!$A$1:$I$89,3,0)*0.475*44/12</f>
        <v>1.2721230988873412E-2</v>
      </c>
      <c r="ED53" s="24">
        <f t="shared" si="18"/>
        <v>14.393399558746653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656.1472407820097</v>
      </c>
      <c r="S54" s="62">
        <f ca="1">AVERAGE(OFFSET($R$3,0,0,'Données projet'!$E$9+1,1))-AVERAGE(OFFSET($H$3,0,0,'Données projet'!$E$9+1,1))</f>
        <v>499.92116338695428</v>
      </c>
      <c r="T54" s="62">
        <f t="shared" si="34"/>
        <v>316.79403154855652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1.3402247394424047</v>
      </c>
      <c r="AB54" s="23">
        <f>EXP(-LN(2)/2)*AB53+(1-EXP(-LN(2)/2))/(LN(2)/2)*V54*Y54*VLOOKUP('Données projet'!$B$9,Paramètres!$A$1:$I$89,3,0)*0.475*44/12</f>
        <v>1.6233510941360163E-2</v>
      </c>
      <c r="AC54" s="24">
        <f t="shared" si="3"/>
        <v>1.3564582503837648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236.2581648796029</v>
      </c>
      <c r="AN54" s="62">
        <f ca="1">AVERAGE(OFFSET($AM$3,0,0,'Données projet'!$E$10+1,1))-AVERAGE(OFFSET($H$3,0,0,'Données projet'!$E$10+1,1))</f>
        <v>225.71928466161592</v>
      </c>
      <c r="AO54" s="62">
        <f t="shared" si="36"/>
        <v>385.98818770742025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211.70619219850786</v>
      </c>
      <c r="BJ54" s="62">
        <f t="shared" si="38"/>
        <v>426.883837098247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65.185244145333371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0.18367163827109229</v>
      </c>
      <c r="BS54" s="24">
        <f t="shared" si="9"/>
        <v>65.368915783604464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1.9895196601282805E-13</v>
      </c>
      <c r="BZ54" s="14">
        <f>BY54*VLOOKUP('Données projet'!$B$12,Paramètres!$A$1:$I$89,3,0)*VLOOKUP('Données projet'!$B$12,Paramètres!$A$1:$I$89,5,0)</f>
        <v>1.8001173884840681E-13</v>
      </c>
      <c r="CA54" s="14">
        <f t="shared" si="39"/>
        <v>2.5254331426407198E-12</v>
      </c>
      <c r="CB54" s="22">
        <f t="shared" si="10"/>
        <v>4.7119831685935622E-12</v>
      </c>
      <c r="CC54" s="62">
        <f t="shared" si="11"/>
        <v>236.25816487960654</v>
      </c>
      <c r="CD54" s="62">
        <f ca="1">AVERAGE(OFFSET($CC$3,0,0,'Données projet'!$E$12+1,1))-AVERAGE(OFFSET($H$3,0,0,'Données projet'!$E$12+1,1))</f>
        <v>327.07074355218322</v>
      </c>
      <c r="CE54" s="62">
        <f t="shared" si="40"/>
        <v>462.01668587029087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9.0608540745488213</v>
      </c>
      <c r="CL54" s="23">
        <f>EXP(-LN(2)/25)*CL53+(1-EXP(-LN(2)/25))/(LN(2)/25)*Calculateur!CG54*Calculateur!CI54*VLOOKUP('Données projet'!$B$12,Paramètres!$A$1:$I$89,3,0)*0.475*44/12</f>
        <v>1.7519727959464884</v>
      </c>
      <c r="CM54" s="23">
        <f>EXP(-LN(2)/2)*CM53+(1-EXP(-LN(2)/2))/(LN(2)/2)*CG54*CJ54*VLOOKUP('Données projet'!$B$12,Paramètres!$A$1:$I$89,3,0)*0.475*44/12</f>
        <v>4.0707738510844987E-7</v>
      </c>
      <c r="CN54" s="24">
        <f t="shared" si="12"/>
        <v>10.812827277572694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>
        <f>CT54*VLOOKUP('Données projet'!$B$13,Paramètres!$A$1:$I$89,3,0)*VLOOKUP('Données projet'!$B$13,Paramètres!$A$1:$I$89,5,0)</f>
        <v>0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93.836028041880496</v>
      </c>
      <c r="CZ54" s="62">
        <f t="shared" si="42"/>
        <v>465.96044964631358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53.192983840841528</v>
      </c>
      <c r="DG54" s="23">
        <f>EXP(-LN(2)/25)*DG53+(1-EXP(-LN(2)/25))/(LN(2)/25)*Calculateur!DB54*Calculateur!DD54*VLOOKUP('Données projet'!$B$13,Paramètres!$A$1:$I$89,3,0)*0.475*44/12</f>
        <v>10.118341841265483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63.311325682107011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19.2</v>
      </c>
      <c r="DO54" s="13">
        <f>IF('Données projet'!$A$166&gt;35,DO53+DN54-DW53,IF(A54&lt;'Données projet'!$A$166,$DL$205^A54,IF(A54='Données projet'!$A$166,'Données projet'!$B$166,DO53+DN54-DW53)))</f>
        <v>386.19999999999982</v>
      </c>
      <c r="DP54" s="18">
        <f>DO54*VLOOKUP('Données projet'!$B$14,Paramètres!$A$1:$I$89,3,0)*VLOOKUP('Données projet'!$B$14,Paramètres!$A$1:$I$89,5,0)</f>
        <v>230.94759999999991</v>
      </c>
      <c r="DQ54" s="14">
        <f t="shared" si="43"/>
        <v>56.487525751065782</v>
      </c>
      <c r="DR54" s="22">
        <f t="shared" si="16"/>
        <v>500.61617734977273</v>
      </c>
      <c r="DS54" s="62">
        <f t="shared" si="17"/>
        <v>736.87434222937452</v>
      </c>
      <c r="DT54" s="62">
        <f ca="1">AVERAGE(OFFSET($DS$3,0,0,'Données projet'!$E$14+1,1))-AVERAGE(OFFSET($H$3,0,0,'Données projet'!$E$14+1,1))</f>
        <v>386.56102661082468</v>
      </c>
      <c r="DU54" s="62">
        <f t="shared" si="44"/>
        <v>410.28336627719011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12.843720678651644</v>
      </c>
      <c r="EB54" s="23">
        <f>EXP(-LN(2)/25)*EB53+(1-EXP(-LN(2)/25))/(LN(2)/25)*Calculateur!DW54*Calculateur!DY54*VLOOKUP('Données projet'!$B$14,Paramètres!$A$1:$I$89,3,0)*0.475*44/12</f>
        <v>1.2450591864328502</v>
      </c>
      <c r="EC54" s="23">
        <f>EXP(-LN(2)/2)*EC53+(1-EXP(-LN(2)/2))/(LN(2)/2)*DW54*DZ54*VLOOKUP('Données projet'!$B$14,Paramètres!$A$1:$I$89,3,0)*0.475*44/12</f>
        <v>8.9952686972728391E-3</v>
      </c>
      <c r="ED54" s="24">
        <f t="shared" si="18"/>
        <v>14.097775133781768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676.74884857791812</v>
      </c>
      <c r="S55" s="62">
        <f ca="1">AVERAGE(OFFSET($R$3,0,0,'Données projet'!$E$9+1,1))-AVERAGE(OFFSET($H$3,0,0,'Données projet'!$E$9+1,1))</f>
        <v>499.92116338695428</v>
      </c>
      <c r="T55" s="62">
        <f t="shared" si="34"/>
        <v>316.79403154855652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1.3035762234629962</v>
      </c>
      <c r="AB55" s="23">
        <f>EXP(-LN(2)/2)*AB54+(1-EXP(-LN(2)/2))/(LN(2)/2)*V55*Y55*VLOOKUP('Données projet'!$B$9,Paramètres!$A$1:$I$89,3,0)*0.475*44/12</f>
        <v>1.1478825669101786E-2</v>
      </c>
      <c r="AC55" s="24">
        <f t="shared" si="3"/>
        <v>1.315055049132098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237.24829145131449</v>
      </c>
      <c r="AN55" s="62">
        <f ca="1">AVERAGE(OFFSET($AM$3,0,0,'Données projet'!$E$10+1,1))-AVERAGE(OFFSET($H$3,0,0,'Données projet'!$E$10+1,1))</f>
        <v>225.71928466161592</v>
      </c>
      <c r="AO55" s="62">
        <f t="shared" si="36"/>
        <v>385.98818770742025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211.70619219850786</v>
      </c>
      <c r="BJ55" s="62">
        <f t="shared" si="38"/>
        <v>426.883837098247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63.907001266716428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0.12987546093313196</v>
      </c>
      <c r="BS55" s="24">
        <f t="shared" si="9"/>
        <v>64.036876727649556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1.9895196601282805E-13</v>
      </c>
      <c r="BZ55" s="14">
        <f>BY55*VLOOKUP('Données projet'!$B$12,Paramètres!$A$1:$I$89,3,0)*VLOOKUP('Données projet'!$B$12,Paramètres!$A$1:$I$89,5,0)</f>
        <v>1.8001173884840681E-13</v>
      </c>
      <c r="CA55" s="14">
        <f t="shared" si="39"/>
        <v>2.5254331426407198E-12</v>
      </c>
      <c r="CB55" s="22">
        <f t="shared" si="10"/>
        <v>4.7119831685935622E-12</v>
      </c>
      <c r="CC55" s="62">
        <f t="shared" si="11"/>
        <v>237.24829145131812</v>
      </c>
      <c r="CD55" s="62">
        <f ca="1">AVERAGE(OFFSET($CC$3,0,0,'Données projet'!$E$12+1,1))-AVERAGE(OFFSET($H$3,0,0,'Données projet'!$E$12+1,1))</f>
        <v>327.07074355218322</v>
      </c>
      <c r="CE55" s="62">
        <f t="shared" si="40"/>
        <v>462.01668587029087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8.8831762527222011</v>
      </c>
      <c r="CL55" s="23">
        <f>EXP(-LN(2)/25)*CL54+(1-EXP(-LN(2)/25))/(LN(2)/25)*Calculateur!CG55*Calculateur!CI55*VLOOKUP('Données projet'!$B$12,Paramètres!$A$1:$I$89,3,0)*0.475*44/12</f>
        <v>1.7040650077090864</v>
      </c>
      <c r="CM55" s="23">
        <f>EXP(-LN(2)/2)*CM54+(1-EXP(-LN(2)/2))/(LN(2)/2)*CG55*CJ55*VLOOKUP('Données projet'!$B$12,Paramètres!$A$1:$I$89,3,0)*0.475*44/12</f>
        <v>2.878471794778726E-7</v>
      </c>
      <c r="CN55" s="24">
        <f t="shared" si="12"/>
        <v>10.587241548278467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>
        <f>CT55*VLOOKUP('Données projet'!$B$13,Paramètres!$A$1:$I$89,3,0)*VLOOKUP('Données projet'!$B$13,Paramètres!$A$1:$I$89,5,0)</f>
        <v>0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93.836028041880496</v>
      </c>
      <c r="CZ55" s="62">
        <f t="shared" si="42"/>
        <v>465.96044964631358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52.149901872239141</v>
      </c>
      <c r="DG55" s="23">
        <f>EXP(-LN(2)/25)*DG54+(1-EXP(-LN(2)/25))/(LN(2)/25)*Calculateur!DB55*Calculateur!DD55*VLOOKUP('Données projet'!$B$13,Paramètres!$A$1:$I$89,3,0)*0.475*44/12</f>
        <v>9.8416552515156059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61.991557123754745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19.2</v>
      </c>
      <c r="DO55" s="13">
        <f>IF('Données projet'!$A$166&gt;35,DO54+DN55-DW54,IF(A55&lt;'Données projet'!$A$166,$DL$205^A55,IF(A55='Données projet'!$A$166,'Données projet'!$B$166,DO54+DN55-DW54)))</f>
        <v>405.39999999999981</v>
      </c>
      <c r="DP55" s="18">
        <f>DO55*VLOOKUP('Données projet'!$B$14,Paramètres!$A$1:$I$89,3,0)*VLOOKUP('Données projet'!$B$14,Paramètres!$A$1:$I$89,5,0)</f>
        <v>242.42919999999989</v>
      </c>
      <c r="DQ55" s="14">
        <f t="shared" si="43"/>
        <v>58.961877963646643</v>
      </c>
      <c r="DR55" s="22">
        <f t="shared" si="16"/>
        <v>524.92279412001767</v>
      </c>
      <c r="DS55" s="62">
        <f t="shared" si="17"/>
        <v>762.1710855713311</v>
      </c>
      <c r="DT55" s="62">
        <f ca="1">AVERAGE(OFFSET($DS$3,0,0,'Données projet'!$E$14+1,1))-AVERAGE(OFFSET($H$3,0,0,'Données projet'!$E$14+1,1))</f>
        <v>386.56102661082468</v>
      </c>
      <c r="DU55" s="62">
        <f t="shared" si="44"/>
        <v>410.28336627719011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12.591863150039366</v>
      </c>
      <c r="EB55" s="23">
        <f>EXP(-LN(2)/25)*EB54+(1-EXP(-LN(2)/25))/(LN(2)/25)*Calculateur!DW55*Calculateur!DY55*VLOOKUP('Données projet'!$B$14,Paramètres!$A$1:$I$89,3,0)*0.475*44/12</f>
        <v>1.2110129775050269</v>
      </c>
      <c r="EC55" s="23">
        <f>EXP(-LN(2)/2)*EC54+(1-EXP(-LN(2)/2))/(LN(2)/2)*DW55*DZ55*VLOOKUP('Données projet'!$B$14,Paramètres!$A$1:$I$89,3,0)*0.475*44/12</f>
        <v>6.360615494436706E-3</v>
      </c>
      <c r="ED55" s="24">
        <f t="shared" si="18"/>
        <v>13.809236743038829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697.31452139866781</v>
      </c>
      <c r="S56" s="62">
        <f ca="1">AVERAGE(OFFSET($R$3,0,0,'Données projet'!$E$9+1,1))-AVERAGE(OFFSET($H$3,0,0,'Données projet'!$E$9+1,1))</f>
        <v>499.92116338695428</v>
      </c>
      <c r="T56" s="62">
        <f t="shared" si="34"/>
        <v>316.79403154855652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1.2679298630803064</v>
      </c>
      <c r="AB56" s="23">
        <f>EXP(-LN(2)/2)*AB55+(1-EXP(-LN(2)/2))/(LN(2)/2)*V56*Y56*VLOOKUP('Données projet'!$B$9,Paramètres!$A$1:$I$89,3,0)*0.475*44/12</f>
        <v>8.1167554706800815E-3</v>
      </c>
      <c r="AC56" s="24">
        <f t="shared" si="3"/>
        <v>1.2760466185509864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238.22124154059824</v>
      </c>
      <c r="AN56" s="62">
        <f ca="1">AVERAGE(OFFSET($AM$3,0,0,'Données projet'!$E$10+1,1))-AVERAGE(OFFSET($H$3,0,0,'Données projet'!$E$10+1,1))</f>
        <v>225.71928466161592</v>
      </c>
      <c r="AO56" s="62">
        <f t="shared" si="36"/>
        <v>385.98818770742025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211.70619219850786</v>
      </c>
      <c r="BJ56" s="62">
        <f t="shared" si="38"/>
        <v>426.883837098247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62.653823951297994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9.1835819135546143E-2</v>
      </c>
      <c r="BS56" s="24">
        <f t="shared" si="9"/>
        <v>62.745659770433541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1.9895196601282805E-13</v>
      </c>
      <c r="BZ56" s="14">
        <f>BY56*VLOOKUP('Données projet'!$B$12,Paramètres!$A$1:$I$89,3,0)*VLOOKUP('Données projet'!$B$12,Paramètres!$A$1:$I$89,5,0)</f>
        <v>1.8001173884840681E-13</v>
      </c>
      <c r="CA56" s="14">
        <f t="shared" si="39"/>
        <v>2.5254331426407198E-12</v>
      </c>
      <c r="CB56" s="22">
        <f t="shared" si="10"/>
        <v>4.7119831685935622E-12</v>
      </c>
      <c r="CC56" s="62">
        <f t="shared" si="11"/>
        <v>238.22124154060188</v>
      </c>
      <c r="CD56" s="62">
        <f ca="1">AVERAGE(OFFSET($CC$3,0,0,'Données projet'!$E$12+1,1))-AVERAGE(OFFSET($H$3,0,0,'Données projet'!$E$12+1,1))</f>
        <v>327.07074355218322</v>
      </c>
      <c r="CE56" s="62">
        <f t="shared" si="40"/>
        <v>462.01668587029087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8.7089825846088296</v>
      </c>
      <c r="CL56" s="23">
        <f>EXP(-LN(2)/25)*CL55+(1-EXP(-LN(2)/25))/(LN(2)/25)*Calculateur!CG56*Calculateur!CI56*VLOOKUP('Données projet'!$B$12,Paramètres!$A$1:$I$89,3,0)*0.475*44/12</f>
        <v>1.6574672604603975</v>
      </c>
      <c r="CM56" s="23">
        <f>EXP(-LN(2)/2)*CM55+(1-EXP(-LN(2)/2))/(LN(2)/2)*CG56*CJ56*VLOOKUP('Données projet'!$B$12,Paramètres!$A$1:$I$89,3,0)*0.475*44/12</f>
        <v>2.0353869255422493E-7</v>
      </c>
      <c r="CN56" s="24">
        <f t="shared" si="12"/>
        <v>10.366450048607918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>
        <f>CT56*VLOOKUP('Données projet'!$B$13,Paramètres!$A$1:$I$89,3,0)*VLOOKUP('Données projet'!$B$13,Paramètres!$A$1:$I$89,5,0)</f>
        <v>0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93.836028041880496</v>
      </c>
      <c r="CZ56" s="62">
        <f t="shared" si="42"/>
        <v>465.96044964631358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51.127274104823861</v>
      </c>
      <c r="DG56" s="23">
        <f>EXP(-LN(2)/25)*DG55+(1-EXP(-LN(2)/25))/(LN(2)/25)*Calculateur!DB56*Calculateur!DD56*VLOOKUP('Données projet'!$B$13,Paramètres!$A$1:$I$89,3,0)*0.475*44/12</f>
        <v>9.5725346711127557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60.699808775936617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19.2</v>
      </c>
      <c r="DO56" s="13">
        <f>IF('Données projet'!$A$166&gt;35,DO55+DN56-DW55,IF(A56&lt;'Données projet'!$A$166,$DL$205^A56,IF(A56='Données projet'!$A$166,'Données projet'!$B$166,DO55+DN56-DW55)))</f>
        <v>424.5999999999998</v>
      </c>
      <c r="DP56" s="18">
        <f>DO56*VLOOKUP('Données projet'!$B$14,Paramètres!$A$1:$I$89,3,0)*VLOOKUP('Données projet'!$B$14,Paramètres!$A$1:$I$89,5,0)</f>
        <v>253.91079999999991</v>
      </c>
      <c r="DQ56" s="14">
        <f t="shared" si="43"/>
        <v>61.422621781167194</v>
      </c>
      <c r="DR56" s="22">
        <f t="shared" si="16"/>
        <v>549.20570960219936</v>
      </c>
      <c r="DS56" s="62">
        <f t="shared" si="17"/>
        <v>787.4269511427965</v>
      </c>
      <c r="DT56" s="62">
        <f ca="1">AVERAGE(OFFSET($DS$3,0,0,'Données projet'!$E$14+1,1))-AVERAGE(OFFSET($H$3,0,0,'Données projet'!$E$14+1,1))</f>
        <v>386.56102661082468</v>
      </c>
      <c r="DU56" s="62">
        <f t="shared" si="44"/>
        <v>410.28336627719011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12.344944393945251</v>
      </c>
      <c r="EB56" s="23">
        <f>EXP(-LN(2)/25)*EB55+(1-EXP(-LN(2)/25))/(LN(2)/25)*Calculateur!DW56*Calculateur!DY56*VLOOKUP('Données projet'!$B$14,Paramètres!$A$1:$I$89,3,0)*0.475*44/12</f>
        <v>1.1778977639507473</v>
      </c>
      <c r="EC56" s="23">
        <f>EXP(-LN(2)/2)*EC55+(1-EXP(-LN(2)/2))/(LN(2)/2)*DW56*DZ56*VLOOKUP('Données projet'!$B$14,Paramètres!$A$1:$I$89,3,0)*0.475*44/12</f>
        <v>4.4976343486364196E-3</v>
      </c>
      <c r="ED56" s="24">
        <f t="shared" si="18"/>
        <v>13.527339792244636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717.84546990878368</v>
      </c>
      <c r="S57" s="62">
        <f ca="1">AVERAGE(OFFSET($R$3,0,0,'Données projet'!$E$9+1,1))-AVERAGE(OFFSET($H$3,0,0,'Données projet'!$E$9+1,1))</f>
        <v>499.92116338695428</v>
      </c>
      <c r="T57" s="62">
        <f t="shared" si="34"/>
        <v>316.79403154855652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1.2332582542968418</v>
      </c>
      <c r="AB57" s="23">
        <f>EXP(-LN(2)/2)*AB56+(1-EXP(-LN(2)/2))/(LN(2)/2)*V57*Y57*VLOOKUP('Données projet'!$B$9,Paramètres!$A$1:$I$89,3,0)*0.475*44/12</f>
        <v>5.739412834550893E-3</v>
      </c>
      <c r="AC57" s="24">
        <f t="shared" si="3"/>
        <v>1.2389976671313927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239.17731312102347</v>
      </c>
      <c r="AN57" s="62">
        <f ca="1">AVERAGE(OFFSET($AM$3,0,0,'Données projet'!$E$10+1,1))-AVERAGE(OFFSET($H$3,0,0,'Données projet'!$E$10+1,1))</f>
        <v>225.71928466161592</v>
      </c>
      <c r="AO57" s="62">
        <f t="shared" si="36"/>
        <v>385.98818770742025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211.70619219850786</v>
      </c>
      <c r="BJ57" s="62">
        <f t="shared" si="38"/>
        <v>426.883837098247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61.425220678672225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6.4937730466565979E-2</v>
      </c>
      <c r="BS57" s="24">
        <f t="shared" si="9"/>
        <v>61.490158409138793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1.9895196601282805E-13</v>
      </c>
      <c r="BZ57" s="14">
        <f>BY57*VLOOKUP('Données projet'!$B$12,Paramètres!$A$1:$I$89,3,0)*VLOOKUP('Données projet'!$B$12,Paramètres!$A$1:$I$89,5,0)</f>
        <v>1.8001173884840681E-13</v>
      </c>
      <c r="CA57" s="14">
        <f t="shared" si="39"/>
        <v>2.5254331426407198E-12</v>
      </c>
      <c r="CB57" s="22">
        <f t="shared" si="10"/>
        <v>4.7119831685935622E-12</v>
      </c>
      <c r="CC57" s="62">
        <f t="shared" si="11"/>
        <v>239.17731312102711</v>
      </c>
      <c r="CD57" s="62">
        <f ca="1">AVERAGE(OFFSET($CC$3,0,0,'Données projet'!$E$12+1,1))-AVERAGE(OFFSET($H$3,0,0,'Données projet'!$E$12+1,1))</f>
        <v>327.07074355218322</v>
      </c>
      <c r="CE57" s="62">
        <f t="shared" si="40"/>
        <v>462.01668587029087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8.5382047480795151</v>
      </c>
      <c r="CL57" s="23">
        <f>EXP(-LN(2)/25)*CL56+(1-EXP(-LN(2)/25))/(LN(2)/25)*Calculateur!CG57*Calculateur!CI57*VLOOKUP('Données projet'!$B$12,Paramètres!$A$1:$I$89,3,0)*0.475*44/12</f>
        <v>1.612143731060693</v>
      </c>
      <c r="CM57" s="23">
        <f>EXP(-LN(2)/2)*CM56+(1-EXP(-LN(2)/2))/(LN(2)/2)*CG57*CJ57*VLOOKUP('Données projet'!$B$12,Paramètres!$A$1:$I$89,3,0)*0.475*44/12</f>
        <v>1.439235897389363E-7</v>
      </c>
      <c r="CN57" s="24">
        <f t="shared" si="12"/>
        <v>10.150348623063797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>
        <f>CT57*VLOOKUP('Données projet'!$B$13,Paramètres!$A$1:$I$89,3,0)*VLOOKUP('Données projet'!$B$13,Paramètres!$A$1:$I$89,5,0)</f>
        <v>0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93.836028041880496</v>
      </c>
      <c r="CZ57" s="62">
        <f t="shared" si="42"/>
        <v>465.96044964631358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50.124699444186248</v>
      </c>
      <c r="DG57" s="23">
        <f>EXP(-LN(2)/25)*DG56+(1-EXP(-LN(2)/25))/(LN(2)/25)*Calculateur!DB57*Calculateur!DD57*VLOOKUP('Données projet'!$B$13,Paramètres!$A$1:$I$89,3,0)*0.475*44/12</f>
        <v>9.3107732071334581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59.435472651319706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19.2</v>
      </c>
      <c r="DO57" s="13">
        <f>IF('Données projet'!$A$166&gt;35,DO56+DN57-DW56,IF(A57&lt;'Données projet'!$A$166,$DL$205^A57,IF(A57='Données projet'!$A$166,'Données projet'!$B$166,DO56+DN57-DW56)))</f>
        <v>443.79999999999978</v>
      </c>
      <c r="DP57" s="18">
        <f>DO57*VLOOKUP('Données projet'!$B$14,Paramètres!$A$1:$I$89,3,0)*VLOOKUP('Données projet'!$B$14,Paramètres!$A$1:$I$89,5,0)</f>
        <v>265.3923999999999</v>
      </c>
      <c r="DQ57" s="14">
        <f t="shared" si="43"/>
        <v>63.870442862391762</v>
      </c>
      <c r="DR57" s="22">
        <f t="shared" si="16"/>
        <v>573.46611798533206</v>
      </c>
      <c r="DS57" s="62">
        <f t="shared" si="17"/>
        <v>812.64343110635446</v>
      </c>
      <c r="DT57" s="62">
        <f ca="1">AVERAGE(OFFSET($DS$3,0,0,'Données projet'!$E$14+1,1))-AVERAGE(OFFSET($H$3,0,0,'Données projet'!$E$14+1,1))</f>
        <v>386.56102661082468</v>
      </c>
      <c r="DU57" s="62">
        <f t="shared" si="44"/>
        <v>410.28336627719011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12.102867564052572</v>
      </c>
      <c r="EB57" s="23">
        <f>EXP(-LN(2)/25)*EB56+(1-EXP(-LN(2)/25))/(LN(2)/25)*Calculateur!DW57*Calculateur!DY57*VLOOKUP('Données projet'!$B$14,Paramètres!$A$1:$I$89,3,0)*0.475*44/12</f>
        <v>1.1456880876525628</v>
      </c>
      <c r="EC57" s="23">
        <f>EXP(-LN(2)/2)*EC56+(1-EXP(-LN(2)/2))/(LN(2)/2)*DW57*DZ57*VLOOKUP('Données projet'!$B$14,Paramètres!$A$1:$I$89,3,0)*0.475*44/12</f>
        <v>3.180307747218353E-3</v>
      </c>
      <c r="ED57" s="24">
        <f t="shared" si="18"/>
        <v>13.251735959452352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738.34281891358955</v>
      </c>
      <c r="S58" s="62">
        <f ca="1">AVERAGE(OFFSET($R$3,0,0,'Données projet'!$E$9+1,1))-AVERAGE(OFFSET($H$3,0,0,'Données projet'!$E$9+1,1))</f>
        <v>499.92116338695428</v>
      </c>
      <c r="T58" s="62">
        <f t="shared" si="34"/>
        <v>316.79403154855652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1.1995347424788616</v>
      </c>
      <c r="AB58" s="23">
        <f>EXP(-LN(2)/2)*AB57+(1-EXP(-LN(2)/2))/(LN(2)/2)*V58*Y58*VLOOKUP('Données projet'!$B$9,Paramètres!$A$1:$I$89,3,0)*0.475*44/12</f>
        <v>4.0583777353400408E-3</v>
      </c>
      <c r="AC58" s="24">
        <f t="shared" si="3"/>
        <v>1.2035931202142016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240.11679899698422</v>
      </c>
      <c r="AN58" s="62">
        <f ca="1">AVERAGE(OFFSET($AM$3,0,0,'Données projet'!$E$10+1,1))-AVERAGE(OFFSET($H$3,0,0,'Données projet'!$E$10+1,1))</f>
        <v>225.71928466161592</v>
      </c>
      <c r="AO58" s="62">
        <f t="shared" si="36"/>
        <v>385.98818770742025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211.70619219850786</v>
      </c>
      <c r="BJ58" s="62">
        <f t="shared" si="38"/>
        <v>426.883837098247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60.220709566848647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4.5917909567773071E-2</v>
      </c>
      <c r="BS58" s="24">
        <f t="shared" si="9"/>
        <v>60.266627476416417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1.9895196601282805E-13</v>
      </c>
      <c r="BZ58" s="14">
        <f>BY58*VLOOKUP('Données projet'!$B$12,Paramètres!$A$1:$I$89,3,0)*VLOOKUP('Données projet'!$B$12,Paramètres!$A$1:$I$89,5,0)</f>
        <v>1.8001173884840681E-13</v>
      </c>
      <c r="CA58" s="14">
        <f t="shared" si="39"/>
        <v>2.5254331426407198E-12</v>
      </c>
      <c r="CB58" s="22">
        <f t="shared" si="10"/>
        <v>4.7119831685935622E-12</v>
      </c>
      <c r="CC58" s="62">
        <f t="shared" si="11"/>
        <v>240.11679899698785</v>
      </c>
      <c r="CD58" s="62">
        <f ca="1">AVERAGE(OFFSET($CC$3,0,0,'Données projet'!$E$12+1,1))-AVERAGE(OFFSET($H$3,0,0,'Données projet'!$E$12+1,1))</f>
        <v>327.07074355218322</v>
      </c>
      <c r="CE58" s="62">
        <f t="shared" si="40"/>
        <v>462.01668587029087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8.3707757607603455</v>
      </c>
      <c r="CL58" s="23">
        <f>EXP(-LN(2)/25)*CL57+(1-EXP(-LN(2)/25))/(LN(2)/25)*Calculateur!CG58*Calculateur!CI58*VLOOKUP('Données projet'!$B$12,Paramètres!$A$1:$I$89,3,0)*0.475*44/12</f>
        <v>1.5680595759558842</v>
      </c>
      <c r="CM58" s="23">
        <f>EXP(-LN(2)/2)*CM57+(1-EXP(-LN(2)/2))/(LN(2)/2)*CG58*CJ58*VLOOKUP('Données projet'!$B$12,Paramètres!$A$1:$I$89,3,0)*0.475*44/12</f>
        <v>1.0176934627711247E-7</v>
      </c>
      <c r="CN58" s="24">
        <f t="shared" si="12"/>
        <v>9.9388354384855759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>
        <f>CT58*VLOOKUP('Données projet'!$B$13,Paramètres!$A$1:$I$89,3,0)*VLOOKUP('Données projet'!$B$13,Paramètres!$A$1:$I$89,5,0)</f>
        <v>0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93.836028041880496</v>
      </c>
      <c r="CZ58" s="62">
        <f t="shared" si="42"/>
        <v>465.96044964631358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49.141784661133578</v>
      </c>
      <c r="DG58" s="23">
        <f>EXP(-LN(2)/25)*DG57+(1-EXP(-LN(2)/25))/(LN(2)/25)*Calculateur!DB58*Calculateur!DD58*VLOOKUP('Données projet'!$B$13,Paramètres!$A$1:$I$89,3,0)*0.475*44/12</f>
        <v>9.0561696241521101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58.197954285285689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463</v>
      </c>
      <c r="DM58" s="13">
        <f>VLOOKUP(A58,'Données projet'!$A$165:$I$185,9,0)</f>
        <v>19.2</v>
      </c>
      <c r="DN58" s="13">
        <f t="array" ref="DN58">INDEX(DM:DM,MIN(IF(ISNUMBER(DM58:DM254),ROW(DM58:DM254),"")))</f>
        <v>19.2</v>
      </c>
      <c r="DO58" s="13">
        <f>IF('Données projet'!$A$166&gt;35,DO57+DN58-DW57,IF(A58&lt;'Données projet'!$A$166,$DL$205^A58,IF(A58='Données projet'!$A$166,'Données projet'!$B$166,DO57+DN58-DW57)))</f>
        <v>462.99999999999977</v>
      </c>
      <c r="DP58" s="18">
        <f>DO58*VLOOKUP('Données projet'!$B$14,Paramètres!$A$1:$I$89,3,0)*VLOOKUP('Données projet'!$B$14,Paramètres!$A$1:$I$89,5,0)</f>
        <v>276.87399999999991</v>
      </c>
      <c r="DQ58" s="14">
        <f t="shared" si="43"/>
        <v>66.305964184031993</v>
      </c>
      <c r="DR58" s="22">
        <f t="shared" si="16"/>
        <v>597.70510428718887</v>
      </c>
      <c r="DS58" s="62">
        <f t="shared" si="17"/>
        <v>837.82190328417198</v>
      </c>
      <c r="DT58" s="62">
        <f ca="1">AVERAGE(OFFSET($DS$3,0,0,'Données projet'!$E$14+1,1))-AVERAGE(OFFSET($H$3,0,0,'Données projet'!$E$14+1,1))</f>
        <v>386.56102661082468</v>
      </c>
      <c r="DU58" s="62">
        <f t="shared" si="44"/>
        <v>410.28336627719011</v>
      </c>
      <c r="DV58" s="16">
        <f>IF(ISNA(VLOOKUP(A58,'Données projet'!$A$165:$I$185,3,0)),0,VLOOKUP(A58,'Données projet'!$A$165:$I$185,3,0))</f>
        <v>9</v>
      </c>
      <c r="DW58" s="16">
        <f>IF(ISNA(VLOOKUP(A58,'Données projet'!$A$165:$I$185,4,0)),0,VLOOKUP(A58,'Données projet'!$A$165:$I$185,4,0))</f>
        <v>48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11.865537713141801</v>
      </c>
      <c r="EB58" s="23">
        <f>EXP(-LN(2)/25)*EB57+(1-EXP(-LN(2)/25))/(LN(2)/25)*Calculateur!DW58*Calculateur!DY58*VLOOKUP('Données projet'!$B$14,Paramètres!$A$1:$I$89,3,0)*0.475*44/12</f>
        <v>1.1143591866465854</v>
      </c>
      <c r="EC58" s="23">
        <f>EXP(-LN(2)/2)*EC57+(1-EXP(-LN(2)/2))/(LN(2)/2)*DW58*DZ58*VLOOKUP('Données projet'!$B$14,Paramètres!$A$1:$I$89,3,0)*0.475*44/12</f>
        <v>2.2488171743182098E-3</v>
      </c>
      <c r="ED58" s="24">
        <f t="shared" si="18"/>
        <v>12.982145716962703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703.58892885664841</v>
      </c>
      <c r="S59" s="62">
        <f ca="1">AVERAGE(OFFSET($R$3,0,0,'Données projet'!$E$9+1,1))-AVERAGE(OFFSET($H$3,0,0,'Données projet'!$E$9+1,1))</f>
        <v>499.92116338695428</v>
      </c>
      <c r="T59" s="62">
        <f t="shared" si="34"/>
        <v>316.79403154855652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1.1667334018649866</v>
      </c>
      <c r="AB59" s="23">
        <f>EXP(-LN(2)/2)*AB58+(1-EXP(-LN(2)/2))/(LN(2)/2)*V59*Y59*VLOOKUP('Données projet'!$B$9,Paramètres!$A$1:$I$89,3,0)*0.475*44/12</f>
        <v>2.8697064172754465E-3</v>
      </c>
      <c r="AC59" s="24">
        <f t="shared" si="3"/>
        <v>1.169603108282262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241.03998689337271</v>
      </c>
      <c r="AN59" s="62">
        <f ca="1">AVERAGE(OFFSET($AM$3,0,0,'Données projet'!$E$10+1,1))-AVERAGE(OFFSET($H$3,0,0,'Données projet'!$E$10+1,1))</f>
        <v>225.71928466161592</v>
      </c>
      <c r="AO59" s="62">
        <f t="shared" si="36"/>
        <v>385.98818770742025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211.70619219850786</v>
      </c>
      <c r="BJ59" s="62">
        <f t="shared" si="38"/>
        <v>426.883837098247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59.039818183248698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3.246886523328299E-2</v>
      </c>
      <c r="BS59" s="24">
        <f t="shared" si="9"/>
        <v>59.072287048481982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1.9895196601282805E-13</v>
      </c>
      <c r="BZ59" s="14">
        <f>BY59*VLOOKUP('Données projet'!$B$12,Paramètres!$A$1:$I$89,3,0)*VLOOKUP('Données projet'!$B$12,Paramètres!$A$1:$I$89,5,0)</f>
        <v>1.8001173884840681E-13</v>
      </c>
      <c r="CA59" s="14">
        <f t="shared" si="39"/>
        <v>2.5254331426407198E-12</v>
      </c>
      <c r="CB59" s="22">
        <f t="shared" si="10"/>
        <v>4.7119831685935622E-12</v>
      </c>
      <c r="CC59" s="62">
        <f t="shared" si="11"/>
        <v>241.03998689337635</v>
      </c>
      <c r="CD59" s="62">
        <f ca="1">AVERAGE(OFFSET($CC$3,0,0,'Données projet'!$E$12+1,1))-AVERAGE(OFFSET($H$3,0,0,'Données projet'!$E$12+1,1))</f>
        <v>327.07074355218322</v>
      </c>
      <c r="CE59" s="62">
        <f t="shared" si="40"/>
        <v>462.01668587029087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8.2066299537609062</v>
      </c>
      <c r="CL59" s="23">
        <f>EXP(-LN(2)/25)*CL58+(1-EXP(-LN(2)/25))/(LN(2)/25)*Calculateur!CG59*Calculateur!CI59*VLOOKUP('Données projet'!$B$12,Paramètres!$A$1:$I$89,3,0)*0.475*44/12</f>
        <v>1.5251809043907012</v>
      </c>
      <c r="CM59" s="23">
        <f>EXP(-LN(2)/2)*CM58+(1-EXP(-LN(2)/2))/(LN(2)/2)*CG59*CJ59*VLOOKUP('Données projet'!$B$12,Paramètres!$A$1:$I$89,3,0)*0.475*44/12</f>
        <v>7.196179486946815E-8</v>
      </c>
      <c r="CN59" s="24">
        <f t="shared" si="12"/>
        <v>9.7318109301134026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>
        <f>CT59*VLOOKUP('Données projet'!$B$13,Paramètres!$A$1:$I$89,3,0)*VLOOKUP('Données projet'!$B$13,Paramètres!$A$1:$I$89,5,0)</f>
        <v>0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93.836028041880496</v>
      </c>
      <c r="CZ59" s="62">
        <f t="shared" si="42"/>
        <v>465.96044964631358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48.178144237457751</v>
      </c>
      <c r="DG59" s="23">
        <f>EXP(-LN(2)/25)*DG58+(1-EXP(-LN(2)/25))/(LN(2)/25)*Calculateur!DB59*Calculateur!DD59*VLOOKUP('Données projet'!$B$13,Paramètres!$A$1:$I$89,3,0)*0.475*44/12</f>
        <v>8.8085281895364087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56.986672426994161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17</v>
      </c>
      <c r="DO59" s="13">
        <f>IF('Données projet'!$A$166&gt;35,DO58+DN59-DW58,IF(A59&lt;'Données projet'!$A$166,$DL$205^A59,IF(A59='Données projet'!$A$166,'Données projet'!$B$166,DO58+DN59-DW58)))</f>
        <v>431.99999999999977</v>
      </c>
      <c r="DP59" s="18">
        <f>DO59*VLOOKUP('Données projet'!$B$14,Paramètres!$A$1:$I$89,3,0)*VLOOKUP('Données projet'!$B$14,Paramètres!$A$1:$I$89,5,0)</f>
        <v>258.3359999999999</v>
      </c>
      <c r="DQ59" s="14">
        <f t="shared" si="43"/>
        <v>62.367547966451262</v>
      </c>
      <c r="DR59" s="22">
        <f t="shared" si="16"/>
        <v>558.55867937490245</v>
      </c>
      <c r="DS59" s="62">
        <f t="shared" si="17"/>
        <v>799.59866626827409</v>
      </c>
      <c r="DT59" s="62">
        <f ca="1">AVERAGE(OFFSET($DS$3,0,0,'Données projet'!$E$14+1,1))-AVERAGE(OFFSET($H$3,0,0,'Données projet'!$E$14+1,1))</f>
        <v>386.56102661082468</v>
      </c>
      <c r="DU59" s="62">
        <f t="shared" si="44"/>
        <v>410.28336627719011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11.632861755850476</v>
      </c>
      <c r="EB59" s="23">
        <f>EXP(-LN(2)/25)*EB58+(1-EXP(-LN(2)/25))/(LN(2)/25)*Calculateur!DW59*Calculateur!DY59*VLOOKUP('Données projet'!$B$14,Paramètres!$A$1:$I$89,3,0)*0.475*44/12</f>
        <v>1.0838869760861318</v>
      </c>
      <c r="EC59" s="23">
        <f>EXP(-LN(2)/2)*EC58+(1-EXP(-LN(2)/2))/(LN(2)/2)*DW59*DZ59*VLOOKUP('Données projet'!$B$14,Paramètres!$A$1:$I$89,3,0)*0.475*44/12</f>
        <v>1.5901538736091765E-3</v>
      </c>
      <c r="ED59" s="24">
        <f t="shared" si="18"/>
        <v>12.718338885810217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722.53349330211711</v>
      </c>
      <c r="S60" s="62">
        <f ca="1">AVERAGE(OFFSET($R$3,0,0,'Données projet'!$E$9+1,1))-AVERAGE(OFFSET($H$3,0,0,'Données projet'!$E$9+1,1))</f>
        <v>499.92116338695428</v>
      </c>
      <c r="T60" s="62">
        <f t="shared" si="34"/>
        <v>316.79403154855652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1.1348290156351455</v>
      </c>
      <c r="AB60" s="23">
        <f>EXP(-LN(2)/2)*AB59+(1-EXP(-LN(2)/2))/(LN(2)/2)*V60*Y60*VLOOKUP('Données projet'!$B$9,Paramètres!$A$1:$I$89,3,0)*0.475*44/12</f>
        <v>2.0291888676700204E-3</v>
      </c>
      <c r="AC60" s="24">
        <f t="shared" si="3"/>
        <v>1.1368582045028155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241.94715954369786</v>
      </c>
      <c r="AN60" s="62">
        <f ca="1">AVERAGE(OFFSET($AM$3,0,0,'Données projet'!$E$10+1,1))-AVERAGE(OFFSET($H$3,0,0,'Données projet'!$E$10+1,1))</f>
        <v>225.71928466161592</v>
      </c>
      <c r="AO60" s="62">
        <f t="shared" si="36"/>
        <v>385.98818770742025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211.70619219850786</v>
      </c>
      <c r="BJ60" s="62">
        <f t="shared" si="38"/>
        <v>426.883837098247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57.882083359408519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2.2958954783886536E-2</v>
      </c>
      <c r="BS60" s="24">
        <f t="shared" si="9"/>
        <v>57.905042314192407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1.9895196601282805E-13</v>
      </c>
      <c r="BZ60" s="14">
        <f>BY60*VLOOKUP('Données projet'!$B$12,Paramètres!$A$1:$I$89,3,0)*VLOOKUP('Données projet'!$B$12,Paramètres!$A$1:$I$89,5,0)</f>
        <v>1.8001173884840681E-13</v>
      </c>
      <c r="CA60" s="14">
        <f t="shared" si="39"/>
        <v>2.5254331426407198E-12</v>
      </c>
      <c r="CB60" s="22">
        <f t="shared" si="10"/>
        <v>4.7119831685935622E-12</v>
      </c>
      <c r="CC60" s="62">
        <f t="shared" si="11"/>
        <v>241.9471595437015</v>
      </c>
      <c r="CD60" s="62">
        <f ca="1">AVERAGE(OFFSET($CC$3,0,0,'Données projet'!$E$12+1,1))-AVERAGE(OFFSET($H$3,0,0,'Données projet'!$E$12+1,1))</f>
        <v>327.07074355218322</v>
      </c>
      <c r="CE60" s="62">
        <f t="shared" si="40"/>
        <v>462.01668587029087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8.0457029459176699</v>
      </c>
      <c r="CL60" s="23">
        <f>EXP(-LN(2)/25)*CL59+(1-EXP(-LN(2)/25))/(LN(2)/25)*Calculateur!CG60*Calculateur!CI60*VLOOKUP('Données projet'!$B$12,Paramètres!$A$1:$I$89,3,0)*0.475*44/12</f>
        <v>1.4834747523543597</v>
      </c>
      <c r="CM60" s="23">
        <f>EXP(-LN(2)/2)*CM59+(1-EXP(-LN(2)/2))/(LN(2)/2)*CG60*CJ60*VLOOKUP('Données projet'!$B$12,Paramètres!$A$1:$I$89,3,0)*0.475*44/12</f>
        <v>5.0884673138556234E-8</v>
      </c>
      <c r="CN60" s="24">
        <f t="shared" si="12"/>
        <v>9.5291777491567018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>
        <f>CT60*VLOOKUP('Données projet'!$B$13,Paramètres!$A$1:$I$89,3,0)*VLOOKUP('Données projet'!$B$13,Paramètres!$A$1:$I$89,5,0)</f>
        <v>0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93.836028041880496</v>
      </c>
      <c r="CZ60" s="62">
        <f t="shared" si="42"/>
        <v>465.96044964631358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47.233400214727588</v>
      </c>
      <c r="DG60" s="23">
        <f>EXP(-LN(2)/25)*DG59+(1-EXP(-LN(2)/25))/(LN(2)/25)*Calculateur!DB60*Calculateur!DD60*VLOOKUP('Données projet'!$B$13,Paramètres!$A$1:$I$89,3,0)*0.475*44/12</f>
        <v>8.5676585229731703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55.801058737700757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17</v>
      </c>
      <c r="DO60" s="13">
        <f>IF('Données projet'!$A$166&gt;35,DO59+DN60-DW59,IF(A60&lt;'Données projet'!$A$166,$DL$205^A60,IF(A60='Données projet'!$A$166,'Données projet'!$B$166,DO59+DN60-DW59)))</f>
        <v>448.99999999999977</v>
      </c>
      <c r="DP60" s="18">
        <f>DO60*VLOOKUP('Données projet'!$B$14,Paramètres!$A$1:$I$89,3,0)*VLOOKUP('Données projet'!$B$14,Paramètres!$A$1:$I$89,5,0)</f>
        <v>268.5019999999999</v>
      </c>
      <c r="DQ60" s="14">
        <f t="shared" si="43"/>
        <v>64.531253013339111</v>
      </c>
      <c r="DR60" s="22">
        <f t="shared" si="16"/>
        <v>580.03291566489872</v>
      </c>
      <c r="DS60" s="62">
        <f t="shared" si="17"/>
        <v>821.98007520859551</v>
      </c>
      <c r="DT60" s="62">
        <f ca="1">AVERAGE(OFFSET($DS$3,0,0,'Données projet'!$E$14+1,1))-AVERAGE(OFFSET($H$3,0,0,'Données projet'!$E$14+1,1))</f>
        <v>386.56102661082468</v>
      </c>
      <c r="DU60" s="62">
        <f t="shared" si="44"/>
        <v>410.28336627719011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11.404748432163311</v>
      </c>
      <c r="EB60" s="23">
        <f>EXP(-LN(2)/25)*EB59+(1-EXP(-LN(2)/25))/(LN(2)/25)*Calculateur!DW60*Calculateur!DY60*VLOOKUP('Données projet'!$B$14,Paramètres!$A$1:$I$89,3,0)*0.475*44/12</f>
        <v>1.0542480297259178</v>
      </c>
      <c r="EC60" s="23">
        <f>EXP(-LN(2)/2)*EC59+(1-EXP(-LN(2)/2))/(LN(2)/2)*DW60*DZ60*VLOOKUP('Données projet'!$B$14,Paramètres!$A$1:$I$89,3,0)*0.475*44/12</f>
        <v>1.1244085871591049E-3</v>
      </c>
      <c r="ED60" s="24">
        <f t="shared" si="18"/>
        <v>12.460120870476388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741.44793736432302</v>
      </c>
      <c r="S61" s="62">
        <f ca="1">AVERAGE(OFFSET($R$3,0,0,'Données projet'!$E$9+1,1))-AVERAGE(OFFSET($H$3,0,0,'Données projet'!$E$9+1,1))</f>
        <v>499.92116338695428</v>
      </c>
      <c r="T61" s="62">
        <f t="shared" si="34"/>
        <v>316.79403154855652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1.1037970565245383</v>
      </c>
      <c r="AB61" s="23">
        <f>EXP(-LN(2)/2)*AB60+(1-EXP(-LN(2)/2))/(LN(2)/2)*V61*Y61*VLOOKUP('Données projet'!$B$9,Paramètres!$A$1:$I$89,3,0)*0.475*44/12</f>
        <v>1.4348532086377232E-3</v>
      </c>
      <c r="AC61" s="24">
        <f t="shared" si="3"/>
        <v>1.105231909733176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242.83859477667411</v>
      </c>
      <c r="AN61" s="62">
        <f ca="1">AVERAGE(OFFSET($AM$3,0,0,'Données projet'!$E$10+1,1))-AVERAGE(OFFSET($H$3,0,0,'Données projet'!$E$10+1,1))</f>
        <v>225.71928466161592</v>
      </c>
      <c r="AO61" s="62">
        <f t="shared" si="36"/>
        <v>385.98818770742025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211.70619219850786</v>
      </c>
      <c r="BJ61" s="62">
        <f t="shared" si="38"/>
        <v>426.883837098247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56.747051009315328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1.6234432616641495E-2</v>
      </c>
      <c r="BS61" s="24">
        <f t="shared" si="9"/>
        <v>56.76328544193197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1.9895196601282805E-13</v>
      </c>
      <c r="BZ61" s="14">
        <f>BY61*VLOOKUP('Données projet'!$B$12,Paramètres!$A$1:$I$89,3,0)*VLOOKUP('Données projet'!$B$12,Paramètres!$A$1:$I$89,5,0)</f>
        <v>1.8001173884840681E-13</v>
      </c>
      <c r="CA61" s="14">
        <f t="shared" si="39"/>
        <v>2.5254331426407198E-12</v>
      </c>
      <c r="CB61" s="22">
        <f t="shared" si="10"/>
        <v>4.7119831685935622E-12</v>
      </c>
      <c r="CC61" s="62">
        <f t="shared" si="11"/>
        <v>242.83859477667775</v>
      </c>
      <c r="CD61" s="62">
        <f ca="1">AVERAGE(OFFSET($CC$3,0,0,'Données projet'!$E$12+1,1))-AVERAGE(OFFSET($H$3,0,0,'Données projet'!$E$12+1,1))</f>
        <v>327.07074355218322</v>
      </c>
      <c r="CE61" s="62">
        <f t="shared" si="40"/>
        <v>462.01668587029087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7.8879316185424564</v>
      </c>
      <c r="CL61" s="23">
        <f>EXP(-LN(2)/25)*CL60+(1-EXP(-LN(2)/25))/(LN(2)/25)*Calculateur!CG61*Calculateur!CI61*VLOOKUP('Données projet'!$B$12,Paramètres!$A$1:$I$89,3,0)*0.475*44/12</f>
        <v>1.4429090572386829</v>
      </c>
      <c r="CM61" s="23">
        <f>EXP(-LN(2)/2)*CM60+(1-EXP(-LN(2)/2))/(LN(2)/2)*CG61*CJ61*VLOOKUP('Données projet'!$B$12,Paramètres!$A$1:$I$89,3,0)*0.475*44/12</f>
        <v>3.5980897434734075E-8</v>
      </c>
      <c r="CN61" s="24">
        <f t="shared" si="12"/>
        <v>9.330840711762038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>
        <f>CT61*VLOOKUP('Données projet'!$B$13,Paramètres!$A$1:$I$89,3,0)*VLOOKUP('Données projet'!$B$13,Paramètres!$A$1:$I$89,5,0)</f>
        <v>0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93.836028041880496</v>
      </c>
      <c r="CZ61" s="62">
        <f t="shared" si="42"/>
        <v>465.96044964631358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46.307182046046208</v>
      </c>
      <c r="DG61" s="23">
        <f>EXP(-LN(2)/25)*DG60+(1-EXP(-LN(2)/25))/(LN(2)/25)*Calculateur!DB61*Calculateur!DD61*VLOOKUP('Données projet'!$B$13,Paramètres!$A$1:$I$89,3,0)*0.475*44/12</f>
        <v>8.333375450108889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54.640557496155097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17</v>
      </c>
      <c r="DO61" s="13">
        <f>IF('Données projet'!$A$166&gt;35,DO60+DN61-DW60,IF(A61&lt;'Données projet'!$A$166,$DL$205^A61,IF(A61='Données projet'!$A$166,'Données projet'!$B$166,DO60+DN61-DW60)))</f>
        <v>465.99999999999977</v>
      </c>
      <c r="DP61" s="18">
        <f>DO61*VLOOKUP('Données projet'!$B$14,Paramètres!$A$1:$I$89,3,0)*VLOOKUP('Données projet'!$B$14,Paramètres!$A$1:$I$89,5,0)</f>
        <v>278.66799999999989</v>
      </c>
      <c r="DQ61" s="14">
        <f t="shared" si="43"/>
        <v>66.685440917424486</v>
      </c>
      <c r="DR61" s="22">
        <f t="shared" si="16"/>
        <v>601.49057626451417</v>
      </c>
      <c r="DS61" s="62">
        <f t="shared" si="17"/>
        <v>844.32917104118724</v>
      </c>
      <c r="DT61" s="62">
        <f ca="1">AVERAGE(OFFSET($DS$3,0,0,'Données projet'!$E$14+1,1))-AVERAGE(OFFSET($H$3,0,0,'Données projet'!$E$14+1,1))</f>
        <v>386.56102661082468</v>
      </c>
      <c r="DU61" s="62">
        <f t="shared" si="44"/>
        <v>410.28336627719011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11.181108271618264</v>
      </c>
      <c r="EB61" s="23">
        <f>EXP(-LN(2)/25)*EB60+(1-EXP(-LN(2)/25))/(LN(2)/25)*Calculateur!DW61*Calculateur!DY61*VLOOKUP('Données projet'!$B$14,Paramètres!$A$1:$I$89,3,0)*0.475*44/12</f>
        <v>1.0254195619125681</v>
      </c>
      <c r="EC61" s="23">
        <f>EXP(-LN(2)/2)*EC60+(1-EXP(-LN(2)/2))/(LN(2)/2)*DW61*DZ61*VLOOKUP('Données projet'!$B$14,Paramètres!$A$1:$I$89,3,0)*0.475*44/12</f>
        <v>7.9507693680458825E-4</v>
      </c>
      <c r="ED61" s="24">
        <f t="shared" si="18"/>
        <v>12.207322910467637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760.33312682429221</v>
      </c>
      <c r="S62" s="62">
        <f ca="1">AVERAGE(OFFSET($R$3,0,0,'Données projet'!$E$9+1,1))-AVERAGE(OFFSET($H$3,0,0,'Données projet'!$E$9+1,1))</f>
        <v>499.92116338695428</v>
      </c>
      <c r="T62" s="62">
        <f t="shared" si="34"/>
        <v>316.79403154855652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1.0736136679677104</v>
      </c>
      <c r="AB62" s="23">
        <f>EXP(-LN(2)/2)*AB61+(1-EXP(-LN(2)/2))/(LN(2)/2)*V62*Y62*VLOOKUP('Données projet'!$B$9,Paramètres!$A$1:$I$89,3,0)*0.475*44/12</f>
        <v>1.0145944338350102E-3</v>
      </c>
      <c r="AC62" s="24">
        <f t="shared" si="3"/>
        <v>1.0746282624015455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243.71456560130875</v>
      </c>
      <c r="AN62" s="62">
        <f ca="1">AVERAGE(OFFSET($AM$3,0,0,'Données projet'!$E$10+1,1))-AVERAGE(OFFSET($H$3,0,0,'Données projet'!$E$10+1,1))</f>
        <v>225.71928466161592</v>
      </c>
      <c r="AO62" s="62">
        <f t="shared" si="36"/>
        <v>385.98818770742025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211.70619219850786</v>
      </c>
      <c r="BJ62" s="62">
        <f t="shared" si="38"/>
        <v>426.883837098247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55.634275951306094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1.1479477391943268E-2</v>
      </c>
      <c r="BS62" s="24">
        <f t="shared" si="9"/>
        <v>55.645755428698038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1.9895196601282805E-13</v>
      </c>
      <c r="BZ62" s="14">
        <f>BY62*VLOOKUP('Données projet'!$B$12,Paramètres!$A$1:$I$89,3,0)*VLOOKUP('Données projet'!$B$12,Paramètres!$A$1:$I$89,5,0)</f>
        <v>1.8001173884840681E-13</v>
      </c>
      <c r="CA62" s="14">
        <f t="shared" si="39"/>
        <v>2.5254331426407198E-12</v>
      </c>
      <c r="CB62" s="22">
        <f t="shared" si="10"/>
        <v>4.7119831685935622E-12</v>
      </c>
      <c r="CC62" s="62">
        <f t="shared" si="11"/>
        <v>243.71456560131239</v>
      </c>
      <c r="CD62" s="62">
        <f ca="1">AVERAGE(OFFSET($CC$3,0,0,'Données projet'!$E$12+1,1))-AVERAGE(OFFSET($H$3,0,0,'Données projet'!$E$12+1,1))</f>
        <v>327.07074355218322</v>
      </c>
      <c r="CE62" s="62">
        <f t="shared" si="40"/>
        <v>462.01668587029087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7.7332540906660636</v>
      </c>
      <c r="CL62" s="23">
        <f>EXP(-LN(2)/25)*CL61+(1-EXP(-LN(2)/25))/(LN(2)/25)*Calculateur!CG62*Calculateur!CI62*VLOOKUP('Données projet'!$B$12,Paramètres!$A$1:$I$89,3,0)*0.475*44/12</f>
        <v>1.4034526331892017</v>
      </c>
      <c r="CM62" s="23">
        <f>EXP(-LN(2)/2)*CM61+(1-EXP(-LN(2)/2))/(LN(2)/2)*CG62*CJ62*VLOOKUP('Données projet'!$B$12,Paramètres!$A$1:$I$89,3,0)*0.475*44/12</f>
        <v>2.5442336569278117E-8</v>
      </c>
      <c r="CN62" s="24">
        <f t="shared" si="12"/>
        <v>9.136706749297602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>
        <f>CT62*VLOOKUP('Données projet'!$B$13,Paramètres!$A$1:$I$89,3,0)*VLOOKUP('Données projet'!$B$13,Paramètres!$A$1:$I$89,5,0)</f>
        <v>0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93.836028041880496</v>
      </c>
      <c r="CZ62" s="62">
        <f t="shared" si="42"/>
        <v>465.96044964631358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45.399126450715364</v>
      </c>
      <c r="DG62" s="23">
        <f>EXP(-LN(2)/25)*DG61+(1-EXP(-LN(2)/25))/(LN(2)/25)*Calculateur!DB62*Calculateur!DD62*VLOOKUP('Données projet'!$B$13,Paramètres!$A$1:$I$89,3,0)*0.475*44/12</f>
        <v>8.1054988601924922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53.504625310907855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17</v>
      </c>
      <c r="DO62" s="13">
        <f>IF('Données projet'!$A$166&gt;35,DO61+DN62-DW61,IF(A62&lt;'Données projet'!$A$166,$DL$205^A62,IF(A62='Données projet'!$A$166,'Données projet'!$B$166,DO61+DN62-DW61)))</f>
        <v>482.99999999999977</v>
      </c>
      <c r="DP62" s="18">
        <f>DO62*VLOOKUP('Données projet'!$B$14,Paramètres!$A$1:$I$89,3,0)*VLOOKUP('Données projet'!$B$14,Paramètres!$A$1:$I$89,5,0)</f>
        <v>288.83399999999989</v>
      </c>
      <c r="DQ62" s="14">
        <f t="shared" si="43"/>
        <v>68.83049863656332</v>
      </c>
      <c r="DR62" s="22">
        <f t="shared" si="16"/>
        <v>622.93233512534755</v>
      </c>
      <c r="DS62" s="62">
        <f t="shared" si="17"/>
        <v>866.64690072665519</v>
      </c>
      <c r="DT62" s="62">
        <f ca="1">AVERAGE(OFFSET($DS$3,0,0,'Données projet'!$E$14+1,1))-AVERAGE(OFFSET($H$3,0,0,'Données projet'!$E$14+1,1))</f>
        <v>386.56102661082468</v>
      </c>
      <c r="DU62" s="62">
        <f t="shared" si="44"/>
        <v>410.28336627719011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10.961853558214475</v>
      </c>
      <c r="EB62" s="23">
        <f>EXP(-LN(2)/25)*EB61+(1-EXP(-LN(2)/25))/(LN(2)/25)*Calculateur!DW62*Calculateur!DY62*VLOOKUP('Données projet'!$B$14,Paramètres!$A$1:$I$89,3,0)*0.475*44/12</f>
        <v>0.99737941006759778</v>
      </c>
      <c r="EC62" s="23">
        <f>EXP(-LN(2)/2)*EC61+(1-EXP(-LN(2)/2))/(LN(2)/2)*DW62*DZ62*VLOOKUP('Données projet'!$B$14,Paramètres!$A$1:$I$89,3,0)*0.475*44/12</f>
        <v>5.6220429357955245E-4</v>
      </c>
      <c r="ED62" s="24">
        <f t="shared" si="18"/>
        <v>11.959795172575653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779.18987805370762</v>
      </c>
      <c r="S63" s="62">
        <f ca="1">AVERAGE(OFFSET($R$3,0,0,'Données projet'!$E$9+1,1))-AVERAGE(OFFSET($H$3,0,0,'Données projet'!$E$9+1,1))</f>
        <v>499.92116338695428</v>
      </c>
      <c r="T63" s="62">
        <f t="shared" si="34"/>
        <v>316.79403154855652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1.0442556457582444</v>
      </c>
      <c r="AB63" s="23">
        <f>EXP(-LN(2)/2)*AB62+(1-EXP(-LN(2)/2))/(LN(2)/2)*V63*Y63*VLOOKUP('Données projet'!$B$9,Paramètres!$A$1:$I$89,3,0)*0.475*44/12</f>
        <v>7.1742660431886162E-4</v>
      </c>
      <c r="AC63" s="24">
        <f t="shared" si="3"/>
        <v>1.0449730723625632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244.57534029051345</v>
      </c>
      <c r="AN63" s="62">
        <f ca="1">AVERAGE(OFFSET($AM$3,0,0,'Données projet'!$E$10+1,1))-AVERAGE(OFFSET($H$3,0,0,'Données projet'!$E$10+1,1))</f>
        <v>225.71928466161592</v>
      </c>
      <c r="AO63" s="62">
        <f t="shared" si="36"/>
        <v>385.98818770742025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211.70619219850786</v>
      </c>
      <c r="BJ63" s="62">
        <f t="shared" si="38"/>
        <v>426.883837098247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54.543321733458654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8.1172163083207474E-3</v>
      </c>
      <c r="BS63" s="24">
        <f t="shared" si="9"/>
        <v>54.551438949766975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1.9895196601282805E-13</v>
      </c>
      <c r="BZ63" s="14">
        <f>BY63*VLOOKUP('Données projet'!$B$12,Paramètres!$A$1:$I$89,3,0)*VLOOKUP('Données projet'!$B$12,Paramètres!$A$1:$I$89,5,0)</f>
        <v>1.8001173884840681E-13</v>
      </c>
      <c r="CA63" s="14">
        <f t="shared" si="39"/>
        <v>2.5254331426407198E-12</v>
      </c>
      <c r="CB63" s="22">
        <f t="shared" si="10"/>
        <v>4.7119831685935622E-12</v>
      </c>
      <c r="CC63" s="62">
        <f t="shared" si="11"/>
        <v>244.57534029051709</v>
      </c>
      <c r="CD63" s="62">
        <f ca="1">AVERAGE(OFFSET($CC$3,0,0,'Données projet'!$E$12+1,1))-AVERAGE(OFFSET($H$3,0,0,'Données projet'!$E$12+1,1))</f>
        <v>327.07074355218322</v>
      </c>
      <c r="CE63" s="62">
        <f t="shared" si="40"/>
        <v>462.01668587029087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7.5816096947673506</v>
      </c>
      <c r="CL63" s="23">
        <f>EXP(-LN(2)/25)*CL62+(1-EXP(-LN(2)/25))/(LN(2)/25)*Calculateur!CG63*Calculateur!CI63*VLOOKUP('Données projet'!$B$12,Paramètres!$A$1:$I$89,3,0)*0.475*44/12</f>
        <v>1.3650751471302767</v>
      </c>
      <c r="CM63" s="23">
        <f>EXP(-LN(2)/2)*CM62+(1-EXP(-LN(2)/2))/(LN(2)/2)*CG63*CJ63*VLOOKUP('Données projet'!$B$12,Paramètres!$A$1:$I$89,3,0)*0.475*44/12</f>
        <v>1.7990448717367038E-8</v>
      </c>
      <c r="CN63" s="24">
        <f t="shared" si="12"/>
        <v>8.9466848598880748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>
        <f>CT63*VLOOKUP('Données projet'!$B$13,Paramètres!$A$1:$I$89,3,0)*VLOOKUP('Données projet'!$B$13,Paramètres!$A$1:$I$89,5,0)</f>
        <v>0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93.836028041880496</v>
      </c>
      <c r="CZ63" s="62">
        <f t="shared" si="42"/>
        <v>465.96044964631358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44.508877271749739</v>
      </c>
      <c r="DG63" s="23">
        <f>EXP(-LN(2)/25)*DG62+(1-EXP(-LN(2)/25))/(LN(2)/25)*Calculateur!DB63*Calculateur!DD63*VLOOKUP('Données projet'!$B$13,Paramètres!$A$1:$I$89,3,0)*0.475*44/12</f>
        <v>7.8838535676108688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52.39273083936061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500</v>
      </c>
      <c r="DM63" s="13">
        <f>VLOOKUP(A63,'Données projet'!$A$165:$I$185,9,0)</f>
        <v>17</v>
      </c>
      <c r="DN63" s="13">
        <f t="array" ref="DN63">INDEX(DM:DM,MIN(IF(ISNUMBER(DM63:DM259),ROW(DM63:DM259),"")))</f>
        <v>17</v>
      </c>
      <c r="DO63" s="13">
        <f>IF('Données projet'!$A$166&gt;35,DO62+DN63-DW62,IF(A63&lt;'Données projet'!$A$166,$DL$205^A63,IF(A63='Données projet'!$A$166,'Données projet'!$B$166,DO62+DN63-DW62)))</f>
        <v>499.99999999999977</v>
      </c>
      <c r="DP63" s="18">
        <f>DO63*VLOOKUP('Données projet'!$B$14,Paramètres!$A$1:$I$89,3,0)*VLOOKUP('Données projet'!$B$14,Paramètres!$A$1:$I$89,5,0)</f>
        <v>298.99999999999989</v>
      </c>
      <c r="DQ63" s="14">
        <f t="shared" si="43"/>
        <v>70.966784344875038</v>
      </c>
      <c r="DR63" s="22">
        <f t="shared" si="16"/>
        <v>644.3588160673238</v>
      </c>
      <c r="DS63" s="62">
        <f t="shared" si="17"/>
        <v>888.93415635783617</v>
      </c>
      <c r="DT63" s="62">
        <f ca="1">AVERAGE(OFFSET($DS$3,0,0,'Données projet'!$E$14+1,1))-AVERAGE(OFFSET($H$3,0,0,'Données projet'!$E$14+1,1))</f>
        <v>386.56102661082468</v>
      </c>
      <c r="DU63" s="62">
        <f t="shared" si="44"/>
        <v>410.28336627719011</v>
      </c>
      <c r="DV63" s="16">
        <f>IF(ISNA(VLOOKUP(A63,'Données projet'!$A$165:$I$185,3,0)),0,VLOOKUP(A63,'Données projet'!$A$165:$I$185,3,0))</f>
        <v>10</v>
      </c>
      <c r="DW63" s="16">
        <f>IF(ISNA(VLOOKUP(A63,'Données projet'!$A$165:$I$185,4,0)),0,VLOOKUP(A63,'Données projet'!$A$165:$I$185,4,0))</f>
        <v>32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10.746898296008364</v>
      </c>
      <c r="EB63" s="23">
        <f>EXP(-LN(2)/25)*EB62+(1-EXP(-LN(2)/25))/(LN(2)/25)*Calculateur!DW63*Calculateur!DY63*VLOOKUP('Données projet'!$B$14,Paramètres!$A$1:$I$89,3,0)*0.475*44/12</f>
        <v>0.97010601764939564</v>
      </c>
      <c r="EC63" s="23">
        <f>EXP(-LN(2)/2)*EC62+(1-EXP(-LN(2)/2))/(LN(2)/2)*DW63*DZ63*VLOOKUP('Données projet'!$B$14,Paramètres!$A$1:$I$89,3,0)*0.475*44/12</f>
        <v>3.9753846840229413E-4</v>
      </c>
      <c r="ED63" s="24">
        <f t="shared" si="18"/>
        <v>11.717401852126162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743.26387346228853</v>
      </c>
      <c r="S64" s="62">
        <f ca="1">AVERAGE(OFFSET($R$3,0,0,'Données projet'!$E$9+1,1))-AVERAGE(OFFSET($H$3,0,0,'Données projet'!$E$9+1,1))</f>
        <v>499.92116338695428</v>
      </c>
      <c r="T64" s="62">
        <f t="shared" si="34"/>
        <v>316.79403154855652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1.0157004202099675</v>
      </c>
      <c r="AB64" s="23">
        <f>EXP(-LN(2)/2)*AB63+(1-EXP(-LN(2)/2))/(LN(2)/2)*V64*Y64*VLOOKUP('Données projet'!$B$9,Paramètres!$A$1:$I$89,3,0)*0.475*44/12</f>
        <v>5.0729721691750509E-4</v>
      </c>
      <c r="AC64" s="24">
        <f t="shared" si="3"/>
        <v>1.0162077174268851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245.4211824632643</v>
      </c>
      <c r="AN64" s="62">
        <f ca="1">AVERAGE(OFFSET($AM$3,0,0,'Données projet'!$E$10+1,1))-AVERAGE(OFFSET($H$3,0,0,'Données projet'!$E$10+1,1))</f>
        <v>225.71928466161592</v>
      </c>
      <c r="AO64" s="62">
        <f t="shared" si="36"/>
        <v>385.98818770742025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211.70619219850786</v>
      </c>
      <c r="BJ64" s="62">
        <f t="shared" si="38"/>
        <v>426.883837098247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53.47376046240683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5.7397386959716339E-3</v>
      </c>
      <c r="BS64" s="24">
        <f t="shared" si="9"/>
        <v>53.479500201102802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1.9895196601282805E-13</v>
      </c>
      <c r="BZ64" s="14">
        <f>BY64*VLOOKUP('Données projet'!$B$12,Paramètres!$A$1:$I$89,3,0)*VLOOKUP('Données projet'!$B$12,Paramètres!$A$1:$I$89,5,0)</f>
        <v>1.8001173884840681E-13</v>
      </c>
      <c r="CA64" s="14">
        <f t="shared" si="39"/>
        <v>2.5254331426407198E-12</v>
      </c>
      <c r="CB64" s="22">
        <f t="shared" si="10"/>
        <v>4.7119831685935622E-12</v>
      </c>
      <c r="CC64" s="62">
        <f t="shared" si="11"/>
        <v>245.42118246326794</v>
      </c>
      <c r="CD64" s="62">
        <f ca="1">AVERAGE(OFFSET($CC$3,0,0,'Données projet'!$E$12+1,1))-AVERAGE(OFFSET($H$3,0,0,'Données projet'!$E$12+1,1))</f>
        <v>327.07074355218322</v>
      </c>
      <c r="CE64" s="62">
        <f t="shared" si="40"/>
        <v>462.01668587029087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7.4329389529782626</v>
      </c>
      <c r="CL64" s="23">
        <f>EXP(-LN(2)/25)*CL63+(1-EXP(-LN(2)/25))/(LN(2)/25)*Calculateur!CG64*Calculateur!CI64*VLOOKUP('Données projet'!$B$12,Paramètres!$A$1:$I$89,3,0)*0.475*44/12</f>
        <v>1.3277470954458173</v>
      </c>
      <c r="CM64" s="23">
        <f>EXP(-LN(2)/2)*CM63+(1-EXP(-LN(2)/2))/(LN(2)/2)*CG64*CJ64*VLOOKUP('Données projet'!$B$12,Paramètres!$A$1:$I$89,3,0)*0.475*44/12</f>
        <v>1.2721168284639058E-8</v>
      </c>
      <c r="CN64" s="24">
        <f t="shared" si="12"/>
        <v>8.7606860611452486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>
        <f>CT64*VLOOKUP('Données projet'!$B$13,Paramètres!$A$1:$I$89,3,0)*VLOOKUP('Données projet'!$B$13,Paramètres!$A$1:$I$89,5,0)</f>
        <v>0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93.836028041880496</v>
      </c>
      <c r="CZ64" s="62">
        <f t="shared" si="42"/>
        <v>465.96044964631358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43.636085336185246</v>
      </c>
      <c r="DG64" s="23">
        <f>EXP(-LN(2)/25)*DG63+(1-EXP(-LN(2)/25))/(LN(2)/25)*Calculateur!DB64*Calculateur!DD64*VLOOKUP('Données projet'!$B$13,Paramètres!$A$1:$I$89,3,0)*0.475*44/12</f>
        <v>7.6682691772107088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51.304354513395957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17.399999999999999</v>
      </c>
      <c r="DO64" s="13">
        <f>IF('Données projet'!$A$166&gt;35,DO63+DN64-DW63,IF(A64&lt;'Données projet'!$A$166,$DL$205^A64,IF(A64='Données projet'!$A$166,'Données projet'!$B$166,DO63+DN64-DW63)))</f>
        <v>485.39999999999975</v>
      </c>
      <c r="DP64" s="18">
        <f>DO64*VLOOKUP('Données projet'!$B$14,Paramètres!$A$1:$I$89,3,0)*VLOOKUP('Données projet'!$B$14,Paramètres!$A$1:$I$89,5,0)</f>
        <v>290.2691999999999</v>
      </c>
      <c r="DQ64" s="14">
        <f t="shared" si="43"/>
        <v>69.13261576818384</v>
      </c>
      <c r="DR64" s="22">
        <f t="shared" si="16"/>
        <v>625.95816246291997</v>
      </c>
      <c r="DS64" s="62">
        <f t="shared" si="17"/>
        <v>871.37934492618319</v>
      </c>
      <c r="DT64" s="62">
        <f ca="1">AVERAGE(OFFSET($DS$3,0,0,'Données projet'!$E$14+1,1))-AVERAGE(OFFSET($H$3,0,0,'Données projet'!$E$14+1,1))</f>
        <v>386.56102661082468</v>
      </c>
      <c r="DU64" s="62">
        <f t="shared" si="44"/>
        <v>410.28336627719011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10.536158175384353</v>
      </c>
      <c r="EB64" s="23">
        <f>EXP(-LN(2)/25)*EB63+(1-EXP(-LN(2)/25))/(LN(2)/25)*Calculateur!DW64*Calculateur!DY64*VLOOKUP('Données projet'!$B$14,Paramètres!$A$1:$I$89,3,0)*0.475*44/12</f>
        <v>0.9435784175811146</v>
      </c>
      <c r="EC64" s="23">
        <f>EXP(-LN(2)/2)*EC63+(1-EXP(-LN(2)/2))/(LN(2)/2)*DW64*DZ64*VLOOKUP('Données projet'!$B$14,Paramètres!$A$1:$I$89,3,0)*0.475*44/12</f>
        <v>2.8110214678977622E-4</v>
      </c>
      <c r="ED64" s="24">
        <f t="shared" si="18"/>
        <v>11.480017695112258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760.95567676108146</v>
      </c>
      <c r="S65" s="62">
        <f ca="1">AVERAGE(OFFSET($R$3,0,0,'Données projet'!$E$9+1,1))-AVERAGE(OFFSET($H$3,0,0,'Données projet'!$E$9+1,1))</f>
        <v>499.92116338695428</v>
      </c>
      <c r="T65" s="62">
        <f t="shared" si="34"/>
        <v>316.79403154855652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0.9879260388059623</v>
      </c>
      <c r="AB65" s="23">
        <f>EXP(-LN(2)/2)*AB64+(1-EXP(-LN(2)/2))/(LN(2)/2)*V65*Y65*VLOOKUP('Données projet'!$B$9,Paramètres!$A$1:$I$89,3,0)*0.475*44/12</f>
        <v>3.5871330215943081E-4</v>
      </c>
      <c r="AC65" s="24">
        <f t="shared" si="3"/>
        <v>0.98828475210812172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246.25235116533776</v>
      </c>
      <c r="AN65" s="62">
        <f ca="1">AVERAGE(OFFSET($AM$3,0,0,'Données projet'!$E$10+1,1))-AVERAGE(OFFSET($H$3,0,0,'Données projet'!$E$10+1,1))</f>
        <v>225.71928466161592</v>
      </c>
      <c r="AO65" s="62">
        <f t="shared" si="36"/>
        <v>385.98818770742025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211.70619219850786</v>
      </c>
      <c r="BJ65" s="62">
        <f t="shared" si="38"/>
        <v>426.883837098247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52.425172635512375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4.0586081541603737E-3</v>
      </c>
      <c r="BS65" s="24">
        <f t="shared" si="9"/>
        <v>52.429231243666536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1.9895196601282805E-13</v>
      </c>
      <c r="BZ65" s="14">
        <f>BY65*VLOOKUP('Données projet'!$B$12,Paramètres!$A$1:$I$89,3,0)*VLOOKUP('Données projet'!$B$12,Paramètres!$A$1:$I$89,5,0)</f>
        <v>1.8001173884840681E-13</v>
      </c>
      <c r="CA65" s="14">
        <f t="shared" si="39"/>
        <v>2.5254331426407198E-12</v>
      </c>
      <c r="CB65" s="22">
        <f t="shared" si="10"/>
        <v>4.7119831685935622E-12</v>
      </c>
      <c r="CC65" s="62">
        <f t="shared" si="11"/>
        <v>246.25235116534139</v>
      </c>
      <c r="CD65" s="62">
        <f ca="1">AVERAGE(OFFSET($CC$3,0,0,'Données projet'!$E$12+1,1))-AVERAGE(OFFSET($H$3,0,0,'Données projet'!$E$12+1,1))</f>
        <v>327.07074355218322</v>
      </c>
      <c r="CE65" s="62">
        <f t="shared" si="40"/>
        <v>462.01668587029087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7.2871835537554599</v>
      </c>
      <c r="CL65" s="23">
        <f>EXP(-LN(2)/25)*CL64+(1-EXP(-LN(2)/25))/(LN(2)/25)*Calculateur!CG65*Calculateur!CI65*VLOOKUP('Données projet'!$B$12,Paramètres!$A$1:$I$89,3,0)*0.475*44/12</f>
        <v>1.2914397812976663</v>
      </c>
      <c r="CM65" s="23">
        <f>EXP(-LN(2)/2)*CM64+(1-EXP(-LN(2)/2))/(LN(2)/2)*CG65*CJ65*VLOOKUP('Données projet'!$B$12,Paramètres!$A$1:$I$89,3,0)*0.475*44/12</f>
        <v>8.9952243586835188E-9</v>
      </c>
      <c r="CN65" s="24">
        <f t="shared" si="12"/>
        <v>8.578623344048351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>
        <f>CT65*VLOOKUP('Données projet'!$B$13,Paramètres!$A$1:$I$89,3,0)*VLOOKUP('Données projet'!$B$13,Paramètres!$A$1:$I$89,5,0)</f>
        <v>0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93.836028041880496</v>
      </c>
      <c r="CZ65" s="62">
        <f t="shared" si="42"/>
        <v>465.96044964631358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42.780408318126661</v>
      </c>
      <c r="DG65" s="23">
        <f>EXP(-LN(2)/25)*DG64+(1-EXP(-LN(2)/25))/(LN(2)/25)*Calculateur!DB65*Calculateur!DD65*VLOOKUP('Données projet'!$B$13,Paramètres!$A$1:$I$89,3,0)*0.475*44/12</f>
        <v>7.4585799533031318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50.23898827142979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17.399999999999999</v>
      </c>
      <c r="DO65" s="13">
        <f>IF('Données projet'!$A$166&gt;35,DO64+DN65-DW64,IF(A65&lt;'Données projet'!$A$166,$DL$205^A65,IF(A65='Données projet'!$A$166,'Données projet'!$B$166,DO64+DN65-DW64)))</f>
        <v>502.79999999999973</v>
      </c>
      <c r="DP65" s="18">
        <f>DO65*VLOOKUP('Données projet'!$B$14,Paramètres!$A$1:$I$89,3,0)*VLOOKUP('Données projet'!$B$14,Paramètres!$A$1:$I$89,5,0)</f>
        <v>300.67439999999988</v>
      </c>
      <c r="DQ65" s="14">
        <f t="shared" si="43"/>
        <v>71.317825137860439</v>
      </c>
      <c r="DR65" s="22">
        <f t="shared" si="16"/>
        <v>647.8864587817734</v>
      </c>
      <c r="DS65" s="62">
        <f t="shared" si="17"/>
        <v>894.13880994711008</v>
      </c>
      <c r="DT65" s="62">
        <f ca="1">AVERAGE(OFFSET($DS$3,0,0,'Données projet'!$E$14+1,1))-AVERAGE(OFFSET($H$3,0,0,'Données projet'!$E$14+1,1))</f>
        <v>386.56102661082468</v>
      </c>
      <c r="DU65" s="62">
        <f t="shared" si="44"/>
        <v>410.28336627719011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10.329550539986997</v>
      </c>
      <c r="EB65" s="23">
        <f>EXP(-LN(2)/25)*EB64+(1-EXP(-LN(2)/25))/(LN(2)/25)*Calculateur!DW65*Calculateur!DY65*VLOOKUP('Données projet'!$B$14,Paramètres!$A$1:$I$89,3,0)*0.475*44/12</f>
        <v>0.91777621613172666</v>
      </c>
      <c r="EC65" s="23">
        <f>EXP(-LN(2)/2)*EC64+(1-EXP(-LN(2)/2))/(LN(2)/2)*DW65*DZ65*VLOOKUP('Données projet'!$B$14,Paramètres!$A$1:$I$89,3,0)*0.475*44/12</f>
        <v>1.9876923420114706E-4</v>
      </c>
      <c r="ED65" s="24">
        <f t="shared" si="18"/>
        <v>11.247525525352925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778.62140656605959</v>
      </c>
      <c r="S66" s="62">
        <f ca="1">AVERAGE(OFFSET($R$3,0,0,'Données projet'!$E$9+1,1))-AVERAGE(OFFSET($H$3,0,0,'Données projet'!$E$9+1,1))</f>
        <v>499.92116338695428</v>
      </c>
      <c r="T66" s="62">
        <f t="shared" si="34"/>
        <v>316.79403154855652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0.9609111493220408</v>
      </c>
      <c r="AB66" s="23">
        <f>EXP(-LN(2)/2)*AB65+(1-EXP(-LN(2)/2))/(LN(2)/2)*V66*Y66*VLOOKUP('Données projet'!$B$9,Paramètres!$A$1:$I$89,3,0)*0.475*44/12</f>
        <v>2.5364860845875255E-4</v>
      </c>
      <c r="AC66" s="24">
        <f t="shared" si="3"/>
        <v>0.96116479793049958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247.06910094864506</v>
      </c>
      <c r="AN66" s="62">
        <f ca="1">AVERAGE(OFFSET($AM$3,0,0,'Données projet'!$E$10+1,1))-AVERAGE(OFFSET($H$3,0,0,'Données projet'!$E$10+1,1))</f>
        <v>225.71928466161592</v>
      </c>
      <c r="AO66" s="62">
        <f t="shared" si="36"/>
        <v>385.98818770742025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211.70619219850786</v>
      </c>
      <c r="BJ66" s="62">
        <f t="shared" si="38"/>
        <v>426.883837098247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51.397146976327896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2.869869347985817E-3</v>
      </c>
      <c r="BS66" s="24">
        <f t="shared" si="9"/>
        <v>51.400016845675879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1.9895196601282805E-13</v>
      </c>
      <c r="BZ66" s="14">
        <f>BY66*VLOOKUP('Données projet'!$B$12,Paramètres!$A$1:$I$89,3,0)*VLOOKUP('Données projet'!$B$12,Paramètres!$A$1:$I$89,5,0)</f>
        <v>1.8001173884840681E-13</v>
      </c>
      <c r="CA66" s="14">
        <f t="shared" si="39"/>
        <v>2.5254331426407198E-12</v>
      </c>
      <c r="CB66" s="22">
        <f t="shared" si="10"/>
        <v>4.7119831685935622E-12</v>
      </c>
      <c r="CC66" s="62">
        <f t="shared" si="11"/>
        <v>247.0691009486487</v>
      </c>
      <c r="CD66" s="62">
        <f ca="1">AVERAGE(OFFSET($CC$3,0,0,'Données projet'!$E$12+1,1))-AVERAGE(OFFSET($H$3,0,0,'Données projet'!$E$12+1,1))</f>
        <v>327.07074355218322</v>
      </c>
      <c r="CE66" s="62">
        <f t="shared" si="40"/>
        <v>462.01668587029087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7.1442863290094012</v>
      </c>
      <c r="CL66" s="23">
        <f>EXP(-LN(2)/25)*CL65+(1-EXP(-LN(2)/25))/(LN(2)/25)*Calculateur!CG66*Calculateur!CI66*VLOOKUP('Données projet'!$B$12,Paramètres!$A$1:$I$89,3,0)*0.475*44/12</f>
        <v>1.2561252925642152</v>
      </c>
      <c r="CM66" s="23">
        <f>EXP(-LN(2)/2)*CM65+(1-EXP(-LN(2)/2))/(LN(2)/2)*CG66*CJ66*VLOOKUP('Données projet'!$B$12,Paramètres!$A$1:$I$89,3,0)*0.475*44/12</f>
        <v>6.3605841423195292E-9</v>
      </c>
      <c r="CN66" s="24">
        <f t="shared" si="12"/>
        <v>8.4004116279342007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>
        <f>CT66*VLOOKUP('Données projet'!$B$13,Paramètres!$A$1:$I$89,3,0)*VLOOKUP('Données projet'!$B$13,Paramètres!$A$1:$I$89,5,0)</f>
        <v>0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93.836028041880496</v>
      </c>
      <c r="CZ66" s="62">
        <f t="shared" si="42"/>
        <v>465.96044964631358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41.941510604480754</v>
      </c>
      <c r="DG66" s="23">
        <f>EXP(-LN(2)/25)*DG65+(1-EXP(-LN(2)/25))/(LN(2)/25)*Calculateur!DB66*Calculateur!DD66*VLOOKUP('Données projet'!$B$13,Paramètres!$A$1:$I$89,3,0)*0.475*44/12</f>
        <v>7.2546246922503848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49.196135296731143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17.399999999999999</v>
      </c>
      <c r="DO66" s="13">
        <f>IF('Données projet'!$A$166&gt;35,DO65+DN66-DW65,IF(A66&lt;'Données projet'!$A$166,$DL$205^A66,IF(A66='Données projet'!$A$166,'Données projet'!$B$166,DO65+DN66-DW65)))</f>
        <v>520.1999999999997</v>
      </c>
      <c r="DP66" s="18">
        <f>DO66*VLOOKUP('Données projet'!$B$14,Paramètres!$A$1:$I$89,3,0)*VLOOKUP('Données projet'!$B$14,Paramètres!$A$1:$I$89,5,0)</f>
        <v>311.07959999999986</v>
      </c>
      <c r="DQ66" s="14">
        <f t="shared" si="43"/>
        <v>73.49424798183118</v>
      </c>
      <c r="DR66" s="22">
        <f t="shared" si="16"/>
        <v>669.79945190168894</v>
      </c>
      <c r="DS66" s="62">
        <f t="shared" si="17"/>
        <v>916.86855285033289</v>
      </c>
      <c r="DT66" s="62">
        <f ca="1">AVERAGE(OFFSET($DS$3,0,0,'Données projet'!$E$14+1,1))-AVERAGE(OFFSET($H$3,0,0,'Données projet'!$E$14+1,1))</f>
        <v>386.56102661082468</v>
      </c>
      <c r="DU66" s="62">
        <f t="shared" si="44"/>
        <v>410.28336627719011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10.126994354301567</v>
      </c>
      <c r="EB66" s="23">
        <f>EXP(-LN(2)/25)*EB65+(1-EXP(-LN(2)/25))/(LN(2)/25)*Calculateur!DW66*Calculateur!DY66*VLOOKUP('Données projet'!$B$14,Paramètres!$A$1:$I$89,3,0)*0.475*44/12</f>
        <v>0.89267957723785096</v>
      </c>
      <c r="EC66" s="23">
        <f>EXP(-LN(2)/2)*EC65+(1-EXP(-LN(2)/2))/(LN(2)/2)*DW66*DZ66*VLOOKUP('Données projet'!$B$14,Paramètres!$A$1:$I$89,3,0)*0.475*44/12</f>
        <v>1.4055107339488811E-4</v>
      </c>
      <c r="ED66" s="24">
        <f t="shared" si="18"/>
        <v>11.019814482612814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796.26173424810838</v>
      </c>
      <c r="S67" s="62">
        <f ca="1">AVERAGE(OFFSET($R$3,0,0,'Données projet'!$E$9+1,1))-AVERAGE(OFFSET($H$3,0,0,'Données projet'!$E$9+1,1))</f>
        <v>499.92116338695428</v>
      </c>
      <c r="T67" s="62">
        <f t="shared" si="34"/>
        <v>316.79403154855652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0.93463498341170848</v>
      </c>
      <c r="AB67" s="23">
        <f>EXP(-LN(2)/2)*AB66+(1-EXP(-LN(2)/2))/(LN(2)/2)*V67*Y67*VLOOKUP('Données projet'!$B$9,Paramètres!$A$1:$I$89,3,0)*0.475*44/12</f>
        <v>1.7935665107971541E-4</v>
      </c>
      <c r="AC67" s="24">
        <f t="shared" si="3"/>
        <v>0.93481434006278818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247.8716819491909</v>
      </c>
      <c r="AN67" s="62">
        <f ca="1">AVERAGE(OFFSET($AM$3,0,0,'Données projet'!$E$10+1,1))-AVERAGE(OFFSET($H$3,0,0,'Données projet'!$E$10+1,1))</f>
        <v>225.71928466161592</v>
      </c>
      <c r="AO67" s="62">
        <f t="shared" si="36"/>
        <v>385.98818770742025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211.70619219850786</v>
      </c>
      <c r="BJ67" s="62">
        <f t="shared" si="38"/>
        <v>426.883837098247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50.389280273286289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2.0293040770801869E-3</v>
      </c>
      <c r="BS67" s="24">
        <f t="shared" si="9"/>
        <v>50.391309577363366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1.9895196601282805E-13</v>
      </c>
      <c r="BZ67" s="14">
        <f>BY67*VLOOKUP('Données projet'!$B$12,Paramètres!$A$1:$I$89,3,0)*VLOOKUP('Données projet'!$B$12,Paramètres!$A$1:$I$89,5,0)</f>
        <v>1.8001173884840681E-13</v>
      </c>
      <c r="CA67" s="14">
        <f t="shared" si="39"/>
        <v>2.5254331426407198E-12</v>
      </c>
      <c r="CB67" s="22">
        <f t="shared" si="10"/>
        <v>4.7119831685935622E-12</v>
      </c>
      <c r="CC67" s="62">
        <f t="shared" si="11"/>
        <v>247.87168194919454</v>
      </c>
      <c r="CD67" s="62">
        <f ca="1">AVERAGE(OFFSET($CC$3,0,0,'Données projet'!$E$12+1,1))-AVERAGE(OFFSET($H$3,0,0,'Données projet'!$E$12+1,1))</f>
        <v>327.07074355218322</v>
      </c>
      <c r="CE67" s="62">
        <f t="shared" si="40"/>
        <v>462.01668587029087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7.0041912316819115</v>
      </c>
      <c r="CL67" s="23">
        <f>EXP(-LN(2)/25)*CL66+(1-EXP(-LN(2)/25))/(LN(2)/25)*Calculateur!CG67*Calculateur!CI67*VLOOKUP('Données projet'!$B$12,Paramètres!$A$1:$I$89,3,0)*0.475*44/12</f>
        <v>1.2217764803822886</v>
      </c>
      <c r="CM67" s="23">
        <f>EXP(-LN(2)/2)*CM66+(1-EXP(-LN(2)/2))/(LN(2)/2)*CG67*CJ67*VLOOKUP('Données projet'!$B$12,Paramètres!$A$1:$I$89,3,0)*0.475*44/12</f>
        <v>4.4976121793417594E-9</v>
      </c>
      <c r="CN67" s="24">
        <f t="shared" si="12"/>
        <v>8.2259677165618132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>
        <f>CT67*VLOOKUP('Données projet'!$B$13,Paramètres!$A$1:$I$89,3,0)*VLOOKUP('Données projet'!$B$13,Paramètres!$A$1:$I$89,5,0)</f>
        <v>0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93.836028041880496</v>
      </c>
      <c r="CZ67" s="62">
        <f t="shared" si="42"/>
        <v>465.96044964631358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41.119063163322366</v>
      </c>
      <c r="DG67" s="23">
        <f>EXP(-LN(2)/25)*DG66+(1-EXP(-LN(2)/25))/(LN(2)/25)*Calculateur!DB67*Calculateur!DD67*VLOOKUP('Données projet'!$B$13,Paramètres!$A$1:$I$89,3,0)*0.475*44/12</f>
        <v>7.0562465985366662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48.175309761859033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17.399999999999999</v>
      </c>
      <c r="DO67" s="13">
        <f>IF('Données projet'!$A$166&gt;35,DO66+DN67-DW66,IF(A67&lt;'Données projet'!$A$166,$DL$205^A67,IF(A67='Données projet'!$A$166,'Données projet'!$B$166,DO66+DN67-DW66)))</f>
        <v>537.59999999999968</v>
      </c>
      <c r="DP67" s="18">
        <f>DO67*VLOOKUP('Données projet'!$B$14,Paramètres!$A$1:$I$89,3,0)*VLOOKUP('Données projet'!$B$14,Paramètres!$A$1:$I$89,5,0)</f>
        <v>321.48479999999984</v>
      </c>
      <c r="DQ67" s="14">
        <f t="shared" si="43"/>
        <v>75.662211893590367</v>
      </c>
      <c r="DR67" s="22">
        <f t="shared" si="16"/>
        <v>691.69771238133626</v>
      </c>
      <c r="DS67" s="62">
        <f t="shared" si="17"/>
        <v>939.56939433052605</v>
      </c>
      <c r="DT67" s="62">
        <f ca="1">AVERAGE(OFFSET($DS$3,0,0,'Données projet'!$E$14+1,1))-AVERAGE(OFFSET($H$3,0,0,'Données projet'!$E$14+1,1))</f>
        <v>386.56102661082468</v>
      </c>
      <c r="DU67" s="62">
        <f t="shared" si="44"/>
        <v>410.28336627719011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9.9284101718703557</v>
      </c>
      <c r="EB67" s="23">
        <f>EXP(-LN(2)/25)*EB66+(1-EXP(-LN(2)/25))/(LN(2)/25)*Calculateur!DW67*Calculateur!DY67*VLOOKUP('Données projet'!$B$14,Paramètres!$A$1:$I$89,3,0)*0.475*44/12</f>
        <v>0.86826920725430323</v>
      </c>
      <c r="EC67" s="23">
        <f>EXP(-LN(2)/2)*EC66+(1-EXP(-LN(2)/2))/(LN(2)/2)*DW67*DZ67*VLOOKUP('Données projet'!$B$14,Paramètres!$A$1:$I$89,3,0)*0.475*44/12</f>
        <v>9.9384617100573531E-5</v>
      </c>
      <c r="ED67" s="24">
        <f t="shared" si="18"/>
        <v>10.796778763741759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813.87729887735941</v>
      </c>
      <c r="S68" s="62">
        <f ca="1">AVERAGE(OFFSET($R$3,0,0,'Données projet'!$E$9+1,1))-AVERAGE(OFFSET($H$3,0,0,'Données projet'!$E$9+1,1))</f>
        <v>499.92116338695428</v>
      </c>
      <c r="T68" s="62">
        <f t="shared" si="34"/>
        <v>316.79403154855652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0.90907734063999768</v>
      </c>
      <c r="AB68" s="23">
        <f>EXP(-LN(2)/2)*AB67+(1-EXP(-LN(2)/2))/(LN(2)/2)*V68*Y68*VLOOKUP('Données projet'!$B$9,Paramètres!$A$1:$I$89,3,0)*0.475*44/12</f>
        <v>1.2682430422937627E-4</v>
      </c>
      <c r="AC68" s="24">
        <f t="shared" ref="AC68:AC131" si="57">SUM(Z68:AB68)</f>
        <v>0.90920416494422707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248.66033996367963</v>
      </c>
      <c r="AN68" s="62">
        <f ca="1">AVERAGE(OFFSET($AM$3,0,0,'Données projet'!$E$10+1,1))-AVERAGE(OFFSET($H$3,0,0,'Données projet'!$E$10+1,1))</f>
        <v>225.71928466161592</v>
      </c>
      <c r="AO68" s="62">
        <f t="shared" si="36"/>
        <v>385.98818770742025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211.70619219850786</v>
      </c>
      <c r="BJ68" s="62">
        <f t="shared" si="38"/>
        <v>426.883837098247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49.40117722155334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1.4349346739929085E-3</v>
      </c>
      <c r="BS68" s="24">
        <f t="shared" ref="BS68:BS131" si="63">SUM(BP68:BR68)</f>
        <v>49.402612156227335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1.9895196601282805E-13</v>
      </c>
      <c r="BZ68" s="14">
        <f>BY68*VLOOKUP('Données projet'!$B$12,Paramètres!$A$1:$I$89,3,0)*VLOOKUP('Données projet'!$B$12,Paramètres!$A$1:$I$89,5,0)</f>
        <v>1.8001173884840681E-13</v>
      </c>
      <c r="CA68" s="14">
        <f t="shared" si="39"/>
        <v>2.5254331426407198E-12</v>
      </c>
      <c r="CB68" s="22">
        <f t="shared" ref="CB68:CB131" si="64">(BZ68+CA68)*0.475*44/12</f>
        <v>4.7119831685935622E-12</v>
      </c>
      <c r="CC68" s="62">
        <f t="shared" ref="CC68:CC131" si="65">CB68+(BT68+BU68)*44/12</f>
        <v>248.66033996368327</v>
      </c>
      <c r="CD68" s="62">
        <f ca="1">AVERAGE(OFFSET($CC$3,0,0,'Données projet'!$E$12+1,1))-AVERAGE(OFFSET($H$3,0,0,'Données projet'!$E$12+1,1))</f>
        <v>327.07074355218322</v>
      </c>
      <c r="CE68" s="62">
        <f t="shared" si="40"/>
        <v>462.01668587029087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6.8668433137634421</v>
      </c>
      <c r="CL68" s="23">
        <f>EXP(-LN(2)/25)*CL67+(1-EXP(-LN(2)/25))/(LN(2)/25)*Calculateur!CG68*Calculateur!CI68*VLOOKUP('Données projet'!$B$12,Paramètres!$A$1:$I$89,3,0)*0.475*44/12</f>
        <v>1.1883669382758022</v>
      </c>
      <c r="CM68" s="23">
        <f>EXP(-LN(2)/2)*CM67+(1-EXP(-LN(2)/2))/(LN(2)/2)*CG68*CJ68*VLOOKUP('Données projet'!$B$12,Paramètres!$A$1:$I$89,3,0)*0.475*44/12</f>
        <v>3.1802920711597646E-9</v>
      </c>
      <c r="CN68" s="24">
        <f t="shared" ref="CN68:CN131" si="66">SUM(CK68:CM68)</f>
        <v>8.0552102552195368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>
        <f>CT68*VLOOKUP('Données projet'!$B$13,Paramètres!$A$1:$I$89,3,0)*VLOOKUP('Données projet'!$B$13,Paramètres!$A$1:$I$89,5,0)</f>
        <v>0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93.836028041880496</v>
      </c>
      <c r="CZ68" s="62">
        <f t="shared" si="42"/>
        <v>465.96044964631358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40.312743414841684</v>
      </c>
      <c r="DG68" s="23">
        <f>EXP(-LN(2)/25)*DG67+(1-EXP(-LN(2)/25))/(LN(2)/25)*Calculateur!DB68*Calculateur!DD68*VLOOKUP('Données projet'!$B$13,Paramètres!$A$1:$I$89,3,0)*0.475*44/12</f>
        <v>6.8632931642277999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47.176036579069482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555</v>
      </c>
      <c r="DM68" s="13">
        <f>VLOOKUP(A68,'Données projet'!$A$165:$I$185,9,0)</f>
        <v>17.399999999999999</v>
      </c>
      <c r="DN68" s="13">
        <f t="array" ref="DN68">INDEX(DM:DM,MIN(IF(ISNUMBER(DM68:DM264),ROW(DM68:DM264),"")))</f>
        <v>17.399999999999999</v>
      </c>
      <c r="DO68" s="13">
        <f>IF('Données projet'!$A$166&gt;35,DO67+DN68-DW67,IF(A68&lt;'Données projet'!$A$166,$DL$205^A68,IF(A68='Données projet'!$A$166,'Données projet'!$B$166,DO67+DN68-DW67)))</f>
        <v>554.99999999999966</v>
      </c>
      <c r="DP68" s="18">
        <f>DO68*VLOOKUP('Données projet'!$B$14,Paramètres!$A$1:$I$89,3,0)*VLOOKUP('Données projet'!$B$14,Paramètres!$A$1:$I$89,5,0)</f>
        <v>331.88999999999982</v>
      </c>
      <c r="DQ68" s="14">
        <f t="shared" si="43"/>
        <v>77.822022056956186</v>
      </c>
      <c r="DR68" s="22">
        <f t="shared" ref="DR68:DR131" si="70">(DP68+DQ68)*0.475*44/12</f>
        <v>713.58177174919831</v>
      </c>
      <c r="DS68" s="62">
        <f t="shared" ref="DS68:DS131" si="71">DR68+(DJ68+DK68)*44/12</f>
        <v>962.24211171287686</v>
      </c>
      <c r="DT68" s="62">
        <f ca="1">AVERAGE(OFFSET($DS$3,0,0,'Données projet'!$E$14+1,1))-AVERAGE(OFFSET($H$3,0,0,'Données projet'!$E$14+1,1))</f>
        <v>386.56102661082468</v>
      </c>
      <c r="DU68" s="62">
        <f t="shared" si="44"/>
        <v>410.28336627719011</v>
      </c>
      <c r="DV68" s="16">
        <f>IF(ISNA(VLOOKUP(A68,'Données projet'!$A$165:$I$185,3,0)),0,VLOOKUP(A68,'Données projet'!$A$165:$I$185,3,0))</f>
        <v>11</v>
      </c>
      <c r="DW68" s="16">
        <f>IF(ISNA(VLOOKUP(A68,'Données projet'!$A$165:$I$185,4,0)),0,VLOOKUP(A68,'Données projet'!$A$165:$I$185,4,0))</f>
        <v>555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9.7337201041322281</v>
      </c>
      <c r="EB68" s="23">
        <f>EXP(-LN(2)/25)*EB67+(1-EXP(-LN(2)/25))/(LN(2)/25)*Calculateur!DW68*Calculateur!DY68*VLOOKUP('Données projet'!$B$14,Paramètres!$A$1:$I$89,3,0)*0.475*44/12</f>
        <v>0.84452634012164118</v>
      </c>
      <c r="EC68" s="23">
        <f>EXP(-LN(2)/2)*EC67+(1-EXP(-LN(2)/2))/(LN(2)/2)*DW68*DZ68*VLOOKUP('Données projet'!$B$14,Paramètres!$A$1:$I$89,3,0)*0.475*44/12</f>
        <v>7.0275536697444056E-5</v>
      </c>
      <c r="ED68" s="24">
        <f t="shared" ref="ED68:ED131" si="72">SUM(EA68:EC68)</f>
        <v>10.578316719790566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776.7764462172014</v>
      </c>
      <c r="S69" s="62">
        <f ca="1">AVERAGE(OFFSET($R$3,0,0,'Données projet'!$E$9+1,1))-AVERAGE(OFFSET($H$3,0,0,'Données projet'!$E$9+1,1))</f>
        <v>499.92116338695428</v>
      </c>
      <c r="T69" s="62">
        <f t="shared" ref="T69:T132" si="88">$T$3</f>
        <v>316.79403154855652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0.88421857295389727</v>
      </c>
      <c r="AB69" s="23">
        <f>EXP(-LN(2)/2)*AB68+(1-EXP(-LN(2)/2))/(LN(2)/2)*V69*Y69*VLOOKUP('Données projet'!$B$9,Paramètres!$A$1:$I$89,3,0)*0.475*44/12</f>
        <v>8.9678325539857703E-5</v>
      </c>
      <c r="AC69" s="24">
        <f t="shared" si="57"/>
        <v>0.88430825127943713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249.4353165247922</v>
      </c>
      <c r="AN69" s="62">
        <f ca="1">AVERAGE(OFFSET($AM$3,0,0,'Données projet'!$E$10+1,1))-AVERAGE(OFFSET($H$3,0,0,'Données projet'!$E$10+1,1))</f>
        <v>225.71928466161592</v>
      </c>
      <c r="AO69" s="62">
        <f t="shared" ref="AO69:AO132" si="90">$AO$3</f>
        <v>385.98818770742025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211.70619219850786</v>
      </c>
      <c r="BJ69" s="62">
        <f t="shared" ref="BJ69:BJ132" si="92">$BJ$3</f>
        <v>426.883837098247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48.432450267981523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1.0146520385400934E-3</v>
      </c>
      <c r="BS69" s="24">
        <f t="shared" si="63"/>
        <v>48.433464920020064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1.9895196601282805E-13</v>
      </c>
      <c r="BZ69" s="14">
        <f>BY69*VLOOKUP('Données projet'!$B$12,Paramètres!$A$1:$I$89,3,0)*VLOOKUP('Données projet'!$B$12,Paramètres!$A$1:$I$89,5,0)</f>
        <v>1.8001173884840681E-13</v>
      </c>
      <c r="CA69" s="14">
        <f t="shared" ref="CA69:CA132" si="93">EXP(-1.0587+0.8836*LN(BZ69)+0.284)</f>
        <v>2.5254331426407198E-12</v>
      </c>
      <c r="CB69" s="22">
        <f t="shared" si="64"/>
        <v>4.7119831685935622E-12</v>
      </c>
      <c r="CC69" s="62">
        <f t="shared" si="65"/>
        <v>249.43531652479584</v>
      </c>
      <c r="CD69" s="62">
        <f ca="1">AVERAGE(OFFSET($CC$3,0,0,'Données projet'!$E$12+1,1))-AVERAGE(OFFSET($H$3,0,0,'Données projet'!$E$12+1,1))</f>
        <v>327.07074355218322</v>
      </c>
      <c r="CE69" s="62">
        <f t="shared" ref="CE69:CE132" si="94">$CE$3</f>
        <v>462.01668587029087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6.7321887047413957</v>
      </c>
      <c r="CL69" s="23">
        <f>EXP(-LN(2)/25)*CL68+(1-EXP(-LN(2)/25))/(LN(2)/25)*Calculateur!CG69*Calculateur!CI69*VLOOKUP('Données projet'!$B$12,Paramètres!$A$1:$I$89,3,0)*0.475*44/12</f>
        <v>1.1558709818551491</v>
      </c>
      <c r="CM69" s="23">
        <f>EXP(-LN(2)/2)*CM68+(1-EXP(-LN(2)/2))/(LN(2)/2)*CG69*CJ69*VLOOKUP('Données projet'!$B$12,Paramètres!$A$1:$I$89,3,0)*0.475*44/12</f>
        <v>2.2488060896708797E-9</v>
      </c>
      <c r="CN69" s="24">
        <f t="shared" si="66"/>
        <v>7.8880596888453516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>
        <f>CT69*VLOOKUP('Données projet'!$B$13,Paramètres!$A$1:$I$89,3,0)*VLOOKUP('Données projet'!$B$13,Paramètres!$A$1:$I$89,5,0)</f>
        <v>0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93.836028041880496</v>
      </c>
      <c r="CZ69" s="62">
        <f t="shared" ref="CZ69:CZ132" si="96">$CZ$3</f>
        <v>465.96044964631358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39.522235104822222</v>
      </c>
      <c r="DG69" s="23">
        <f>EXP(-LN(2)/25)*DG68+(1-EXP(-LN(2)/25))/(LN(2)/25)*Calculateur!DB69*Calculateur!DD69*VLOOKUP('Données projet'!$B$13,Paramètres!$A$1:$I$89,3,0)*0.475*44/12</f>
        <v>6.6756160517270891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46.197851156549312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-3.4106051316484809E-13</v>
      </c>
      <c r="DP69" s="18">
        <f>DO69*VLOOKUP('Données projet'!$B$14,Paramètres!$A$1:$I$89,3,0)*VLOOKUP('Données projet'!$B$14,Paramètres!$A$1:$I$89,5,0)</f>
        <v>-2.0395418687257919E-13</v>
      </c>
      <c r="DQ69" s="14" t="e">
        <f t="shared" ref="DQ69:DQ132" si="97">EXP(-1.0587+0.8836*LN(DP69)+0.284)</f>
        <v>#NUM!</v>
      </c>
      <c r="DR69" s="22" t="e">
        <f t="shared" si="70"/>
        <v>#NUM!</v>
      </c>
      <c r="DS69" s="62" t="e">
        <f t="shared" si="71"/>
        <v>#NUM!</v>
      </c>
      <c r="DT69" s="62">
        <f ca="1">AVERAGE(OFFSET($DS$3,0,0,'Données projet'!$E$14+1,1))-AVERAGE(OFFSET($H$3,0,0,'Données projet'!$E$14+1,1))</f>
        <v>386.56102661082468</v>
      </c>
      <c r="DU69" s="62">
        <f t="shared" ref="DU69:DU132" si="98">$DU$3</f>
        <v>410.28336627719011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9.54284778987323</v>
      </c>
      <c r="EB69" s="23">
        <f>EXP(-LN(2)/25)*EB68+(1-EXP(-LN(2)/25))/(LN(2)/25)*Calculateur!DW69*Calculateur!DY69*VLOOKUP('Données projet'!$B$14,Paramètres!$A$1:$I$89,3,0)*0.475*44/12</f>
        <v>0.82143272293930492</v>
      </c>
      <c r="EC69" s="23">
        <f>EXP(-LN(2)/2)*EC68+(1-EXP(-LN(2)/2))/(LN(2)/2)*DW69*DZ69*VLOOKUP('Données projet'!$B$14,Paramètres!$A$1:$I$89,3,0)*0.475*44/12</f>
        <v>4.9692308550286766E-5</v>
      </c>
      <c r="ED69" s="24">
        <f t="shared" si="72"/>
        <v>10.364330205121085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793.23063046816299</v>
      </c>
      <c r="S70" s="62">
        <f ca="1">AVERAGE(OFFSET($R$3,0,0,'Données projet'!$E$9+1,1))-AVERAGE(OFFSET($H$3,0,0,'Données projet'!$E$9+1,1))</f>
        <v>499.92116338695428</v>
      </c>
      <c r="T70" s="62">
        <f t="shared" si="88"/>
        <v>316.79403154855652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0.8600395695774391</v>
      </c>
      <c r="AB70" s="23">
        <f>EXP(-LN(2)/2)*AB69+(1-EXP(-LN(2)/2))/(LN(2)/2)*V70*Y70*VLOOKUP('Données projet'!$B$9,Paramètres!$A$1:$I$89,3,0)*0.475*44/12</f>
        <v>6.3412152114688137E-5</v>
      </c>
      <c r="AC70" s="24">
        <f t="shared" si="57"/>
        <v>0.86010298172955379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250.19684897515745</v>
      </c>
      <c r="AN70" s="62">
        <f ca="1">AVERAGE(OFFSET($AM$3,0,0,'Données projet'!$E$10+1,1))-AVERAGE(OFFSET($H$3,0,0,'Données projet'!$E$10+1,1))</f>
        <v>225.71928466161592</v>
      </c>
      <c r="AO70" s="62">
        <f t="shared" si="90"/>
        <v>385.98818770742025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211.70619219850786</v>
      </c>
      <c r="BJ70" s="62">
        <f t="shared" si="92"/>
        <v>426.883837098247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47.482719459104146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7.1746733699645424E-4</v>
      </c>
      <c r="BS70" s="24">
        <f t="shared" si="63"/>
        <v>47.483436926441144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1.9895196601282805E-13</v>
      </c>
      <c r="BZ70" s="14">
        <f>BY70*VLOOKUP('Données projet'!$B$12,Paramètres!$A$1:$I$89,3,0)*VLOOKUP('Données projet'!$B$12,Paramètres!$A$1:$I$89,5,0)</f>
        <v>1.8001173884840681E-13</v>
      </c>
      <c r="CA70" s="14">
        <f t="shared" si="93"/>
        <v>2.5254331426407198E-12</v>
      </c>
      <c r="CB70" s="22">
        <f t="shared" si="64"/>
        <v>4.7119831685935622E-12</v>
      </c>
      <c r="CC70" s="62">
        <f t="shared" si="65"/>
        <v>250.19684897516109</v>
      </c>
      <c r="CD70" s="62">
        <f ca="1">AVERAGE(OFFSET($CC$3,0,0,'Données projet'!$E$12+1,1))-AVERAGE(OFFSET($H$3,0,0,'Données projet'!$E$12+1,1))</f>
        <v>327.07074355218322</v>
      </c>
      <c r="CE70" s="62">
        <f t="shared" si="94"/>
        <v>462.01668587029087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6.6001745904710702</v>
      </c>
      <c r="CL70" s="23">
        <f>EXP(-LN(2)/25)*CL69+(1-EXP(-LN(2)/25))/(LN(2)/25)*Calculateur!CG70*Calculateur!CI70*VLOOKUP('Données projet'!$B$12,Paramètres!$A$1:$I$89,3,0)*0.475*44/12</f>
        <v>1.124263629071707</v>
      </c>
      <c r="CM70" s="23">
        <f>EXP(-LN(2)/2)*CM69+(1-EXP(-LN(2)/2))/(LN(2)/2)*CG70*CJ70*VLOOKUP('Données projet'!$B$12,Paramètres!$A$1:$I$89,3,0)*0.475*44/12</f>
        <v>1.5901460355798823E-9</v>
      </c>
      <c r="CN70" s="24">
        <f t="shared" si="66"/>
        <v>7.7244382211329228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>
        <f>CT70*VLOOKUP('Données projet'!$B$13,Paramètres!$A$1:$I$89,3,0)*VLOOKUP('Données projet'!$B$13,Paramètres!$A$1:$I$89,5,0)</f>
        <v>0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93.836028041880496</v>
      </c>
      <c r="CZ70" s="62">
        <f t="shared" si="96"/>
        <v>465.96044964631358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38.747228180599784</v>
      </c>
      <c r="DG70" s="23">
        <f>EXP(-LN(2)/25)*DG69+(1-EXP(-LN(2)/25))/(LN(2)/25)*Calculateur!DB70*Calculateur!DD70*VLOOKUP('Données projet'!$B$13,Paramètres!$A$1:$I$89,3,0)*0.475*44/12</f>
        <v>6.4930709797372206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45.240299160337003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-3.4106051316484809E-13</v>
      </c>
      <c r="DP70" s="18">
        <f>DO70*VLOOKUP('Données projet'!$B$14,Paramètres!$A$1:$I$89,3,0)*VLOOKUP('Données projet'!$B$14,Paramètres!$A$1:$I$89,5,0)</f>
        <v>-2.0395418687257919E-13</v>
      </c>
      <c r="DQ70" s="14" t="e">
        <f t="shared" si="97"/>
        <v>#NUM!</v>
      </c>
      <c r="DR70" s="22" t="e">
        <f t="shared" si="70"/>
        <v>#NUM!</v>
      </c>
      <c r="DS70" s="62" t="e">
        <f t="shared" si="71"/>
        <v>#NUM!</v>
      </c>
      <c r="DT70" s="62">
        <f ca="1">AVERAGE(OFFSET($DS$3,0,0,'Données projet'!$E$14+1,1))-AVERAGE(OFFSET($H$3,0,0,'Données projet'!$E$14+1,1))</f>
        <v>386.56102661082468</v>
      </c>
      <c r="DU70" s="62">
        <f t="shared" si="98"/>
        <v>410.28336627719011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9.3557183652762355</v>
      </c>
      <c r="EB70" s="23">
        <f>EXP(-LN(2)/25)*EB69+(1-EXP(-LN(2)/25))/(LN(2)/25)*Calculateur!DW70*Calculateur!DY70*VLOOKUP('Données projet'!$B$14,Paramètres!$A$1:$I$89,3,0)*0.475*44/12</f>
        <v>0.79897060193326008</v>
      </c>
      <c r="EC70" s="23">
        <f>EXP(-LN(2)/2)*EC69+(1-EXP(-LN(2)/2))/(LN(2)/2)*DW70*DZ70*VLOOKUP('Données projet'!$B$14,Paramètres!$A$1:$I$89,3,0)*0.475*44/12</f>
        <v>3.5137768348722028E-5</v>
      </c>
      <c r="ED70" s="24">
        <f t="shared" si="72"/>
        <v>10.154724104977843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809.66208565042405</v>
      </c>
      <c r="S71" s="62">
        <f ca="1">AVERAGE(OFFSET($R$3,0,0,'Données projet'!$E$9+1,1))-AVERAGE(OFFSET($H$3,0,0,'Données projet'!$E$9+1,1))</f>
        <v>499.92116338695428</v>
      </c>
      <c r="T71" s="62">
        <f t="shared" si="88"/>
        <v>316.79403154855652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0.83652174231982868</v>
      </c>
      <c r="AB71" s="23">
        <f>EXP(-LN(2)/2)*AB70+(1-EXP(-LN(2)/2))/(LN(2)/2)*V71*Y71*VLOOKUP('Données projet'!$B$9,Paramètres!$A$1:$I$89,3,0)*0.475*44/12</f>
        <v>4.4839162769928851E-5</v>
      </c>
      <c r="AC71" s="24">
        <f t="shared" si="57"/>
        <v>0.83656658148259866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250.94517054004027</v>
      </c>
      <c r="AN71" s="62">
        <f ca="1">AVERAGE(OFFSET($AM$3,0,0,'Données projet'!$E$10+1,1))-AVERAGE(OFFSET($H$3,0,0,'Données projet'!$E$10+1,1))</f>
        <v>225.71928466161592</v>
      </c>
      <c r="AO71" s="62">
        <f t="shared" si="90"/>
        <v>385.98818770742025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211.70619219850786</v>
      </c>
      <c r="BJ71" s="62">
        <f t="shared" si="92"/>
        <v>426.883837098247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46.551612292110264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5.0732601927004671E-4</v>
      </c>
      <c r="BS71" s="24">
        <f t="shared" si="63"/>
        <v>46.552119618129531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1.9895196601282805E-13</v>
      </c>
      <c r="BZ71" s="14">
        <f>BY71*VLOOKUP('Données projet'!$B$12,Paramètres!$A$1:$I$89,3,0)*VLOOKUP('Données projet'!$B$12,Paramètres!$A$1:$I$89,5,0)</f>
        <v>1.8001173884840681E-13</v>
      </c>
      <c r="CA71" s="14">
        <f t="shared" si="93"/>
        <v>2.5254331426407198E-12</v>
      </c>
      <c r="CB71" s="22">
        <f t="shared" si="64"/>
        <v>4.7119831685935622E-12</v>
      </c>
      <c r="CC71" s="62">
        <f t="shared" si="65"/>
        <v>250.9451705400439</v>
      </c>
      <c r="CD71" s="62">
        <f ca="1">AVERAGE(OFFSET($CC$3,0,0,'Données projet'!$E$12+1,1))-AVERAGE(OFFSET($H$3,0,0,'Données projet'!$E$12+1,1))</f>
        <v>327.07074355218322</v>
      </c>
      <c r="CE71" s="62">
        <f t="shared" si="94"/>
        <v>462.01668587029087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6.4707491924609268</v>
      </c>
      <c r="CL71" s="23">
        <f>EXP(-LN(2)/25)*CL70+(1-EXP(-LN(2)/25))/(LN(2)/25)*Calculateur!CG71*Calculateur!CI71*VLOOKUP('Données projet'!$B$12,Paramètres!$A$1:$I$89,3,0)*0.475*44/12</f>
        <v>1.0935205810122863</v>
      </c>
      <c r="CM71" s="23">
        <f>EXP(-LN(2)/2)*CM70+(1-EXP(-LN(2)/2))/(LN(2)/2)*CG71*CJ71*VLOOKUP('Données projet'!$B$12,Paramètres!$A$1:$I$89,3,0)*0.475*44/12</f>
        <v>1.1244030448354398E-9</v>
      </c>
      <c r="CN71" s="24">
        <f t="shared" si="66"/>
        <v>7.5642697745976157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>
        <f>CT71*VLOOKUP('Données projet'!$B$13,Paramètres!$A$1:$I$89,3,0)*VLOOKUP('Données projet'!$B$13,Paramètres!$A$1:$I$89,5,0)</f>
        <v>0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93.836028041880496</v>
      </c>
      <c r="CZ71" s="62">
        <f t="shared" si="96"/>
        <v>465.96044964631358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37.987418669453803</v>
      </c>
      <c r="DG71" s="23">
        <f>EXP(-LN(2)/25)*DG70+(1-EXP(-LN(2)/25))/(LN(2)/25)*Calculateur!DB71*Calculateur!DD71*VLOOKUP('Données projet'!$B$13,Paramètres!$A$1:$I$89,3,0)*0.475*44/12</f>
        <v>6.3155176123405434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44.302936281794345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-3.4106051316484809E-13</v>
      </c>
      <c r="DP71" s="18">
        <f>DO71*VLOOKUP('Données projet'!$B$14,Paramètres!$A$1:$I$89,3,0)*VLOOKUP('Données projet'!$B$14,Paramètres!$A$1:$I$89,5,0)</f>
        <v>-2.0395418687257919E-13</v>
      </c>
      <c r="DQ71" s="14" t="e">
        <f t="shared" si="97"/>
        <v>#NUM!</v>
      </c>
      <c r="DR71" s="22" t="e">
        <f t="shared" si="70"/>
        <v>#NUM!</v>
      </c>
      <c r="DS71" s="62" t="e">
        <f t="shared" si="71"/>
        <v>#NUM!</v>
      </c>
      <c r="DT71" s="62">
        <f ca="1">AVERAGE(OFFSET($DS$3,0,0,'Données projet'!$E$14+1,1))-AVERAGE(OFFSET($H$3,0,0,'Données projet'!$E$14+1,1))</f>
        <v>386.56102661082468</v>
      </c>
      <c r="DU71" s="62">
        <f t="shared" si="98"/>
        <v>410.28336627719011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9.172258434557909</v>
      </c>
      <c r="EB71" s="23">
        <f>EXP(-LN(2)/25)*EB70+(1-EXP(-LN(2)/25))/(LN(2)/25)*Calculateur!DW71*Calculateur!DY71*VLOOKUP('Données projet'!$B$14,Paramètres!$A$1:$I$89,3,0)*0.475*44/12</f>
        <v>0.77712270880735723</v>
      </c>
      <c r="EC71" s="23">
        <f>EXP(-LN(2)/2)*EC70+(1-EXP(-LN(2)/2))/(LN(2)/2)*DW71*DZ71*VLOOKUP('Données projet'!$B$14,Paramètres!$A$1:$I$89,3,0)*0.475*44/12</f>
        <v>2.4846154275143383E-5</v>
      </c>
      <c r="ED71" s="24">
        <f t="shared" si="72"/>
        <v>9.9494059895195424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826.07134561000134</v>
      </c>
      <c r="S72" s="62">
        <f ca="1">AVERAGE(OFFSET($R$3,0,0,'Données projet'!$E$9+1,1))-AVERAGE(OFFSET($H$3,0,0,'Données projet'!$E$9+1,1))</f>
        <v>499.92116338695428</v>
      </c>
      <c r="T72" s="62">
        <f t="shared" si="88"/>
        <v>316.79403154855652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0.81364701128532646</v>
      </c>
      <c r="AB72" s="23">
        <f>EXP(-LN(2)/2)*AB71+(1-EXP(-LN(2)/2))/(LN(2)/2)*V72*Y72*VLOOKUP('Données projet'!$B$9,Paramètres!$A$1:$I$89,3,0)*0.475*44/12</f>
        <v>3.1706076057344068E-5</v>
      </c>
      <c r="AC72" s="24">
        <f t="shared" si="57"/>
        <v>0.81367871736138375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251.68051039876892</v>
      </c>
      <c r="AN72" s="62">
        <f ca="1">AVERAGE(OFFSET($AM$3,0,0,'Données projet'!$E$10+1,1))-AVERAGE(OFFSET($H$3,0,0,'Données projet'!$E$10+1,1))</f>
        <v>225.71928466161592</v>
      </c>
      <c r="AO72" s="62">
        <f t="shared" si="90"/>
        <v>385.98818770742025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211.70619219850786</v>
      </c>
      <c r="BJ72" s="62">
        <f t="shared" si="92"/>
        <v>426.883837098247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45.638763568741837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3.5873366849822712E-4</v>
      </c>
      <c r="BS72" s="24">
        <f t="shared" si="63"/>
        <v>45.639122302410335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1.9895196601282805E-13</v>
      </c>
      <c r="BZ72" s="14">
        <f>BY72*VLOOKUP('Données projet'!$B$12,Paramètres!$A$1:$I$89,3,0)*VLOOKUP('Données projet'!$B$12,Paramètres!$A$1:$I$89,5,0)</f>
        <v>1.8001173884840681E-13</v>
      </c>
      <c r="CA72" s="14">
        <f t="shared" si="93"/>
        <v>2.5254331426407198E-12</v>
      </c>
      <c r="CB72" s="22">
        <f t="shared" si="64"/>
        <v>4.7119831685935622E-12</v>
      </c>
      <c r="CC72" s="62">
        <f t="shared" si="65"/>
        <v>251.68051039877255</v>
      </c>
      <c r="CD72" s="62">
        <f ca="1">AVERAGE(OFFSET($CC$3,0,0,'Données projet'!$E$12+1,1))-AVERAGE(OFFSET($H$3,0,0,'Données projet'!$E$12+1,1))</f>
        <v>327.07074355218322</v>
      </c>
      <c r="CE72" s="62">
        <f t="shared" si="94"/>
        <v>462.01668587029087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6.3438617475640644</v>
      </c>
      <c r="CL72" s="23">
        <f>EXP(-LN(2)/25)*CL71+(1-EXP(-LN(2)/25))/(LN(2)/25)*Calculateur!CG72*Calculateur!CI72*VLOOKUP('Données projet'!$B$12,Paramètres!$A$1:$I$89,3,0)*0.475*44/12</f>
        <v>1.0636182032187573</v>
      </c>
      <c r="CM72" s="23">
        <f>EXP(-LN(2)/2)*CM71+(1-EXP(-LN(2)/2))/(LN(2)/2)*CG72*CJ72*VLOOKUP('Données projet'!$B$12,Paramètres!$A$1:$I$89,3,0)*0.475*44/12</f>
        <v>7.9507301778994115E-10</v>
      </c>
      <c r="CN72" s="24">
        <f t="shared" si="66"/>
        <v>7.4074799515778951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>
        <f>CT72*VLOOKUP('Données projet'!$B$13,Paramètres!$A$1:$I$89,3,0)*VLOOKUP('Données projet'!$B$13,Paramètres!$A$1:$I$89,5,0)</f>
        <v>0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93.836028041880496</v>
      </c>
      <c r="CZ72" s="62">
        <f t="shared" si="96"/>
        <v>465.96044964631358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37.242508559383353</v>
      </c>
      <c r="DG72" s="23">
        <f>EXP(-LN(2)/25)*DG71+(1-EXP(-LN(2)/25))/(LN(2)/25)*Calculateur!DB72*Calculateur!DD72*VLOOKUP('Données projet'!$B$13,Paramètres!$A$1:$I$89,3,0)*0.475*44/12</f>
        <v>6.1428194511124543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43.385328010495805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-3.4106051316484809E-13</v>
      </c>
      <c r="DP72" s="18">
        <f>DO72*VLOOKUP('Données projet'!$B$14,Paramètres!$A$1:$I$89,3,0)*VLOOKUP('Données projet'!$B$14,Paramètres!$A$1:$I$89,5,0)</f>
        <v>-2.0395418687257919E-13</v>
      </c>
      <c r="DQ72" s="14" t="e">
        <f t="shared" si="97"/>
        <v>#NUM!</v>
      </c>
      <c r="DR72" s="22" t="e">
        <f t="shared" si="70"/>
        <v>#NUM!</v>
      </c>
      <c r="DS72" s="62" t="e">
        <f t="shared" si="71"/>
        <v>#NUM!</v>
      </c>
      <c r="DT72" s="62">
        <f ca="1">AVERAGE(OFFSET($DS$3,0,0,'Données projet'!$E$14+1,1))-AVERAGE(OFFSET($H$3,0,0,'Données projet'!$E$14+1,1))</f>
        <v>386.56102661082468</v>
      </c>
      <c r="DU72" s="62">
        <f t="shared" si="98"/>
        <v>410.28336627719011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8.9923960411814594</v>
      </c>
      <c r="EB72" s="23">
        <f>EXP(-LN(2)/25)*EB71+(1-EXP(-LN(2)/25))/(LN(2)/25)*Calculateur!DW72*Calculateur!DY72*VLOOKUP('Données projet'!$B$14,Paramètres!$A$1:$I$89,3,0)*0.475*44/12</f>
        <v>0.75587224746791293</v>
      </c>
      <c r="EC72" s="23">
        <f>EXP(-LN(2)/2)*EC71+(1-EXP(-LN(2)/2))/(LN(2)/2)*DW72*DZ72*VLOOKUP('Données projet'!$B$14,Paramètres!$A$1:$I$89,3,0)*0.475*44/12</f>
        <v>1.7568884174361014E-5</v>
      </c>
      <c r="ED72" s="24">
        <f t="shared" si="72"/>
        <v>9.7482858575335474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842.45892224294175</v>
      </c>
      <c r="S73" s="62">
        <f ca="1">AVERAGE(OFFSET($R$3,0,0,'Données projet'!$E$9+1,1))-AVERAGE(OFFSET($H$3,0,0,'Données projet'!$E$9+1,1))</f>
        <v>499.92116338695428</v>
      </c>
      <c r="T73" s="62">
        <f t="shared" si="88"/>
        <v>316.79403154855652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0.79139779097389251</v>
      </c>
      <c r="AB73" s="23">
        <f>EXP(-LN(2)/2)*AB72+(1-EXP(-LN(2)/2))/(LN(2)/2)*V73*Y73*VLOOKUP('Données projet'!$B$9,Paramètres!$A$1:$I$89,3,0)*0.475*44/12</f>
        <v>2.2419581384964426E-5</v>
      </c>
      <c r="AC73" s="24">
        <f t="shared" si="57"/>
        <v>0.79142021055527745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252.40309375492214</v>
      </c>
      <c r="AN73" s="62">
        <f ca="1">AVERAGE(OFFSET($AM$3,0,0,'Données projet'!$E$10+1,1))-AVERAGE(OFFSET($H$3,0,0,'Données projet'!$E$10+1,1))</f>
        <v>225.71928466161592</v>
      </c>
      <c r="AO73" s="62">
        <f t="shared" si="90"/>
        <v>385.98818770742025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211.70619219850786</v>
      </c>
      <c r="BJ73" s="62">
        <f t="shared" si="92"/>
        <v>426.883837098247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44.743815252055924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2.5366300963502336E-4</v>
      </c>
      <c r="BS73" s="24">
        <f t="shared" si="63"/>
        <v>44.744068915065561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1.9895196601282805E-13</v>
      </c>
      <c r="BZ73" s="14">
        <f>BY73*VLOOKUP('Données projet'!$B$12,Paramètres!$A$1:$I$89,3,0)*VLOOKUP('Données projet'!$B$12,Paramètres!$A$1:$I$89,5,0)</f>
        <v>1.8001173884840681E-13</v>
      </c>
      <c r="CA73" s="14">
        <f t="shared" si="93"/>
        <v>2.5254331426407198E-12</v>
      </c>
      <c r="CB73" s="22">
        <f t="shared" si="64"/>
        <v>4.7119831685935622E-12</v>
      </c>
      <c r="CC73" s="62">
        <f t="shared" si="65"/>
        <v>252.40309375492578</v>
      </c>
      <c r="CD73" s="62">
        <f ca="1">AVERAGE(OFFSET($CC$3,0,0,'Données projet'!$E$12+1,1))-AVERAGE(OFFSET($H$3,0,0,'Données projet'!$E$12+1,1))</f>
        <v>327.07074355218322</v>
      </c>
      <c r="CE73" s="62">
        <f t="shared" si="94"/>
        <v>462.01668587029087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6.2194624880679301</v>
      </c>
      <c r="CL73" s="23">
        <f>EXP(-LN(2)/25)*CL72+(1-EXP(-LN(2)/25))/(LN(2)/25)*Calculateur!CG73*Calculateur!CI73*VLOOKUP('Données projet'!$B$12,Paramètres!$A$1:$I$89,3,0)*0.475*44/12</f>
        <v>1.03453350751849</v>
      </c>
      <c r="CM73" s="23">
        <f>EXP(-LN(2)/2)*CM72+(1-EXP(-LN(2)/2))/(LN(2)/2)*CG73*CJ73*VLOOKUP('Données projet'!$B$12,Paramètres!$A$1:$I$89,3,0)*0.475*44/12</f>
        <v>5.6220152241771992E-10</v>
      </c>
      <c r="CN73" s="24">
        <f t="shared" si="66"/>
        <v>7.253995996148622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>
        <f>CT73*VLOOKUP('Données projet'!$B$13,Paramètres!$A$1:$I$89,3,0)*VLOOKUP('Données projet'!$B$13,Paramètres!$A$1:$I$89,5,0)</f>
        <v>0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93.836028041880496</v>
      </c>
      <c r="CZ73" s="62">
        <f t="shared" si="96"/>
        <v>465.96044964631358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36.512205682221079</v>
      </c>
      <c r="DG73" s="23">
        <f>EXP(-LN(2)/25)*DG72+(1-EXP(-LN(2)/25))/(LN(2)/25)*Calculateur!DB73*Calculateur!DD73*VLOOKUP('Données projet'!$B$13,Paramètres!$A$1:$I$89,3,0)*0.475*44/12</f>
        <v>5.9748437301849489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42.48704941240603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-3.4106051316484809E-13</v>
      </c>
      <c r="DP73" s="18">
        <f>DO73*VLOOKUP('Données projet'!$B$14,Paramètres!$A$1:$I$89,3,0)*VLOOKUP('Données projet'!$B$14,Paramètres!$A$1:$I$89,5,0)</f>
        <v>-2.0395418687257919E-13</v>
      </c>
      <c r="DQ73" s="14" t="e">
        <f t="shared" si="97"/>
        <v>#NUM!</v>
      </c>
      <c r="DR73" s="22" t="e">
        <f t="shared" si="70"/>
        <v>#NUM!</v>
      </c>
      <c r="DS73" s="62" t="e">
        <f t="shared" si="71"/>
        <v>#NUM!</v>
      </c>
      <c r="DT73" s="62">
        <f ca="1">AVERAGE(OFFSET($DS$3,0,0,'Données projet'!$E$14+1,1))-AVERAGE(OFFSET($H$3,0,0,'Données projet'!$E$14+1,1))</f>
        <v>386.56102661082468</v>
      </c>
      <c r="DU73" s="62">
        <f t="shared" si="98"/>
        <v>410.28336627719011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8.8160606396338945</v>
      </c>
      <c r="EB73" s="23">
        <f>EXP(-LN(2)/25)*EB72+(1-EXP(-LN(2)/25))/(LN(2)/25)*Calculateur!DW73*Calculateur!DY73*VLOOKUP('Données projet'!$B$14,Paramètres!$A$1:$I$89,3,0)*0.475*44/12</f>
        <v>0.73520288111130894</v>
      </c>
      <c r="EC73" s="23">
        <f>EXP(-LN(2)/2)*EC72+(1-EXP(-LN(2)/2))/(LN(2)/2)*DW73*DZ73*VLOOKUP('Données projet'!$B$14,Paramètres!$A$1:$I$89,3,0)*0.475*44/12</f>
        <v>1.2423077137571691E-5</v>
      </c>
      <c r="ED73" s="24">
        <f t="shared" si="72"/>
        <v>9.5512759438223416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804.18091737418047</v>
      </c>
      <c r="S74" s="62">
        <f ca="1">AVERAGE(OFFSET($R$3,0,0,'Données projet'!$E$9+1,1))-AVERAGE(OFFSET($H$3,0,0,'Données projet'!$E$9+1,1))</f>
        <v>499.92116338695428</v>
      </c>
      <c r="T74" s="62">
        <f t="shared" si="88"/>
        <v>316.79403154855652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0.76975697676191035</v>
      </c>
      <c r="AB74" s="23">
        <f>EXP(-LN(2)/2)*AB73+(1-EXP(-LN(2)/2))/(LN(2)/2)*V74*Y74*VLOOKUP('Données projet'!$B$9,Paramètres!$A$1:$I$89,3,0)*0.475*44/12</f>
        <v>1.5853038028672034E-5</v>
      </c>
      <c r="AC74" s="24">
        <f t="shared" si="57"/>
        <v>0.769772829799939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253.11314190530055</v>
      </c>
      <c r="AN74" s="62">
        <f ca="1">AVERAGE(OFFSET($AM$3,0,0,'Données projet'!$E$10+1,1))-AVERAGE(OFFSET($H$3,0,0,'Données projet'!$E$10+1,1))</f>
        <v>225.71928466161592</v>
      </c>
      <c r="AO74" s="62">
        <f t="shared" si="90"/>
        <v>385.98818770742025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211.70619219850786</v>
      </c>
      <c r="BJ74" s="62">
        <f t="shared" si="92"/>
        <v>426.883837098247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43.866416325995644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1.7936683424911356E-4</v>
      </c>
      <c r="BS74" s="24">
        <f t="shared" si="63"/>
        <v>43.86659569282989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1.9895196601282805E-13</v>
      </c>
      <c r="BZ74" s="14">
        <f>BY74*VLOOKUP('Données projet'!$B$12,Paramètres!$A$1:$I$89,3,0)*VLOOKUP('Données projet'!$B$12,Paramètres!$A$1:$I$89,5,0)</f>
        <v>1.8001173884840681E-13</v>
      </c>
      <c r="CA74" s="14">
        <f t="shared" si="93"/>
        <v>2.5254331426407198E-12</v>
      </c>
      <c r="CB74" s="22">
        <f t="shared" si="64"/>
        <v>4.7119831685935622E-12</v>
      </c>
      <c r="CC74" s="62">
        <f t="shared" si="65"/>
        <v>253.11314190530419</v>
      </c>
      <c r="CD74" s="62">
        <f ca="1">AVERAGE(OFFSET($CC$3,0,0,'Données projet'!$E$12+1,1))-AVERAGE(OFFSET($H$3,0,0,'Données projet'!$E$12+1,1))</f>
        <v>327.07074355218322</v>
      </c>
      <c r="CE74" s="62">
        <f t="shared" si="94"/>
        <v>462.01668587029087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6.097502622174459</v>
      </c>
      <c r="CL74" s="23">
        <f>EXP(-LN(2)/25)*CL73+(1-EXP(-LN(2)/25))/(LN(2)/25)*Calculateur!CG74*Calculateur!CI74*VLOOKUP('Données projet'!$B$12,Paramètres!$A$1:$I$89,3,0)*0.475*44/12</f>
        <v>1.0062441343516442</v>
      </c>
      <c r="CM74" s="23">
        <f>EXP(-LN(2)/2)*CM73+(1-EXP(-LN(2)/2))/(LN(2)/2)*CG74*CJ74*VLOOKUP('Données projet'!$B$12,Paramètres!$A$1:$I$89,3,0)*0.475*44/12</f>
        <v>3.9753650889497058E-10</v>
      </c>
      <c r="CN74" s="24">
        <f t="shared" si="66"/>
        <v>7.1037467569236394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>
        <f>CT74*VLOOKUP('Données projet'!$B$13,Paramètres!$A$1:$I$89,3,0)*VLOOKUP('Données projet'!$B$13,Paramètres!$A$1:$I$89,5,0)</f>
        <v>0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93.836028041880496</v>
      </c>
      <c r="CZ74" s="62">
        <f t="shared" si="96"/>
        <v>465.96044964631358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35.796223599039187</v>
      </c>
      <c r="DG74" s="23">
        <f>EXP(-LN(2)/25)*DG73+(1-EXP(-LN(2)/25))/(LN(2)/25)*Calculateur!DB74*Calculateur!DD74*VLOOKUP('Données projet'!$B$13,Paramètres!$A$1:$I$89,3,0)*0.475*44/12</f>
        <v>5.8114613141796649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41.607684913218854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-3.4106051316484809E-13</v>
      </c>
      <c r="DP74" s="18">
        <f>DO74*VLOOKUP('Données projet'!$B$14,Paramètres!$A$1:$I$89,3,0)*VLOOKUP('Données projet'!$B$14,Paramètres!$A$1:$I$89,5,0)</f>
        <v>-2.0395418687257919E-13</v>
      </c>
      <c r="DQ74" s="14" t="e">
        <f t="shared" si="97"/>
        <v>#NUM!</v>
      </c>
      <c r="DR74" s="22" t="e">
        <f t="shared" si="70"/>
        <v>#NUM!</v>
      </c>
      <c r="DS74" s="62" t="e">
        <f t="shared" si="71"/>
        <v>#NUM!</v>
      </c>
      <c r="DT74" s="62">
        <f ca="1">AVERAGE(OFFSET($DS$3,0,0,'Données projet'!$E$14+1,1))-AVERAGE(OFFSET($H$3,0,0,'Données projet'!$E$14+1,1))</f>
        <v>386.56102661082468</v>
      </c>
      <c r="DU74" s="62">
        <f t="shared" si="98"/>
        <v>410.28336627719011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8.6431830677567039</v>
      </c>
      <c r="EB74" s="23">
        <f>EXP(-LN(2)/25)*EB73+(1-EXP(-LN(2)/25))/(LN(2)/25)*Calculateur!DW74*Calculateur!DY74*VLOOKUP('Données projet'!$B$14,Paramètres!$A$1:$I$89,3,0)*0.475*44/12</f>
        <v>0.71509871966468097</v>
      </c>
      <c r="EC74" s="23">
        <f>EXP(-LN(2)/2)*EC73+(1-EXP(-LN(2)/2))/(LN(2)/2)*DW74*DZ74*VLOOKUP('Données projet'!$B$14,Paramètres!$A$1:$I$89,3,0)*0.475*44/12</f>
        <v>8.784442087180507E-6</v>
      </c>
      <c r="ED74" s="24">
        <f t="shared" si="72"/>
        <v>9.3582905718634724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819.41013786398457</v>
      </c>
      <c r="S75" s="62">
        <f ca="1">AVERAGE(OFFSET($R$3,0,0,'Données projet'!$E$9+1,1))-AVERAGE(OFFSET($H$3,0,0,'Données projet'!$E$9+1,1))</f>
        <v>499.92116338695428</v>
      </c>
      <c r="T75" s="62">
        <f t="shared" si="88"/>
        <v>316.79403154855652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0.74870793175259576</v>
      </c>
      <c r="AB75" s="23">
        <f>EXP(-LN(2)/2)*AB74+(1-EXP(-LN(2)/2))/(LN(2)/2)*V75*Y75*VLOOKUP('Données projet'!$B$9,Paramètres!$A$1:$I$89,3,0)*0.475*44/12</f>
        <v>1.1209790692482213E-5</v>
      </c>
      <c r="AC75" s="24">
        <f t="shared" si="57"/>
        <v>0.74871914154328822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253.81087230769975</v>
      </c>
      <c r="AN75" s="62">
        <f ca="1">AVERAGE(OFFSET($AM$3,0,0,'Données projet'!$E$10+1,1))-AVERAGE(OFFSET($H$3,0,0,'Données projet'!$E$10+1,1))</f>
        <v>225.71928466161592</v>
      </c>
      <c r="AO75" s="62">
        <f t="shared" si="90"/>
        <v>385.98818770742025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211.70619219850786</v>
      </c>
      <c r="BJ75" s="62">
        <f t="shared" si="92"/>
        <v>426.883837098247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43.006222657714908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1.2683150481751168E-4</v>
      </c>
      <c r="BS75" s="24">
        <f t="shared" si="63"/>
        <v>43.006349489219723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1.9895196601282805E-13</v>
      </c>
      <c r="BZ75" s="14">
        <f>BY75*VLOOKUP('Données projet'!$B$12,Paramètres!$A$1:$I$89,3,0)*VLOOKUP('Données projet'!$B$12,Paramètres!$A$1:$I$89,5,0)</f>
        <v>1.8001173884840681E-13</v>
      </c>
      <c r="CA75" s="14">
        <f t="shared" si="93"/>
        <v>2.5254331426407198E-12</v>
      </c>
      <c r="CB75" s="22">
        <f t="shared" si="64"/>
        <v>4.7119831685935622E-12</v>
      </c>
      <c r="CC75" s="62">
        <f t="shared" si="65"/>
        <v>253.81087230770339</v>
      </c>
      <c r="CD75" s="62">
        <f ca="1">AVERAGE(OFFSET($CC$3,0,0,'Données projet'!$E$12+1,1))-AVERAGE(OFFSET($H$3,0,0,'Données projet'!$E$12+1,1))</f>
        <v>327.07074355218322</v>
      </c>
      <c r="CE75" s="62">
        <f t="shared" si="94"/>
        <v>462.01668587029087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5.9779343148629858</v>
      </c>
      <c r="CL75" s="23">
        <f>EXP(-LN(2)/25)*CL74+(1-EXP(-LN(2)/25))/(LN(2)/25)*Calculateur!CG75*Calculateur!CI75*VLOOKUP('Données projet'!$B$12,Paramètres!$A$1:$I$89,3,0)*0.475*44/12</f>
        <v>0.97872833558171923</v>
      </c>
      <c r="CM75" s="23">
        <f>EXP(-LN(2)/2)*CM74+(1-EXP(-LN(2)/2))/(LN(2)/2)*CG75*CJ75*VLOOKUP('Données projet'!$B$12,Paramètres!$A$1:$I$89,3,0)*0.475*44/12</f>
        <v>2.8110076120885996E-10</v>
      </c>
      <c r="CN75" s="24">
        <f t="shared" si="66"/>
        <v>6.9566626507258054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>
        <f>CT75*VLOOKUP('Données projet'!$B$13,Paramètres!$A$1:$I$89,3,0)*VLOOKUP('Données projet'!$B$13,Paramètres!$A$1:$I$89,5,0)</f>
        <v>0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93.836028041880496</v>
      </c>
      <c r="CZ75" s="62">
        <f t="shared" si="96"/>
        <v>465.96044964631358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35.09428148780254</v>
      </c>
      <c r="DG75" s="23">
        <f>EXP(-LN(2)/25)*DG74+(1-EXP(-LN(2)/25))/(LN(2)/25)*Calculateur!DB75*Calculateur!DD75*VLOOKUP('Données projet'!$B$13,Paramètres!$A$1:$I$89,3,0)*0.475*44/12</f>
        <v>5.6525465989319539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40.746828086734496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-3.4106051316484809E-13</v>
      </c>
      <c r="DP75" s="18">
        <f>DO75*VLOOKUP('Données projet'!$B$14,Paramètres!$A$1:$I$89,3,0)*VLOOKUP('Données projet'!$B$14,Paramètres!$A$1:$I$89,5,0)</f>
        <v>-2.0395418687257919E-13</v>
      </c>
      <c r="DQ75" s="14" t="e">
        <f t="shared" si="97"/>
        <v>#NUM!</v>
      </c>
      <c r="DR75" s="22" t="e">
        <f t="shared" si="70"/>
        <v>#NUM!</v>
      </c>
      <c r="DS75" s="62" t="e">
        <f t="shared" si="71"/>
        <v>#NUM!</v>
      </c>
      <c r="DT75" s="62">
        <f ca="1">AVERAGE(OFFSET($DS$3,0,0,'Données projet'!$E$14+1,1))-AVERAGE(OFFSET($H$3,0,0,'Données projet'!$E$14+1,1))</f>
        <v>386.56102661082468</v>
      </c>
      <c r="DU75" s="62">
        <f t="shared" si="98"/>
        <v>410.28336627719011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8.4736955196191168</v>
      </c>
      <c r="EB75" s="23">
        <f>EXP(-LN(2)/25)*EB74+(1-EXP(-LN(2)/25))/(LN(2)/25)*Calculateur!DW75*Calculateur!DY75*VLOOKUP('Données projet'!$B$14,Paramètres!$A$1:$I$89,3,0)*0.475*44/12</f>
        <v>0.69554430757004293</v>
      </c>
      <c r="EC75" s="23">
        <f>EXP(-LN(2)/2)*EC74+(1-EXP(-LN(2)/2))/(LN(2)/2)*DW75*DZ75*VLOOKUP('Données projet'!$B$14,Paramètres!$A$1:$I$89,3,0)*0.475*44/12</f>
        <v>6.2115385687858457E-6</v>
      </c>
      <c r="ED75" s="24">
        <f t="shared" si="72"/>
        <v>9.1692460387277279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834.61944987996242</v>
      </c>
      <c r="S76" s="62">
        <f ca="1">AVERAGE(OFFSET($R$3,0,0,'Données projet'!$E$9+1,1))-AVERAGE(OFFSET($H$3,0,0,'Données projet'!$E$9+1,1))</f>
        <v>499.92116338695428</v>
      </c>
      <c r="T76" s="62">
        <f t="shared" si="88"/>
        <v>316.79403154855652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0.72823447398598207</v>
      </c>
      <c r="AB76" s="23">
        <f>EXP(-LN(2)/2)*AB75+(1-EXP(-LN(2)/2))/(LN(2)/2)*V76*Y76*VLOOKUP('Données projet'!$B$9,Paramètres!$A$1:$I$89,3,0)*0.475*44/12</f>
        <v>7.9265190143360171E-6</v>
      </c>
      <c r="AC76" s="24">
        <f t="shared" si="57"/>
        <v>0.72824240050499645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254.49649864750876</v>
      </c>
      <c r="AN76" s="62">
        <f ca="1">AVERAGE(OFFSET($AM$3,0,0,'Données projet'!$E$10+1,1))-AVERAGE(OFFSET($H$3,0,0,'Données projet'!$E$10+1,1))</f>
        <v>225.71928466161592</v>
      </c>
      <c r="AO76" s="62">
        <f t="shared" si="90"/>
        <v>385.98818770742025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211.70619219850786</v>
      </c>
      <c r="BJ76" s="62">
        <f t="shared" si="92"/>
        <v>426.883837098247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42.162896862602821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8.968341712455678E-5</v>
      </c>
      <c r="BS76" s="24">
        <f t="shared" si="63"/>
        <v>42.162986546019944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1.9895196601282805E-13</v>
      </c>
      <c r="BZ76" s="14">
        <f>BY76*VLOOKUP('Données projet'!$B$12,Paramètres!$A$1:$I$89,3,0)*VLOOKUP('Données projet'!$B$12,Paramètres!$A$1:$I$89,5,0)</f>
        <v>1.8001173884840681E-13</v>
      </c>
      <c r="CA76" s="14">
        <f t="shared" si="93"/>
        <v>2.5254331426407198E-12</v>
      </c>
      <c r="CB76" s="22">
        <f t="shared" si="64"/>
        <v>4.7119831685935622E-12</v>
      </c>
      <c r="CC76" s="62">
        <f t="shared" si="65"/>
        <v>254.4964986475124</v>
      </c>
      <c r="CD76" s="62">
        <f ca="1">AVERAGE(OFFSET($CC$3,0,0,'Données projet'!$E$12+1,1))-AVERAGE(OFFSET($H$3,0,0,'Données projet'!$E$12+1,1))</f>
        <v>327.07074355218322</v>
      </c>
      <c r="CE76" s="62">
        <f t="shared" si="94"/>
        <v>462.01668587029087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5.8607106691284248</v>
      </c>
      <c r="CL76" s="23">
        <f>EXP(-LN(2)/25)*CL75+(1-EXP(-LN(2)/25))/(LN(2)/25)*Calculateur!CG76*Calculateur!CI76*VLOOKUP('Données projet'!$B$12,Paramètres!$A$1:$I$89,3,0)*0.475*44/12</f>
        <v>0.95196495777615087</v>
      </c>
      <c r="CM76" s="23">
        <f>EXP(-LN(2)/2)*CM75+(1-EXP(-LN(2)/2))/(LN(2)/2)*CG76*CJ76*VLOOKUP('Données projet'!$B$12,Paramètres!$A$1:$I$89,3,0)*0.475*44/12</f>
        <v>1.9876825444748529E-10</v>
      </c>
      <c r="CN76" s="24">
        <f t="shared" si="66"/>
        <v>6.812675627103344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>
        <f>CT76*VLOOKUP('Données projet'!$B$13,Paramètres!$A$1:$I$89,3,0)*VLOOKUP('Données projet'!$B$13,Paramètres!$A$1:$I$89,5,0)</f>
        <v>0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93.836028041880496</v>
      </c>
      <c r="CZ76" s="62">
        <f t="shared" si="96"/>
        <v>465.96044964631358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34.406104033224835</v>
      </c>
      <c r="DG76" s="23">
        <f>EXP(-LN(2)/25)*DG75+(1-EXP(-LN(2)/25))/(LN(2)/25)*Calculateur!DB76*Calculateur!DD76*VLOOKUP('Données projet'!$B$13,Paramètres!$A$1:$I$89,3,0)*0.475*44/12</f>
        <v>5.497977414929653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39.904081448154486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-3.4106051316484809E-13</v>
      </c>
      <c r="DP76" s="18">
        <f>DO76*VLOOKUP('Données projet'!$B$14,Paramètres!$A$1:$I$89,3,0)*VLOOKUP('Données projet'!$B$14,Paramètres!$A$1:$I$89,5,0)</f>
        <v>-2.0395418687257919E-13</v>
      </c>
      <c r="DQ76" s="14" t="e">
        <f t="shared" si="97"/>
        <v>#NUM!</v>
      </c>
      <c r="DR76" s="22" t="e">
        <f t="shared" si="70"/>
        <v>#NUM!</v>
      </c>
      <c r="DS76" s="62" t="e">
        <f t="shared" si="71"/>
        <v>#NUM!</v>
      </c>
      <c r="DT76" s="62">
        <f ca="1">AVERAGE(OFFSET($DS$3,0,0,'Données projet'!$E$14+1,1))-AVERAGE(OFFSET($H$3,0,0,'Données projet'!$E$14+1,1))</f>
        <v>386.56102661082468</v>
      </c>
      <c r="DU76" s="62">
        <f t="shared" si="98"/>
        <v>410.28336627719011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8.3075315189233123</v>
      </c>
      <c r="EB76" s="23">
        <f>EXP(-LN(2)/25)*EB75+(1-EXP(-LN(2)/25))/(LN(2)/25)*Calculateur!DW76*Calculateur!DY76*VLOOKUP('Données projet'!$B$14,Paramètres!$A$1:$I$89,3,0)*0.475*44/12</f>
        <v>0.67652461190245461</v>
      </c>
      <c r="EC76" s="23">
        <f>EXP(-LN(2)/2)*EC75+(1-EXP(-LN(2)/2))/(LN(2)/2)*DW76*DZ76*VLOOKUP('Données projet'!$B$14,Paramètres!$A$1:$I$89,3,0)*0.475*44/12</f>
        <v>4.3922210435902535E-6</v>
      </c>
      <c r="ED76" s="24">
        <f t="shared" si="72"/>
        <v>8.9840605230468107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849.80928622284046</v>
      </c>
      <c r="S77" s="62">
        <f ca="1">AVERAGE(OFFSET($R$3,0,0,'Données projet'!$E$9+1,1))-AVERAGE(OFFSET($H$3,0,0,'Données projet'!$E$9+1,1))</f>
        <v>499.92116338695428</v>
      </c>
      <c r="T77" s="62">
        <f t="shared" si="88"/>
        <v>316.79403154855652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0.7083208639986488</v>
      </c>
      <c r="AB77" s="23">
        <f>EXP(-LN(2)/2)*AB76+(1-EXP(-LN(2)/2))/(LN(2)/2)*V77*Y77*VLOOKUP('Données projet'!$B$9,Paramètres!$A$1:$I$89,3,0)*0.475*44/12</f>
        <v>5.6048953462411064E-6</v>
      </c>
      <c r="AC77" s="24">
        <f t="shared" si="57"/>
        <v>0.70832646889399509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255.17023090315303</v>
      </c>
      <c r="AN77" s="62">
        <f ca="1">AVERAGE(OFFSET($AM$3,0,0,'Données projet'!$E$10+1,1))-AVERAGE(OFFSET($H$3,0,0,'Données projet'!$E$10+1,1))</f>
        <v>225.71928466161592</v>
      </c>
      <c r="AO77" s="62">
        <f t="shared" si="90"/>
        <v>385.98818770742025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211.70619219850786</v>
      </c>
      <c r="BJ77" s="62">
        <f t="shared" si="92"/>
        <v>426.883837098247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41.33610817195494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6.3415752408755839E-5</v>
      </c>
      <c r="BS77" s="24">
        <f t="shared" si="63"/>
        <v>41.336171587707348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1.9895196601282805E-13</v>
      </c>
      <c r="BZ77" s="14">
        <f>BY77*VLOOKUP('Données projet'!$B$12,Paramètres!$A$1:$I$89,3,0)*VLOOKUP('Données projet'!$B$12,Paramètres!$A$1:$I$89,5,0)</f>
        <v>1.8001173884840681E-13</v>
      </c>
      <c r="CA77" s="14">
        <f t="shared" si="93"/>
        <v>2.5254331426407198E-12</v>
      </c>
      <c r="CB77" s="22">
        <f t="shared" si="64"/>
        <v>4.7119831685935622E-12</v>
      </c>
      <c r="CC77" s="62">
        <f t="shared" si="65"/>
        <v>255.17023090315666</v>
      </c>
      <c r="CD77" s="62">
        <f ca="1">AVERAGE(OFFSET($CC$3,0,0,'Données projet'!$E$12+1,1))-AVERAGE(OFFSET($H$3,0,0,'Données projet'!$E$12+1,1))</f>
        <v>327.07074355218322</v>
      </c>
      <c r="CE77" s="62">
        <f t="shared" si="94"/>
        <v>462.01668587029087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5.7457857075873537</v>
      </c>
      <c r="CL77" s="23">
        <f>EXP(-LN(2)/25)*CL76+(1-EXP(-LN(2)/25))/(LN(2)/25)*Calculateur!CG77*Calculateur!CI77*VLOOKUP('Données projet'!$B$12,Paramètres!$A$1:$I$89,3,0)*0.475*44/12</f>
        <v>0.92593342594410066</v>
      </c>
      <c r="CM77" s="23">
        <f>EXP(-LN(2)/2)*CM76+(1-EXP(-LN(2)/2))/(LN(2)/2)*CG77*CJ77*VLOOKUP('Données projet'!$B$12,Paramètres!$A$1:$I$89,3,0)*0.475*44/12</f>
        <v>1.4055038060442998E-10</v>
      </c>
      <c r="CN77" s="24">
        <f t="shared" si="66"/>
        <v>6.6717191336720054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>
        <f>CT77*VLOOKUP('Données projet'!$B$13,Paramètres!$A$1:$I$89,3,0)*VLOOKUP('Données projet'!$B$13,Paramètres!$A$1:$I$89,5,0)</f>
        <v>0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93.836028041880496</v>
      </c>
      <c r="CZ77" s="62">
        <f t="shared" si="96"/>
        <v>465.96044964631358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33.731421318784598</v>
      </c>
      <c r="DG77" s="23">
        <f>EXP(-LN(2)/25)*DG76+(1-EXP(-LN(2)/25))/(LN(2)/25)*Calculateur!DB77*Calculateur!DD77*VLOOKUP('Données projet'!$B$13,Paramètres!$A$1:$I$89,3,0)*0.475*44/12</f>
        <v>5.3476349333923352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39.079056252176933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-3.4106051316484809E-13</v>
      </c>
      <c r="DP77" s="18">
        <f>DO77*VLOOKUP('Données projet'!$B$14,Paramètres!$A$1:$I$89,3,0)*VLOOKUP('Données projet'!$B$14,Paramètres!$A$1:$I$89,5,0)</f>
        <v>-2.0395418687257919E-13</v>
      </c>
      <c r="DQ77" s="14" t="e">
        <f t="shared" si="97"/>
        <v>#NUM!</v>
      </c>
      <c r="DR77" s="22" t="e">
        <f t="shared" si="70"/>
        <v>#NUM!</v>
      </c>
      <c r="DS77" s="62" t="e">
        <f t="shared" si="71"/>
        <v>#NUM!</v>
      </c>
      <c r="DT77" s="62">
        <f ca="1">AVERAGE(OFFSET($DS$3,0,0,'Données projet'!$E$14+1,1))-AVERAGE(OFFSET($H$3,0,0,'Données projet'!$E$14+1,1))</f>
        <v>386.56102661082468</v>
      </c>
      <c r="DU77" s="62">
        <f t="shared" si="98"/>
        <v>410.28336627719011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8.1446258929311188</v>
      </c>
      <c r="EB77" s="23">
        <f>EXP(-LN(2)/25)*EB76+(1-EXP(-LN(2)/25))/(LN(2)/25)*Calculateur!DW77*Calculateur!DY77*VLOOKUP('Données projet'!$B$14,Paramètres!$A$1:$I$89,3,0)*0.475*44/12</f>
        <v>0.65802501081309883</v>
      </c>
      <c r="EC77" s="23">
        <f>EXP(-LN(2)/2)*EC76+(1-EXP(-LN(2)/2))/(LN(2)/2)*DW77*DZ77*VLOOKUP('Données projet'!$B$14,Paramètres!$A$1:$I$89,3,0)*0.475*44/12</f>
        <v>3.1057692843929229E-6</v>
      </c>
      <c r="ED77" s="24">
        <f t="shared" si="72"/>
        <v>8.8026540095135015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864.98006429006091</v>
      </c>
      <c r="S78" s="62">
        <f ca="1">AVERAGE(OFFSET($R$3,0,0,'Données projet'!$E$9+1,1))-AVERAGE(OFFSET($H$3,0,0,'Données projet'!$E$9+1,1))</f>
        <v>499.92116338695428</v>
      </c>
      <c r="T78" s="62">
        <f t="shared" si="88"/>
        <v>316.79403154855652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0.68895179272363039</v>
      </c>
      <c r="AB78" s="23">
        <f>EXP(-LN(2)/2)*AB77+(1-EXP(-LN(2)/2))/(LN(2)/2)*V78*Y78*VLOOKUP('Données projet'!$B$9,Paramètres!$A$1:$I$89,3,0)*0.475*44/12</f>
        <v>3.9632595071680086E-6</v>
      </c>
      <c r="AC78" s="24">
        <f t="shared" si="57"/>
        <v>0.68895575598313752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255.83227541040145</v>
      </c>
      <c r="AN78" s="62">
        <f ca="1">AVERAGE(OFFSET($AM$3,0,0,'Données projet'!$E$10+1,1))-AVERAGE(OFFSET($H$3,0,0,'Données projet'!$E$10+1,1))</f>
        <v>225.71928466161592</v>
      </c>
      <c r="AO78" s="62">
        <f t="shared" si="90"/>
        <v>385.98818770742025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211.70619219850786</v>
      </c>
      <c r="BJ78" s="62">
        <f t="shared" si="92"/>
        <v>426.883837098247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40.525532303239359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4.484170856227839E-5</v>
      </c>
      <c r="BS78" s="24">
        <f t="shared" si="63"/>
        <v>40.525577144947924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1.9895196601282805E-13</v>
      </c>
      <c r="BZ78" s="14">
        <f>BY78*VLOOKUP('Données projet'!$B$12,Paramètres!$A$1:$I$89,3,0)*VLOOKUP('Données projet'!$B$12,Paramètres!$A$1:$I$89,5,0)</f>
        <v>1.8001173884840681E-13</v>
      </c>
      <c r="CA78" s="14">
        <f t="shared" si="93"/>
        <v>2.5254331426407198E-12</v>
      </c>
      <c r="CB78" s="22">
        <f t="shared" si="64"/>
        <v>4.7119831685935622E-12</v>
      </c>
      <c r="CC78" s="62">
        <f t="shared" si="65"/>
        <v>255.83227541040509</v>
      </c>
      <c r="CD78" s="62">
        <f ca="1">AVERAGE(OFFSET($CC$3,0,0,'Données projet'!$E$12+1,1))-AVERAGE(OFFSET($H$3,0,0,'Données projet'!$E$12+1,1))</f>
        <v>327.07074355218322</v>
      </c>
      <c r="CE78" s="62">
        <f t="shared" si="94"/>
        <v>462.01668587029087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5.6331143544447988</v>
      </c>
      <c r="CL78" s="23">
        <f>EXP(-LN(2)/25)*CL77+(1-EXP(-LN(2)/25))/(LN(2)/25)*Calculateur!CG78*Calculateur!CI78*VLOOKUP('Données projet'!$B$12,Paramètres!$A$1:$I$89,3,0)*0.475*44/12</f>
        <v>0.90061372771893666</v>
      </c>
      <c r="CM78" s="23">
        <f>EXP(-LN(2)/2)*CM77+(1-EXP(-LN(2)/2))/(LN(2)/2)*CG78*CJ78*VLOOKUP('Données projet'!$B$12,Paramètres!$A$1:$I$89,3,0)*0.475*44/12</f>
        <v>9.9384127223742644E-11</v>
      </c>
      <c r="CN78" s="24">
        <f t="shared" si="66"/>
        <v>6.5337280822631199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>
        <f>CT78*VLOOKUP('Données projet'!$B$13,Paramètres!$A$1:$I$89,3,0)*VLOOKUP('Données projet'!$B$13,Paramètres!$A$1:$I$89,5,0)</f>
        <v>0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93.836028041880496</v>
      </c>
      <c r="CZ78" s="62">
        <f t="shared" si="96"/>
        <v>465.96044964631358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33.069968720858711</v>
      </c>
      <c r="DG78" s="23">
        <f>EXP(-LN(2)/25)*DG77+(1-EXP(-LN(2)/25))/(LN(2)/25)*Calculateur!DB78*Calculateur!DD78*VLOOKUP('Données projet'!$B$13,Paramètres!$A$1:$I$89,3,0)*0.475*44/12</f>
        <v>5.2014035749188228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38.271372295777532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-3.4106051316484809E-13</v>
      </c>
      <c r="DP78" s="18">
        <f>DO78*VLOOKUP('Données projet'!$B$14,Paramètres!$A$1:$I$89,3,0)*VLOOKUP('Données projet'!$B$14,Paramètres!$A$1:$I$89,5,0)</f>
        <v>-2.0395418687257919E-13</v>
      </c>
      <c r="DQ78" s="14" t="e">
        <f t="shared" si="97"/>
        <v>#NUM!</v>
      </c>
      <c r="DR78" s="22" t="e">
        <f t="shared" si="70"/>
        <v>#NUM!</v>
      </c>
      <c r="DS78" s="62" t="e">
        <f t="shared" si="71"/>
        <v>#NUM!</v>
      </c>
      <c r="DT78" s="62">
        <f ca="1">AVERAGE(OFFSET($DS$3,0,0,'Données projet'!$E$14+1,1))-AVERAGE(OFFSET($H$3,0,0,'Données projet'!$E$14+1,1))</f>
        <v>386.56102661082468</v>
      </c>
      <c r="DU78" s="62">
        <f t="shared" si="98"/>
        <v>410.28336627719011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7.9849147469020112</v>
      </c>
      <c r="EB78" s="23">
        <f>EXP(-LN(2)/25)*EB77+(1-EXP(-LN(2)/25))/(LN(2)/25)*Calculateur!DW78*Calculateur!DY78*VLOOKUP('Données projet'!$B$14,Paramètres!$A$1:$I$89,3,0)*0.475*44/12</f>
        <v>0.64003128228838324</v>
      </c>
      <c r="EC78" s="23">
        <f>EXP(-LN(2)/2)*EC77+(1-EXP(-LN(2)/2))/(LN(2)/2)*DW78*DZ78*VLOOKUP('Données projet'!$B$14,Paramètres!$A$1:$I$89,3,0)*0.475*44/12</f>
        <v>2.1961105217951267E-6</v>
      </c>
      <c r="ED78" s="24">
        <f t="shared" si="72"/>
        <v>8.6249482253009155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825.90487037476953</v>
      </c>
      <c r="S79" s="62">
        <f ca="1">AVERAGE(OFFSET($R$3,0,0,'Données projet'!$E$9+1,1))-AVERAGE(OFFSET($H$3,0,0,'Données projet'!$E$9+1,1))</f>
        <v>499.92116338695428</v>
      </c>
      <c r="T79" s="62">
        <f t="shared" si="88"/>
        <v>316.79403154855652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0.67011236972120258</v>
      </c>
      <c r="AB79" s="23">
        <f>EXP(-LN(2)/2)*AB78+(1-EXP(-LN(2)/2))/(LN(2)/2)*V79*Y79*VLOOKUP('Données projet'!$B$9,Paramètres!$A$1:$I$89,3,0)*0.475*44/12</f>
        <v>2.8024476731205532E-6</v>
      </c>
      <c r="AC79" s="24">
        <f t="shared" si="57"/>
        <v>0.67011517216887573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256.48283492555896</v>
      </c>
      <c r="AN79" s="62">
        <f ca="1">AVERAGE(OFFSET($AM$3,0,0,'Données projet'!$E$10+1,1))-AVERAGE(OFFSET($H$3,0,0,'Données projet'!$E$10+1,1))</f>
        <v>225.71928466161592</v>
      </c>
      <c r="AO79" s="62">
        <f t="shared" si="90"/>
        <v>385.98818770742025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211.70619219850786</v>
      </c>
      <c r="BJ79" s="62">
        <f t="shared" si="92"/>
        <v>426.883837098247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39.73085133290683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3.170787620437792E-5</v>
      </c>
      <c r="BS79" s="24">
        <f t="shared" si="63"/>
        <v>39.730883040783034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1.9895196601282805E-13</v>
      </c>
      <c r="BZ79" s="14">
        <f>BY79*VLOOKUP('Données projet'!$B$12,Paramètres!$A$1:$I$89,3,0)*VLOOKUP('Données projet'!$B$12,Paramètres!$A$1:$I$89,5,0)</f>
        <v>1.8001173884840681E-13</v>
      </c>
      <c r="CA79" s="14">
        <f t="shared" si="93"/>
        <v>2.5254331426407198E-12</v>
      </c>
      <c r="CB79" s="22">
        <f t="shared" si="64"/>
        <v>4.7119831685935622E-12</v>
      </c>
      <c r="CC79" s="62">
        <f t="shared" si="65"/>
        <v>256.4828349255626</v>
      </c>
      <c r="CD79" s="62">
        <f ca="1">AVERAGE(OFFSET($CC$3,0,0,'Données projet'!$E$12+1,1))-AVERAGE(OFFSET($H$3,0,0,'Données projet'!$E$12+1,1))</f>
        <v>327.07074355218322</v>
      </c>
      <c r="CE79" s="62">
        <f t="shared" si="94"/>
        <v>462.01668587029087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5.5226524178146299</v>
      </c>
      <c r="CL79" s="23">
        <f>EXP(-LN(2)/25)*CL78+(1-EXP(-LN(2)/25))/(LN(2)/25)*Calculateur!CG79*Calculateur!CI79*VLOOKUP('Données projet'!$B$12,Paramètres!$A$1:$I$89,3,0)*0.475*44/12</f>
        <v>0.87598639797324473</v>
      </c>
      <c r="CM79" s="23">
        <f>EXP(-LN(2)/2)*CM78+(1-EXP(-LN(2)/2))/(LN(2)/2)*CG79*CJ79*VLOOKUP('Données projet'!$B$12,Paramètres!$A$1:$I$89,3,0)*0.475*44/12</f>
        <v>7.027519030221499E-11</v>
      </c>
      <c r="CN79" s="24">
        <f t="shared" si="66"/>
        <v>6.39863881585815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>
        <f>CT79*VLOOKUP('Données projet'!$B$13,Paramètres!$A$1:$I$89,3,0)*VLOOKUP('Données projet'!$B$13,Paramètres!$A$1:$I$89,5,0)</f>
        <v>0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93.836028041880496</v>
      </c>
      <c r="CZ79" s="62">
        <f t="shared" si="96"/>
        <v>465.96044964631358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32.421486804931902</v>
      </c>
      <c r="DG79" s="23">
        <f>EXP(-LN(2)/25)*DG78+(1-EXP(-LN(2)/25))/(LN(2)/25)*Calculateur!DB79*Calculateur!DD79*VLOOKUP('Données projet'!$B$13,Paramètres!$A$1:$I$89,3,0)*0.475*44/12</f>
        <v>5.0591709206327415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37.48065772556464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-3.4106051316484809E-13</v>
      </c>
      <c r="DP79" s="18">
        <f>DO79*VLOOKUP('Données projet'!$B$14,Paramètres!$A$1:$I$89,3,0)*VLOOKUP('Données projet'!$B$14,Paramètres!$A$1:$I$89,5,0)</f>
        <v>-2.0395418687257919E-13</v>
      </c>
      <c r="DQ79" s="14" t="e">
        <f t="shared" si="97"/>
        <v>#NUM!</v>
      </c>
      <c r="DR79" s="22" t="e">
        <f t="shared" si="70"/>
        <v>#NUM!</v>
      </c>
      <c r="DS79" s="62" t="e">
        <f t="shared" si="71"/>
        <v>#NUM!</v>
      </c>
      <c r="DT79" s="62">
        <f ca="1">AVERAGE(OFFSET($DS$3,0,0,'Données projet'!$E$14+1,1))-AVERAGE(OFFSET($H$3,0,0,'Données projet'!$E$14+1,1))</f>
        <v>386.56102661082468</v>
      </c>
      <c r="DU79" s="62">
        <f t="shared" si="98"/>
        <v>410.28336627719011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7.8283354390323545</v>
      </c>
      <c r="EB79" s="23">
        <f>EXP(-LN(2)/25)*EB78+(1-EXP(-LN(2)/25))/(LN(2)/25)*Calculateur!DW79*Calculateur!DY79*VLOOKUP('Données projet'!$B$14,Paramètres!$A$1:$I$89,3,0)*0.475*44/12</f>
        <v>0.62252959321642509</v>
      </c>
      <c r="EC79" s="23">
        <f>EXP(-LN(2)/2)*EC78+(1-EXP(-LN(2)/2))/(LN(2)/2)*DW79*DZ79*VLOOKUP('Données projet'!$B$14,Paramètres!$A$1:$I$89,3,0)*0.475*44/12</f>
        <v>1.5528846421964614E-6</v>
      </c>
      <c r="ED79" s="24">
        <f t="shared" si="72"/>
        <v>8.4508665851334221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840.30170463439276</v>
      </c>
      <c r="S80" s="62">
        <f ca="1">AVERAGE(OFFSET($R$3,0,0,'Données projet'!$E$9+1,1))-AVERAGE(OFFSET($H$3,0,0,'Données projet'!$E$9+1,1))</f>
        <v>499.92116338695428</v>
      </c>
      <c r="T80" s="62">
        <f t="shared" si="88"/>
        <v>316.79403154855652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0.65178811173149831</v>
      </c>
      <c r="AB80" s="23">
        <f>EXP(-LN(2)/2)*AB79+(1-EXP(-LN(2)/2))/(LN(2)/2)*V80*Y80*VLOOKUP('Données projet'!$B$9,Paramètres!$A$1:$I$89,3,0)*0.475*44/12</f>
        <v>1.9816297535840043E-6</v>
      </c>
      <c r="AC80" s="24">
        <f t="shared" si="57"/>
        <v>0.65179009336125193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257.12210868756165</v>
      </c>
      <c r="AN80" s="62">
        <f ca="1">AVERAGE(OFFSET($AM$3,0,0,'Données projet'!$E$10+1,1))-AVERAGE(OFFSET($H$3,0,0,'Données projet'!$E$10+1,1))</f>
        <v>225.71928466161592</v>
      </c>
      <c r="AO80" s="62">
        <f t="shared" si="90"/>
        <v>385.98818770742025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211.70619219850786</v>
      </c>
      <c r="BJ80" s="62">
        <f t="shared" si="92"/>
        <v>426.883837098247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38.951753571694987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2.2420854281139195E-5</v>
      </c>
      <c r="BS80" s="24">
        <f t="shared" si="63"/>
        <v>38.951775992549265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1.9895196601282805E-13</v>
      </c>
      <c r="BZ80" s="14">
        <f>BY80*VLOOKUP('Données projet'!$B$12,Paramètres!$A$1:$I$89,3,0)*VLOOKUP('Données projet'!$B$12,Paramètres!$A$1:$I$89,5,0)</f>
        <v>1.8001173884840681E-13</v>
      </c>
      <c r="CA80" s="14">
        <f t="shared" si="93"/>
        <v>2.5254331426407198E-12</v>
      </c>
      <c r="CB80" s="22">
        <f t="shared" si="64"/>
        <v>4.7119831685935622E-12</v>
      </c>
      <c r="CC80" s="62">
        <f t="shared" si="65"/>
        <v>257.12210868756529</v>
      </c>
      <c r="CD80" s="62">
        <f ca="1">AVERAGE(OFFSET($CC$3,0,0,'Données projet'!$E$12+1,1))-AVERAGE(OFFSET($H$3,0,0,'Données projet'!$E$12+1,1))</f>
        <v>327.07074355218322</v>
      </c>
      <c r="CE80" s="62">
        <f t="shared" si="94"/>
        <v>462.01668587029087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5.4143565723866498</v>
      </c>
      <c r="CL80" s="23">
        <f>EXP(-LN(2)/25)*CL79+(1-EXP(-LN(2)/25))/(LN(2)/25)*Calculateur!CG80*Calculateur!CI80*VLOOKUP('Données projet'!$B$12,Paramètres!$A$1:$I$89,3,0)*0.475*44/12</f>
        <v>0.85203250385454377</v>
      </c>
      <c r="CM80" s="23">
        <f>EXP(-LN(2)/2)*CM79+(1-EXP(-LN(2)/2))/(LN(2)/2)*CG80*CJ80*VLOOKUP('Données projet'!$B$12,Paramètres!$A$1:$I$89,3,0)*0.475*44/12</f>
        <v>4.9692063611871322E-11</v>
      </c>
      <c r="CN80" s="24">
        <f t="shared" si="66"/>
        <v>6.2663890762908849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>
        <f>CT80*VLOOKUP('Données projet'!$B$13,Paramètres!$A$1:$I$89,3,0)*VLOOKUP('Données projet'!$B$13,Paramètres!$A$1:$I$89,5,0)</f>
        <v>0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93.836028041880496</v>
      </c>
      <c r="CZ80" s="62">
        <f t="shared" si="96"/>
        <v>465.96044964631358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31.785721223841506</v>
      </c>
      <c r="DG80" s="23">
        <f>EXP(-LN(2)/25)*DG79+(1-EXP(-LN(2)/25))/(LN(2)/25)*Calculateur!DB80*Calculateur!DD80*VLOOKUP('Données projet'!$B$13,Paramètres!$A$1:$I$89,3,0)*0.475*44/12</f>
        <v>4.920827625757803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36.706548849599308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-3.4106051316484809E-13</v>
      </c>
      <c r="DP80" s="18">
        <f>DO80*VLOOKUP('Données projet'!$B$14,Paramètres!$A$1:$I$89,3,0)*VLOOKUP('Données projet'!$B$14,Paramètres!$A$1:$I$89,5,0)</f>
        <v>-2.0395418687257919E-13</v>
      </c>
      <c r="DQ80" s="14" t="e">
        <f t="shared" si="97"/>
        <v>#NUM!</v>
      </c>
      <c r="DR80" s="22" t="e">
        <f t="shared" si="70"/>
        <v>#NUM!</v>
      </c>
      <c r="DS80" s="62" t="e">
        <f t="shared" si="71"/>
        <v>#NUM!</v>
      </c>
      <c r="DT80" s="62">
        <f ca="1">AVERAGE(OFFSET($DS$3,0,0,'Données projet'!$E$14+1,1))-AVERAGE(OFFSET($H$3,0,0,'Données projet'!$E$14+1,1))</f>
        <v>386.56102661082468</v>
      </c>
      <c r="DU80" s="62">
        <f t="shared" si="98"/>
        <v>410.28336627719011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7.6748265558860744</v>
      </c>
      <c r="EB80" s="23">
        <f>EXP(-LN(2)/25)*EB79+(1-EXP(-LN(2)/25))/(LN(2)/25)*Calculateur!DW80*Calculateur!DY80*VLOOKUP('Données projet'!$B$14,Paramètres!$A$1:$I$89,3,0)*0.475*44/12</f>
        <v>0.60550648875251345</v>
      </c>
      <c r="EC80" s="23">
        <f>EXP(-LN(2)/2)*EC79+(1-EXP(-LN(2)/2))/(LN(2)/2)*DW80*DZ80*VLOOKUP('Données projet'!$B$14,Paramètres!$A$1:$I$89,3,0)*0.475*44/12</f>
        <v>1.0980552608975634E-6</v>
      </c>
      <c r="ED80" s="24">
        <f t="shared" si="72"/>
        <v>8.2803341426938495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854.68068521237251</v>
      </c>
      <c r="S81" s="62">
        <f ca="1">AVERAGE(OFFSET($R$3,0,0,'Données projet'!$E$9+1,1))-AVERAGE(OFFSET($H$3,0,0,'Données projet'!$E$9+1,1))</f>
        <v>499.92116338695428</v>
      </c>
      <c r="T81" s="62">
        <f t="shared" si="88"/>
        <v>316.79403154855652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0.63396493154015332</v>
      </c>
      <c r="AB81" s="23">
        <f>EXP(-LN(2)/2)*AB80+(1-EXP(-LN(2)/2))/(LN(2)/2)*V81*Y81*VLOOKUP('Données projet'!$B$9,Paramètres!$A$1:$I$89,3,0)*0.475*44/12</f>
        <v>1.4012238365602766E-6</v>
      </c>
      <c r="AC81" s="24">
        <f t="shared" si="57"/>
        <v>0.63396633276398984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257.75029247899556</v>
      </c>
      <c r="AN81" s="62">
        <f ca="1">AVERAGE(OFFSET($AM$3,0,0,'Données projet'!$E$10+1,1))-AVERAGE(OFFSET($H$3,0,0,'Données projet'!$E$10+1,1))</f>
        <v>225.71928466161592</v>
      </c>
      <c r="AO81" s="62">
        <f t="shared" si="90"/>
        <v>385.98818770742025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211.70619219850786</v>
      </c>
      <c r="BJ81" s="62">
        <f t="shared" si="92"/>
        <v>426.883837098247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38.187933442377798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1.585393810218896E-5</v>
      </c>
      <c r="BS81" s="24">
        <f t="shared" si="63"/>
        <v>38.1879492963159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1.9895196601282805E-13</v>
      </c>
      <c r="BZ81" s="14">
        <f>BY81*VLOOKUP('Données projet'!$B$12,Paramètres!$A$1:$I$89,3,0)*VLOOKUP('Données projet'!$B$12,Paramètres!$A$1:$I$89,5,0)</f>
        <v>1.8001173884840681E-13</v>
      </c>
      <c r="CA81" s="14">
        <f t="shared" si="93"/>
        <v>2.5254331426407198E-12</v>
      </c>
      <c r="CB81" s="22">
        <f t="shared" si="64"/>
        <v>4.7119831685935622E-12</v>
      </c>
      <c r="CC81" s="62">
        <f t="shared" si="65"/>
        <v>257.7502924789992</v>
      </c>
      <c r="CD81" s="62">
        <f ca="1">AVERAGE(OFFSET($CC$3,0,0,'Données projet'!$E$12+1,1))-AVERAGE(OFFSET($H$3,0,0,'Données projet'!$E$12+1,1))</f>
        <v>327.07074355218322</v>
      </c>
      <c r="CE81" s="62">
        <f t="shared" si="94"/>
        <v>462.01668587029087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5.3081843424335684</v>
      </c>
      <c r="CL81" s="23">
        <f>EXP(-LN(2)/25)*CL80+(1-EXP(-LN(2)/25))/(LN(2)/25)*Calculateur!CG81*Calculateur!CI81*VLOOKUP('Données projet'!$B$12,Paramètres!$A$1:$I$89,3,0)*0.475*44/12</f>
        <v>0.82873363023019919</v>
      </c>
      <c r="CM81" s="23">
        <f>EXP(-LN(2)/2)*CM80+(1-EXP(-LN(2)/2))/(LN(2)/2)*CG81*CJ81*VLOOKUP('Données projet'!$B$12,Paramètres!$A$1:$I$89,3,0)*0.475*44/12</f>
        <v>3.5137595151107495E-11</v>
      </c>
      <c r="CN81" s="24">
        <f t="shared" si="66"/>
        <v>6.1369179726989049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>
        <f>CT81*VLOOKUP('Données projet'!$B$13,Paramètres!$A$1:$I$89,3,0)*VLOOKUP('Données projet'!$B$13,Paramètres!$A$1:$I$89,5,0)</f>
        <v>0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93.836028041880496</v>
      </c>
      <c r="CZ81" s="62">
        <f t="shared" si="96"/>
        <v>465.96044964631358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31.162422618017576</v>
      </c>
      <c r="DG81" s="23">
        <f>EXP(-LN(2)/25)*DG80+(1-EXP(-LN(2)/25))/(LN(2)/25)*Calculateur!DB81*Calculateur!DD81*VLOOKUP('Données projet'!$B$13,Paramètres!$A$1:$I$89,3,0)*0.475*44/12</f>
        <v>4.7862673355563778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35.948689953573954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-3.4106051316484809E-13</v>
      </c>
      <c r="DP81" s="18">
        <f>DO81*VLOOKUP('Données projet'!$B$14,Paramètres!$A$1:$I$89,3,0)*VLOOKUP('Données projet'!$B$14,Paramètres!$A$1:$I$89,5,0)</f>
        <v>-2.0395418687257919E-13</v>
      </c>
      <c r="DQ81" s="14" t="e">
        <f t="shared" si="97"/>
        <v>#NUM!</v>
      </c>
      <c r="DR81" s="22" t="e">
        <f t="shared" si="70"/>
        <v>#NUM!</v>
      </c>
      <c r="DS81" s="62" t="e">
        <f t="shared" si="71"/>
        <v>#NUM!</v>
      </c>
      <c r="DT81" s="62">
        <f ca="1">AVERAGE(OFFSET($DS$3,0,0,'Données projet'!$E$14+1,1))-AVERAGE(OFFSET($H$3,0,0,'Données projet'!$E$14+1,1))</f>
        <v>386.56102661082468</v>
      </c>
      <c r="DU81" s="62">
        <f t="shared" si="98"/>
        <v>410.28336627719011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7.524327888307119</v>
      </c>
      <c r="EB81" s="23">
        <f>EXP(-LN(2)/25)*EB80+(1-EXP(-LN(2)/25))/(LN(2)/25)*Calculateur!DW81*Calculateur!DY81*VLOOKUP('Données projet'!$B$14,Paramètres!$A$1:$I$89,3,0)*0.475*44/12</f>
        <v>0.58894888197537365</v>
      </c>
      <c r="EC81" s="23">
        <f>EXP(-LN(2)/2)*EC80+(1-EXP(-LN(2)/2))/(LN(2)/2)*DW81*DZ81*VLOOKUP('Données projet'!$B$14,Paramètres!$A$1:$I$89,3,0)*0.475*44/12</f>
        <v>7.7644232109823071E-7</v>
      </c>
      <c r="ED81" s="24">
        <f t="shared" si="72"/>
        <v>8.113277546724813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869.04218218772735</v>
      </c>
      <c r="S82" s="62">
        <f ca="1">AVERAGE(OFFSET($R$3,0,0,'Données projet'!$E$9+1,1))-AVERAGE(OFFSET($H$3,0,0,'Données projet'!$E$9+1,1))</f>
        <v>499.92116338695428</v>
      </c>
      <c r="T82" s="62">
        <f t="shared" si="88"/>
        <v>316.79403154855652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0.616629127148421</v>
      </c>
      <c r="AB82" s="23">
        <f>EXP(-LN(2)/2)*AB81+(1-EXP(-LN(2)/2))/(LN(2)/2)*V82*Y82*VLOOKUP('Données projet'!$B$9,Paramètres!$A$1:$I$89,3,0)*0.475*44/12</f>
        <v>9.9081487679200214E-7</v>
      </c>
      <c r="AC82" s="24">
        <f t="shared" si="57"/>
        <v>0.61663011796329781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258.36757868605673</v>
      </c>
      <c r="AN82" s="62">
        <f ca="1">AVERAGE(OFFSET($AM$3,0,0,'Données projet'!$E$10+1,1))-AVERAGE(OFFSET($H$3,0,0,'Données projet'!$E$10+1,1))</f>
        <v>225.71928466161592</v>
      </c>
      <c r="AO82" s="62">
        <f t="shared" si="90"/>
        <v>385.98818770742025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211.70619219850786</v>
      </c>
      <c r="BJ82" s="62">
        <f t="shared" si="92"/>
        <v>426.883837098247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37.43909135991224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1.1210427140569598E-5</v>
      </c>
      <c r="BS82" s="24">
        <f t="shared" si="63"/>
        <v>37.439102570339379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1.9895196601282805E-13</v>
      </c>
      <c r="BZ82" s="14">
        <f>BY82*VLOOKUP('Données projet'!$B$12,Paramètres!$A$1:$I$89,3,0)*VLOOKUP('Données projet'!$B$12,Paramètres!$A$1:$I$89,5,0)</f>
        <v>1.8001173884840681E-13</v>
      </c>
      <c r="CA82" s="14">
        <f t="shared" si="93"/>
        <v>2.5254331426407198E-12</v>
      </c>
      <c r="CB82" s="22">
        <f t="shared" si="64"/>
        <v>4.7119831685935622E-12</v>
      </c>
      <c r="CC82" s="62">
        <f t="shared" si="65"/>
        <v>258.36757868606037</v>
      </c>
      <c r="CD82" s="62">
        <f ca="1">AVERAGE(OFFSET($CC$3,0,0,'Données projet'!$E$12+1,1))-AVERAGE(OFFSET($H$3,0,0,'Données projet'!$E$12+1,1))</f>
        <v>327.07074355218322</v>
      </c>
      <c r="CE82" s="62">
        <f t="shared" si="94"/>
        <v>462.01668587029087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5.2040940851512012</v>
      </c>
      <c r="CL82" s="23">
        <f>EXP(-LN(2)/25)*CL81+(1-EXP(-LN(2)/25))/(LN(2)/25)*Calculateur!CG82*Calculateur!CI82*VLOOKUP('Données projet'!$B$12,Paramètres!$A$1:$I$89,3,0)*0.475*44/12</f>
        <v>0.80607186553034693</v>
      </c>
      <c r="CM82" s="23">
        <f>EXP(-LN(2)/2)*CM81+(1-EXP(-LN(2)/2))/(LN(2)/2)*CG82*CJ82*VLOOKUP('Données projet'!$B$12,Paramètres!$A$1:$I$89,3,0)*0.475*44/12</f>
        <v>2.4846031805935661E-11</v>
      </c>
      <c r="CN82" s="24">
        <f t="shared" si="66"/>
        <v>6.0101659507063943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>
        <f>CT82*VLOOKUP('Données projet'!$B$13,Paramètres!$A$1:$I$89,3,0)*VLOOKUP('Données projet'!$B$13,Paramètres!$A$1:$I$89,5,0)</f>
        <v>0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93.836028041880496</v>
      </c>
      <c r="CZ82" s="62">
        <f t="shared" si="96"/>
        <v>465.96044964631358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30.551346517679242</v>
      </c>
      <c r="DG82" s="23">
        <f>EXP(-LN(2)/25)*DG81+(1-EXP(-LN(2)/25))/(LN(2)/25)*Calculateur!DB82*Calculateur!DD82*VLOOKUP('Données projet'!$B$13,Paramètres!$A$1:$I$89,3,0)*0.475*44/12</f>
        <v>4.6553866035667291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35.206733121245975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-3.4106051316484809E-13</v>
      </c>
      <c r="DP82" s="18">
        <f>DO82*VLOOKUP('Données projet'!$B$14,Paramètres!$A$1:$I$89,3,0)*VLOOKUP('Données projet'!$B$14,Paramètres!$A$1:$I$89,5,0)</f>
        <v>-2.0395418687257919E-13</v>
      </c>
      <c r="DQ82" s="14" t="e">
        <f t="shared" si="97"/>
        <v>#NUM!</v>
      </c>
      <c r="DR82" s="22" t="e">
        <f t="shared" si="70"/>
        <v>#NUM!</v>
      </c>
      <c r="DS82" s="62" t="e">
        <f t="shared" si="71"/>
        <v>#NUM!</v>
      </c>
      <c r="DT82" s="62">
        <f ca="1">AVERAGE(OFFSET($DS$3,0,0,'Données projet'!$E$14+1,1))-AVERAGE(OFFSET($H$3,0,0,'Données projet'!$E$14+1,1))</f>
        <v>386.56102661082468</v>
      </c>
      <c r="DU82" s="62">
        <f t="shared" si="98"/>
        <v>410.28336627719011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7.3767804078042643</v>
      </c>
      <c r="EB82" s="23">
        <f>EXP(-LN(2)/25)*EB81+(1-EXP(-LN(2)/25))/(LN(2)/25)*Calculateur!DW82*Calculateur!DY82*VLOOKUP('Données projet'!$B$14,Paramètres!$A$1:$I$89,3,0)*0.475*44/12</f>
        <v>0.5728440438262814</v>
      </c>
      <c r="EC82" s="23">
        <f>EXP(-LN(2)/2)*EC81+(1-EXP(-LN(2)/2))/(LN(2)/2)*DW82*DZ82*VLOOKUP('Données projet'!$B$14,Paramètres!$A$1:$I$89,3,0)*0.475*44/12</f>
        <v>5.4902763044878169E-7</v>
      </c>
      <c r="ED82" s="24">
        <f t="shared" si="72"/>
        <v>7.9496250006581759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883.38655365497175</v>
      </c>
      <c r="S83" s="62">
        <f ca="1">AVERAGE(OFFSET($R$3,0,0,'Données projet'!$E$9+1,1))-AVERAGE(OFFSET($H$3,0,0,'Données projet'!$E$9+1,1))</f>
        <v>499.92116338695428</v>
      </c>
      <c r="T83" s="62">
        <f t="shared" si="88"/>
        <v>316.79403154855652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0.59976737123943091</v>
      </c>
      <c r="AB83" s="23">
        <f>EXP(-LN(2)/2)*AB82+(1-EXP(-LN(2)/2))/(LN(2)/2)*V83*Y83*VLOOKUP('Données projet'!$B$9,Paramètres!$A$1:$I$89,3,0)*0.475*44/12</f>
        <v>7.006119182801383E-7</v>
      </c>
      <c r="AC83" s="24">
        <f t="shared" si="57"/>
        <v>0.59976807185134917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258.97415635747063</v>
      </c>
      <c r="AN83" s="62">
        <f ca="1">AVERAGE(OFFSET($AM$3,0,0,'Données projet'!$E$10+1,1))-AVERAGE(OFFSET($H$3,0,0,'Données projet'!$E$10+1,1))</f>
        <v>225.71928466161592</v>
      </c>
      <c r="AO83" s="62">
        <f t="shared" si="90"/>
        <v>385.98818770742025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211.70619219850786</v>
      </c>
      <c r="BJ83" s="62">
        <f t="shared" si="92"/>
        <v>426.883837098247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36.70493361393526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7.9269690510944799E-6</v>
      </c>
      <c r="BS83" s="24">
        <f t="shared" si="63"/>
        <v>36.704941540904315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1.9895196601282805E-13</v>
      </c>
      <c r="BZ83" s="14">
        <f>BY83*VLOOKUP('Données projet'!$B$12,Paramètres!$A$1:$I$89,3,0)*VLOOKUP('Données projet'!$B$12,Paramètres!$A$1:$I$89,5,0)</f>
        <v>1.8001173884840681E-13</v>
      </c>
      <c r="CA83" s="14">
        <f t="shared" si="93"/>
        <v>2.5254331426407198E-12</v>
      </c>
      <c r="CB83" s="22">
        <f t="shared" si="64"/>
        <v>4.7119831685935622E-12</v>
      </c>
      <c r="CC83" s="62">
        <f t="shared" si="65"/>
        <v>258.97415635747427</v>
      </c>
      <c r="CD83" s="62">
        <f ca="1">AVERAGE(OFFSET($CC$3,0,0,'Données projet'!$E$12+1,1))-AVERAGE(OFFSET($H$3,0,0,'Données projet'!$E$12+1,1))</f>
        <v>327.07074355218322</v>
      </c>
      <c r="CE83" s="62">
        <f t="shared" si="94"/>
        <v>462.01668587029087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5.1020449743253531</v>
      </c>
      <c r="CL83" s="23">
        <f>EXP(-LN(2)/25)*CL82+(1-EXP(-LN(2)/25))/(LN(2)/25)*Calculateur!CG83*Calculateur!CI83*VLOOKUP('Données projet'!$B$12,Paramètres!$A$1:$I$89,3,0)*0.475*44/12</f>
        <v>0.78402978797794254</v>
      </c>
      <c r="CM83" s="23">
        <f>EXP(-LN(2)/2)*CM82+(1-EXP(-LN(2)/2))/(LN(2)/2)*CG83*CJ83*VLOOKUP('Données projet'!$B$12,Paramètres!$A$1:$I$89,3,0)*0.475*44/12</f>
        <v>1.7568797575553748E-11</v>
      </c>
      <c r="CN83" s="24">
        <f t="shared" si="66"/>
        <v>5.8860747623208649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>
        <f>CT83*VLOOKUP('Données projet'!$B$13,Paramètres!$A$1:$I$89,3,0)*VLOOKUP('Données projet'!$B$13,Paramètres!$A$1:$I$89,5,0)</f>
        <v>0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93.836028041880496</v>
      </c>
      <c r="CZ83" s="62">
        <f t="shared" si="96"/>
        <v>465.96044964631358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29.952253246948924</v>
      </c>
      <c r="DG83" s="23">
        <f>EXP(-LN(2)/25)*DG82+(1-EXP(-LN(2)/25))/(LN(2)/25)*Calculateur!DB83*Calculateur!DD83*VLOOKUP('Données projet'!$B$13,Paramètres!$A$1:$I$89,3,0)*0.475*44/12</f>
        <v>4.5280848120760551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34.48033805902498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-3.4106051316484809E-13</v>
      </c>
      <c r="DP83" s="18">
        <f>DO83*VLOOKUP('Données projet'!$B$14,Paramètres!$A$1:$I$89,3,0)*VLOOKUP('Données projet'!$B$14,Paramètres!$A$1:$I$89,5,0)</f>
        <v>-2.0395418687257919E-13</v>
      </c>
      <c r="DQ83" s="14" t="e">
        <f t="shared" si="97"/>
        <v>#NUM!</v>
      </c>
      <c r="DR83" s="22" t="e">
        <f t="shared" si="70"/>
        <v>#NUM!</v>
      </c>
      <c r="DS83" s="62" t="e">
        <f t="shared" si="71"/>
        <v>#NUM!</v>
      </c>
      <c r="DT83" s="62">
        <f ca="1">AVERAGE(OFFSET($DS$3,0,0,'Données projet'!$E$14+1,1))-AVERAGE(OFFSET($H$3,0,0,'Données projet'!$E$14+1,1))</f>
        <v>386.56102661082468</v>
      </c>
      <c r="DU83" s="62">
        <f t="shared" si="98"/>
        <v>410.28336627719011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7.2321262433989935</v>
      </c>
      <c r="EB83" s="23">
        <f>EXP(-LN(2)/25)*EB82+(1-EXP(-LN(2)/25))/(LN(2)/25)*Calculateur!DW83*Calculateur!DY83*VLOOKUP('Données projet'!$B$14,Paramètres!$A$1:$I$89,3,0)*0.475*44/12</f>
        <v>0.5571795933232927</v>
      </c>
      <c r="EC83" s="23">
        <f>EXP(-LN(2)/2)*EC82+(1-EXP(-LN(2)/2))/(LN(2)/2)*DW83*DZ83*VLOOKUP('Données projet'!$B$14,Paramètres!$A$1:$I$89,3,0)*0.475*44/12</f>
        <v>3.8822116054911536E-7</v>
      </c>
      <c r="ED83" s="24">
        <f t="shared" si="72"/>
        <v>7.7893062249434459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843.5139161263362</v>
      </c>
      <c r="S84" s="62">
        <f ca="1">AVERAGE(OFFSET($R$3,0,0,'Données projet'!$E$9+1,1))-AVERAGE(OFFSET($H$3,0,0,'Données projet'!$E$9+1,1))</f>
        <v>499.92116338695428</v>
      </c>
      <c r="T84" s="62">
        <f t="shared" si="88"/>
        <v>316.79403154855652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0.58336670093249343</v>
      </c>
      <c r="AB84" s="23">
        <f>EXP(-LN(2)/2)*AB83+(1-EXP(-LN(2)/2))/(LN(2)/2)*V84*Y84*VLOOKUP('Données projet'!$B$9,Paramètres!$A$1:$I$89,3,0)*0.475*44/12</f>
        <v>4.9540743839600107E-7</v>
      </c>
      <c r="AC84" s="24">
        <f t="shared" si="57"/>
        <v>0.58336719633993184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259.57021126238988</v>
      </c>
      <c r="AN84" s="62">
        <f ca="1">AVERAGE(OFFSET($AM$3,0,0,'Données projet'!$E$10+1,1))-AVERAGE(OFFSET($H$3,0,0,'Données projet'!$E$10+1,1))</f>
        <v>225.71928466161592</v>
      </c>
      <c r="AO84" s="62">
        <f t="shared" si="90"/>
        <v>385.98818770742025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211.70619219850786</v>
      </c>
      <c r="BJ84" s="62">
        <f t="shared" si="92"/>
        <v>426.883837098247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35.985172253564883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5.6052135702847988E-6</v>
      </c>
      <c r="BS84" s="24">
        <f t="shared" si="63"/>
        <v>35.985177858778457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1.9895196601282805E-13</v>
      </c>
      <c r="BZ84" s="14">
        <f>BY84*VLOOKUP('Données projet'!$B$12,Paramètres!$A$1:$I$89,3,0)*VLOOKUP('Données projet'!$B$12,Paramètres!$A$1:$I$89,5,0)</f>
        <v>1.8001173884840681E-13</v>
      </c>
      <c r="CA84" s="14">
        <f t="shared" si="93"/>
        <v>2.5254331426407198E-12</v>
      </c>
      <c r="CB84" s="22">
        <f t="shared" si="64"/>
        <v>4.7119831685935622E-12</v>
      </c>
      <c r="CC84" s="62">
        <f t="shared" si="65"/>
        <v>259.57021126239351</v>
      </c>
      <c r="CD84" s="62">
        <f ca="1">AVERAGE(OFFSET($CC$3,0,0,'Données projet'!$E$12+1,1))-AVERAGE(OFFSET($H$3,0,0,'Données projet'!$E$12+1,1))</f>
        <v>327.07074355218322</v>
      </c>
      <c r="CE84" s="62">
        <f t="shared" si="94"/>
        <v>462.01668587029087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5.0019969843189891</v>
      </c>
      <c r="CL84" s="23">
        <f>EXP(-LN(2)/25)*CL83+(1-EXP(-LN(2)/25))/(LN(2)/25)*Calculateur!CG84*Calculateur!CI84*VLOOKUP('Données projet'!$B$12,Paramètres!$A$1:$I$89,3,0)*0.475*44/12</f>
        <v>0.76259045219535104</v>
      </c>
      <c r="CM84" s="23">
        <f>EXP(-LN(2)/2)*CM83+(1-EXP(-LN(2)/2))/(LN(2)/2)*CG84*CJ84*VLOOKUP('Données projet'!$B$12,Paramètres!$A$1:$I$89,3,0)*0.475*44/12</f>
        <v>1.2423015902967831E-11</v>
      </c>
      <c r="CN84" s="24">
        <f t="shared" si="66"/>
        <v>5.7645874365267629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>
        <f>CT84*VLOOKUP('Données projet'!$B$13,Paramètres!$A$1:$I$89,3,0)*VLOOKUP('Données projet'!$B$13,Paramètres!$A$1:$I$89,5,0)</f>
        <v>0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93.836028041880496</v>
      </c>
      <c r="CZ84" s="62">
        <f t="shared" si="96"/>
        <v>465.96044964631358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29.364907829846814</v>
      </c>
      <c r="DG84" s="23">
        <f>EXP(-LN(2)/25)*DG83+(1-EXP(-LN(2)/25))/(LN(2)/25)*Calculateur!DB84*Calculateur!DD84*VLOOKUP('Données projet'!$B$13,Paramètres!$A$1:$I$89,3,0)*0.475*44/12</f>
        <v>4.4042640947682044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33.769171924615016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-3.4106051316484809E-13</v>
      </c>
      <c r="DP84" s="18">
        <f>DO84*VLOOKUP('Données projet'!$B$14,Paramètres!$A$1:$I$89,3,0)*VLOOKUP('Données projet'!$B$14,Paramètres!$A$1:$I$89,5,0)</f>
        <v>-2.0395418687257919E-13</v>
      </c>
      <c r="DQ84" s="14" t="e">
        <f t="shared" si="97"/>
        <v>#NUM!</v>
      </c>
      <c r="DR84" s="22" t="e">
        <f t="shared" si="70"/>
        <v>#NUM!</v>
      </c>
      <c r="DS84" s="62" t="e">
        <f t="shared" si="71"/>
        <v>#NUM!</v>
      </c>
      <c r="DT84" s="62">
        <f ca="1">AVERAGE(OFFSET($DS$3,0,0,'Données projet'!$E$14+1,1))-AVERAGE(OFFSET($H$3,0,0,'Données projet'!$E$14+1,1))</f>
        <v>386.56102661082468</v>
      </c>
      <c r="DU84" s="62">
        <f t="shared" si="98"/>
        <v>410.28336627719011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7.0903086589273814</v>
      </c>
      <c r="EB84" s="23">
        <f>EXP(-LN(2)/25)*EB83+(1-EXP(-LN(2)/25))/(LN(2)/25)*Calculateur!DW84*Calculateur!DY84*VLOOKUP('Données projet'!$B$14,Paramètres!$A$1:$I$89,3,0)*0.475*44/12</f>
        <v>0.54194348804306591</v>
      </c>
      <c r="EC84" s="23">
        <f>EXP(-LN(2)/2)*EC83+(1-EXP(-LN(2)/2))/(LN(2)/2)*DW84*DZ84*VLOOKUP('Données projet'!$B$14,Paramètres!$A$1:$I$89,3,0)*0.475*44/12</f>
        <v>2.7451381522439084E-7</v>
      </c>
      <c r="ED84" s="24">
        <f t="shared" si="72"/>
        <v>7.6322524214842629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857.08631868066493</v>
      </c>
      <c r="S85" s="62">
        <f ca="1">AVERAGE(OFFSET($R$3,0,0,'Données projet'!$E$9+1,1))-AVERAGE(OFFSET($H$3,0,0,'Données projet'!$E$9+1,1))</f>
        <v>499.92116338695428</v>
      </c>
      <c r="T85" s="62">
        <f t="shared" si="88"/>
        <v>316.79403154855652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0.56741450781757286</v>
      </c>
      <c r="AB85" s="23">
        <f>EXP(-LN(2)/2)*AB84+(1-EXP(-LN(2)/2))/(LN(2)/2)*V85*Y85*VLOOKUP('Données projet'!$B$9,Paramètres!$A$1:$I$89,3,0)*0.475*44/12</f>
        <v>3.5030595914006915E-7</v>
      </c>
      <c r="AC85" s="24">
        <f t="shared" si="57"/>
        <v>0.56741485812353198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260.15592594728804</v>
      </c>
      <c r="AN85" s="62">
        <f ca="1">AVERAGE(OFFSET($AM$3,0,0,'Données projet'!$E$10+1,1))-AVERAGE(OFFSET($H$3,0,0,'Données projet'!$E$10+1,1))</f>
        <v>225.71928466161592</v>
      </c>
      <c r="AO85" s="62">
        <f t="shared" si="90"/>
        <v>385.98818770742025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211.70619219850786</v>
      </c>
      <c r="BJ85" s="62">
        <f t="shared" si="92"/>
        <v>426.883837098247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35.279524974460287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3.96348452554724E-6</v>
      </c>
      <c r="BS85" s="24">
        <f t="shared" si="63"/>
        <v>35.279528937944811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1.9895196601282805E-13</v>
      </c>
      <c r="BZ85" s="14">
        <f>BY85*VLOOKUP('Données projet'!$B$12,Paramètres!$A$1:$I$89,3,0)*VLOOKUP('Données projet'!$B$12,Paramètres!$A$1:$I$89,5,0)</f>
        <v>1.8001173884840681E-13</v>
      </c>
      <c r="CA85" s="14">
        <f t="shared" si="93"/>
        <v>2.5254331426407198E-12</v>
      </c>
      <c r="CB85" s="22">
        <f t="shared" si="64"/>
        <v>4.7119831685935622E-12</v>
      </c>
      <c r="CC85" s="62">
        <f t="shared" si="65"/>
        <v>260.15592594729168</v>
      </c>
      <c r="CD85" s="62">
        <f ca="1">AVERAGE(OFFSET($CC$3,0,0,'Données projet'!$E$12+1,1))-AVERAGE(OFFSET($H$3,0,0,'Données projet'!$E$12+1,1))</f>
        <v>327.07074355218322</v>
      </c>
      <c r="CE85" s="62">
        <f t="shared" si="94"/>
        <v>462.01668587029087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4.903910874373401</v>
      </c>
      <c r="CL85" s="23">
        <f>EXP(-LN(2)/25)*CL84+(1-EXP(-LN(2)/25))/(LN(2)/25)*Calculateur!CG85*Calculateur!CI85*VLOOKUP('Données projet'!$B$12,Paramètres!$A$1:$I$89,3,0)*0.475*44/12</f>
        <v>0.74173737617718016</v>
      </c>
      <c r="CM85" s="23">
        <f>EXP(-LN(2)/2)*CM84+(1-EXP(-LN(2)/2))/(LN(2)/2)*CG85*CJ85*VLOOKUP('Données projet'!$B$12,Paramètres!$A$1:$I$89,3,0)*0.475*44/12</f>
        <v>8.7843987877768738E-12</v>
      </c>
      <c r="CN85" s="24">
        <f t="shared" si="66"/>
        <v>5.6456482505593648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>
        <f>CT85*VLOOKUP('Données projet'!$B$13,Paramètres!$A$1:$I$89,3,0)*VLOOKUP('Données projet'!$B$13,Paramètres!$A$1:$I$89,5,0)</f>
        <v>0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93.836028041880496</v>
      </c>
      <c r="CZ85" s="62">
        <f t="shared" si="96"/>
        <v>465.96044964631358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28.789079898128747</v>
      </c>
      <c r="DG85" s="23">
        <f>EXP(-LN(2)/25)*DG84+(1-EXP(-LN(2)/25))/(LN(2)/25)*Calculateur!DB85*Calculateur!DD85*VLOOKUP('Données projet'!$B$13,Paramètres!$A$1:$I$89,3,0)*0.475*44/12</f>
        <v>4.2838292614865852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33.072909159615335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-3.4106051316484809E-13</v>
      </c>
      <c r="DP85" s="18">
        <f>DO85*VLOOKUP('Données projet'!$B$14,Paramètres!$A$1:$I$89,3,0)*VLOOKUP('Données projet'!$B$14,Paramètres!$A$1:$I$89,5,0)</f>
        <v>-2.0395418687257919E-13</v>
      </c>
      <c r="DQ85" s="14" t="e">
        <f t="shared" si="97"/>
        <v>#NUM!</v>
      </c>
      <c r="DR85" s="22" t="e">
        <f t="shared" si="70"/>
        <v>#NUM!</v>
      </c>
      <c r="DS85" s="62" t="e">
        <f t="shared" si="71"/>
        <v>#NUM!</v>
      </c>
      <c r="DT85" s="62">
        <f ca="1">AVERAGE(OFFSET($DS$3,0,0,'Données projet'!$E$14+1,1))-AVERAGE(OFFSET($H$3,0,0,'Données projet'!$E$14+1,1))</f>
        <v>386.56102661082468</v>
      </c>
      <c r="DU85" s="62">
        <f t="shared" si="98"/>
        <v>410.28336627719011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6.9512720307870728</v>
      </c>
      <c r="EB85" s="23">
        <f>EXP(-LN(2)/25)*EB84+(1-EXP(-LN(2)/25))/(LN(2)/25)*Calculateur!DW85*Calculateur!DY85*VLOOKUP('Données projet'!$B$14,Paramètres!$A$1:$I$89,3,0)*0.475*44/12</f>
        <v>0.5271240148629589</v>
      </c>
      <c r="EC85" s="23">
        <f>EXP(-LN(2)/2)*EC84+(1-EXP(-LN(2)/2))/(LN(2)/2)*DW85*DZ85*VLOOKUP('Données projet'!$B$14,Paramètres!$A$1:$I$89,3,0)*0.475*44/12</f>
        <v>1.9411058027455768E-7</v>
      </c>
      <c r="ED85" s="24">
        <f t="shared" si="72"/>
        <v>7.4783962397606114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870.64268589839048</v>
      </c>
      <c r="S86" s="62">
        <f ca="1">AVERAGE(OFFSET($R$3,0,0,'Données projet'!$E$9+1,1))-AVERAGE(OFFSET($H$3,0,0,'Données projet'!$E$9+1,1))</f>
        <v>499.92116338695428</v>
      </c>
      <c r="T86" s="62">
        <f t="shared" si="88"/>
        <v>316.79403154855652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0.55189852826226915</v>
      </c>
      <c r="AB86" s="23">
        <f>EXP(-LN(2)/2)*AB85+(1-EXP(-LN(2)/2))/(LN(2)/2)*V86*Y86*VLOOKUP('Données projet'!$B$9,Paramètres!$A$1:$I$89,3,0)*0.475*44/12</f>
        <v>2.4770371919800053E-7</v>
      </c>
      <c r="AC86" s="24">
        <f t="shared" si="57"/>
        <v>0.55189877596598835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260.73147979186501</v>
      </c>
      <c r="AN86" s="62">
        <f ca="1">AVERAGE(OFFSET($AM$3,0,0,'Données projet'!$E$10+1,1))-AVERAGE(OFFSET($H$3,0,0,'Données projet'!$E$10+1,1))</f>
        <v>225.71928466161592</v>
      </c>
      <c r="AO86" s="62">
        <f t="shared" si="90"/>
        <v>385.98818770742025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211.70619219850786</v>
      </c>
      <c r="BJ86" s="62">
        <f t="shared" si="92"/>
        <v>426.883837098247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34.587715008096588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2.8026067851423994E-6</v>
      </c>
      <c r="BS86" s="24">
        <f t="shared" si="63"/>
        <v>34.587717810703374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1.9895196601282805E-13</v>
      </c>
      <c r="BZ86" s="14">
        <f>BY86*VLOOKUP('Données projet'!$B$12,Paramètres!$A$1:$I$89,3,0)*VLOOKUP('Données projet'!$B$12,Paramètres!$A$1:$I$89,5,0)</f>
        <v>1.8001173884840681E-13</v>
      </c>
      <c r="CA86" s="14">
        <f t="shared" si="93"/>
        <v>2.5254331426407198E-12</v>
      </c>
      <c r="CB86" s="22">
        <f t="shared" si="64"/>
        <v>4.7119831685935622E-12</v>
      </c>
      <c r="CC86" s="62">
        <f t="shared" si="65"/>
        <v>260.73147979186865</v>
      </c>
      <c r="CD86" s="62">
        <f ca="1">AVERAGE(OFFSET($CC$3,0,0,'Données projet'!$E$12+1,1))-AVERAGE(OFFSET($H$3,0,0,'Données projet'!$E$12+1,1))</f>
        <v>327.07074355218322</v>
      </c>
      <c r="CE86" s="62">
        <f t="shared" si="94"/>
        <v>462.01668587029087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4.8077481732172265</v>
      </c>
      <c r="CL86" s="23">
        <f>EXP(-LN(2)/25)*CL85+(1-EXP(-LN(2)/25))/(LN(2)/25)*Calculateur!CG86*Calculateur!CI86*VLOOKUP('Données projet'!$B$12,Paramètres!$A$1:$I$89,3,0)*0.475*44/12</f>
        <v>0.72145452861934178</v>
      </c>
      <c r="CM86" s="23">
        <f>EXP(-LN(2)/2)*CM85+(1-EXP(-LN(2)/2))/(LN(2)/2)*CG86*CJ86*VLOOKUP('Données projet'!$B$12,Paramètres!$A$1:$I$89,3,0)*0.475*44/12</f>
        <v>6.2115079514839153E-12</v>
      </c>
      <c r="CN86" s="24">
        <f t="shared" si="66"/>
        <v>5.5292027018427801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>
        <f>CT86*VLOOKUP('Données projet'!$B$13,Paramètres!$A$1:$I$89,3,0)*VLOOKUP('Données projet'!$B$13,Paramètres!$A$1:$I$89,5,0)</f>
        <v>0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93.836028041880496</v>
      </c>
      <c r="CZ86" s="62">
        <f t="shared" si="96"/>
        <v>465.96044964631358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28.224543600931312</v>
      </c>
      <c r="DG86" s="23">
        <f>EXP(-LN(2)/25)*DG85+(1-EXP(-LN(2)/25))/(LN(2)/25)*Calculateur!DB86*Calculateur!DD86*VLOOKUP('Données projet'!$B$13,Paramètres!$A$1:$I$89,3,0)*0.475*44/12</f>
        <v>4.1666877250544445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32.391231325985757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-3.4106051316484809E-13</v>
      </c>
      <c r="DP86" s="18">
        <f>DO86*VLOOKUP('Données projet'!$B$14,Paramètres!$A$1:$I$89,3,0)*VLOOKUP('Données projet'!$B$14,Paramètres!$A$1:$I$89,5,0)</f>
        <v>-2.0395418687257919E-13</v>
      </c>
      <c r="DQ86" s="14" t="e">
        <f t="shared" si="97"/>
        <v>#NUM!</v>
      </c>
      <c r="DR86" s="22" t="e">
        <f t="shared" si="70"/>
        <v>#NUM!</v>
      </c>
      <c r="DS86" s="62" t="e">
        <f t="shared" si="71"/>
        <v>#NUM!</v>
      </c>
      <c r="DT86" s="62">
        <f ca="1">AVERAGE(OFFSET($DS$3,0,0,'Données projet'!$E$14+1,1))-AVERAGE(OFFSET($H$3,0,0,'Données projet'!$E$14+1,1))</f>
        <v>386.56102661082468</v>
      </c>
      <c r="DU86" s="62">
        <f t="shared" si="98"/>
        <v>410.28336627719011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6.8149618261206255</v>
      </c>
      <c r="EB86" s="23">
        <f>EXP(-LN(2)/25)*EB85+(1-EXP(-LN(2)/25))/(LN(2)/25)*Calculateur!DW86*Calculateur!DY86*VLOOKUP('Données projet'!$B$14,Paramètres!$A$1:$I$89,3,0)*0.475*44/12</f>
        <v>0.51270978095628406</v>
      </c>
      <c r="EC86" s="23">
        <f>EXP(-LN(2)/2)*EC85+(1-EXP(-LN(2)/2))/(LN(2)/2)*DW86*DZ86*VLOOKUP('Données projet'!$B$14,Paramètres!$A$1:$I$89,3,0)*0.475*44/12</f>
        <v>1.3725690761219542E-7</v>
      </c>
      <c r="ED86" s="24">
        <f t="shared" si="72"/>
        <v>7.3276717443338164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884.183336643448</v>
      </c>
      <c r="S87" s="62">
        <f ca="1">AVERAGE(OFFSET($R$3,0,0,'Données projet'!$E$9+1,1))-AVERAGE(OFFSET($H$3,0,0,'Données projet'!$E$9+1,1))</f>
        <v>499.92116338695428</v>
      </c>
      <c r="T87" s="62">
        <f t="shared" si="88"/>
        <v>316.79403154855652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0.5368068339838552</v>
      </c>
      <c r="AB87" s="23">
        <f>EXP(-LN(2)/2)*AB86+(1-EXP(-LN(2)/2))/(LN(2)/2)*V87*Y87*VLOOKUP('Données projet'!$B$9,Paramètres!$A$1:$I$89,3,0)*0.475*44/12</f>
        <v>1.7515297957003458E-7</v>
      </c>
      <c r="AC87" s="24">
        <f t="shared" si="57"/>
        <v>0.53680700913683477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261.29704906398422</v>
      </c>
      <c r="AN87" s="62">
        <f ca="1">AVERAGE(OFFSET($AM$3,0,0,'Données projet'!$E$10+1,1))-AVERAGE(OFFSET($H$3,0,0,'Données projet'!$E$10+1,1))</f>
        <v>225.71928466161592</v>
      </c>
      <c r="AO87" s="62">
        <f t="shared" si="90"/>
        <v>385.98818770742025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211.70619219850786</v>
      </c>
      <c r="BJ87" s="62">
        <f t="shared" si="92"/>
        <v>426.883837098247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33.909471013210869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1.98174226277362E-6</v>
      </c>
      <c r="BS87" s="24">
        <f t="shared" si="63"/>
        <v>33.909472994953134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1.9895196601282805E-13</v>
      </c>
      <c r="BZ87" s="14">
        <f>BY87*VLOOKUP('Données projet'!$B$12,Paramètres!$A$1:$I$89,3,0)*VLOOKUP('Données projet'!$B$12,Paramètres!$A$1:$I$89,5,0)</f>
        <v>1.8001173884840681E-13</v>
      </c>
      <c r="CA87" s="14">
        <f t="shared" si="93"/>
        <v>2.5254331426407198E-12</v>
      </c>
      <c r="CB87" s="22">
        <f t="shared" si="64"/>
        <v>4.7119831685935622E-12</v>
      </c>
      <c r="CC87" s="62">
        <f t="shared" si="65"/>
        <v>261.29704906398786</v>
      </c>
      <c r="CD87" s="62">
        <f ca="1">AVERAGE(OFFSET($CC$3,0,0,'Données projet'!$E$12+1,1))-AVERAGE(OFFSET($H$3,0,0,'Données projet'!$E$12+1,1))</f>
        <v>327.07074355218322</v>
      </c>
      <c r="CE87" s="62">
        <f t="shared" si="94"/>
        <v>462.01668587029087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4.7134711639772684</v>
      </c>
      <c r="CL87" s="23">
        <f>EXP(-LN(2)/25)*CL86+(1-EXP(-LN(2)/25))/(LN(2)/25)*Calculateur!CG87*Calculateur!CI87*VLOOKUP('Données projet'!$B$12,Paramètres!$A$1:$I$89,3,0)*0.475*44/12</f>
        <v>0.70172631659460116</v>
      </c>
      <c r="CM87" s="23">
        <f>EXP(-LN(2)/2)*CM86+(1-EXP(-LN(2)/2))/(LN(2)/2)*CG87*CJ87*VLOOKUP('Données projet'!$B$12,Paramètres!$A$1:$I$89,3,0)*0.475*44/12</f>
        <v>4.3921993938884369E-12</v>
      </c>
      <c r="CN87" s="24">
        <f t="shared" si="66"/>
        <v>5.4151974805762615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>
        <f>CT87*VLOOKUP('Données projet'!$B$13,Paramètres!$A$1:$I$89,3,0)*VLOOKUP('Données projet'!$B$13,Paramètres!$A$1:$I$89,5,0)</f>
        <v>0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93.836028041880496</v>
      </c>
      <c r="CZ87" s="62">
        <f t="shared" si="96"/>
        <v>465.96044964631358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27.671077516188777</v>
      </c>
      <c r="DG87" s="23">
        <f>EXP(-LN(2)/25)*DG86+(1-EXP(-LN(2)/25))/(LN(2)/25)*Calculateur!DB87*Calculateur!DD87*VLOOKUP('Données projet'!$B$13,Paramètres!$A$1:$I$89,3,0)*0.475*44/12</f>
        <v>4.0527494300962461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31.723826946285023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-3.4106051316484809E-13</v>
      </c>
      <c r="DP87" s="18">
        <f>DO87*VLOOKUP('Données projet'!$B$14,Paramètres!$A$1:$I$89,3,0)*VLOOKUP('Données projet'!$B$14,Paramètres!$A$1:$I$89,5,0)</f>
        <v>-2.0395418687257919E-13</v>
      </c>
      <c r="DQ87" s="14" t="e">
        <f t="shared" si="97"/>
        <v>#NUM!</v>
      </c>
      <c r="DR87" s="22" t="e">
        <f t="shared" si="70"/>
        <v>#NUM!</v>
      </c>
      <c r="DS87" s="62" t="e">
        <f t="shared" si="71"/>
        <v>#NUM!</v>
      </c>
      <c r="DT87" s="62">
        <f ca="1">AVERAGE(OFFSET($DS$3,0,0,'Données projet'!$E$14+1,1))-AVERAGE(OFFSET($H$3,0,0,'Données projet'!$E$14+1,1))</f>
        <v>386.56102661082468</v>
      </c>
      <c r="DU87" s="62">
        <f t="shared" si="98"/>
        <v>410.28336627719011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6.6813245814266722</v>
      </c>
      <c r="EB87" s="23">
        <f>EXP(-LN(2)/25)*EB86+(1-EXP(-LN(2)/25))/(LN(2)/25)*Calculateur!DW87*Calculateur!DY87*VLOOKUP('Données projet'!$B$14,Paramètres!$A$1:$I$89,3,0)*0.475*44/12</f>
        <v>0.49868970503379889</v>
      </c>
      <c r="EC87" s="23">
        <f>EXP(-LN(2)/2)*EC86+(1-EXP(-LN(2)/2))/(LN(2)/2)*DW87*DZ87*VLOOKUP('Données projet'!$B$14,Paramètres!$A$1:$I$89,3,0)*0.475*44/12</f>
        <v>9.7055290137278839E-8</v>
      </c>
      <c r="ED87" s="24">
        <f t="shared" si="72"/>
        <v>7.1800143835157613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897.70858029930787</v>
      </c>
      <c r="S88" s="62">
        <f ca="1">AVERAGE(OFFSET($R$3,0,0,'Données projet'!$E$9+1,1))-AVERAGE(OFFSET($H$3,0,0,'Données projet'!$E$9+1,1))</f>
        <v>499.92116338695428</v>
      </c>
      <c r="T88" s="62">
        <f t="shared" si="88"/>
        <v>316.79403154855652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0.52212782287912218</v>
      </c>
      <c r="AB88" s="23">
        <f>EXP(-LN(2)/2)*AB87+(1-EXP(-LN(2)/2))/(LN(2)/2)*V88*Y88*VLOOKUP('Données projet'!$B$9,Paramètres!$A$1:$I$89,3,0)*0.475*44/12</f>
        <v>1.2385185959900027E-7</v>
      </c>
      <c r="AC88" s="24">
        <f t="shared" si="57"/>
        <v>0.52212794673098173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261.85280697365567</v>
      </c>
      <c r="AN88" s="62">
        <f ca="1">AVERAGE(OFFSET($AM$3,0,0,'Données projet'!$E$10+1,1))-AVERAGE(OFFSET($H$3,0,0,'Données projet'!$E$10+1,1))</f>
        <v>225.71928466161592</v>
      </c>
      <c r="AO88" s="62">
        <f t="shared" si="90"/>
        <v>385.98818770742025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211.70619219850786</v>
      </c>
      <c r="BJ88" s="62">
        <f t="shared" si="92"/>
        <v>426.883837098247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33.244526969376871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1.4013033925711997E-6</v>
      </c>
      <c r="BS88" s="24">
        <f t="shared" si="63"/>
        <v>33.244528370680264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1.9895196601282805E-13</v>
      </c>
      <c r="BZ88" s="14">
        <f>BY88*VLOOKUP('Données projet'!$B$12,Paramètres!$A$1:$I$89,3,0)*VLOOKUP('Données projet'!$B$12,Paramètres!$A$1:$I$89,5,0)</f>
        <v>1.8001173884840681E-13</v>
      </c>
      <c r="CA88" s="14">
        <f t="shared" si="93"/>
        <v>2.5254331426407198E-12</v>
      </c>
      <c r="CB88" s="22">
        <f t="shared" si="64"/>
        <v>4.7119831685935622E-12</v>
      </c>
      <c r="CC88" s="62">
        <f t="shared" si="65"/>
        <v>261.85280697365931</v>
      </c>
      <c r="CD88" s="62">
        <f ca="1">AVERAGE(OFFSET($CC$3,0,0,'Données projet'!$E$12+1,1))-AVERAGE(OFFSET($H$3,0,0,'Données projet'!$E$12+1,1))</f>
        <v>327.07074355218322</v>
      </c>
      <c r="CE88" s="62">
        <f t="shared" si="94"/>
        <v>462.01668587029087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4.6210428693852084</v>
      </c>
      <c r="CL88" s="23">
        <f>EXP(-LN(2)/25)*CL87+(1-EXP(-LN(2)/25))/(LN(2)/25)*Calculateur!CG88*Calculateur!CI88*VLOOKUP('Données projet'!$B$12,Paramètres!$A$1:$I$89,3,0)*0.475*44/12</f>
        <v>0.68253757356513867</v>
      </c>
      <c r="CM88" s="23">
        <f>EXP(-LN(2)/2)*CM87+(1-EXP(-LN(2)/2))/(LN(2)/2)*CG88*CJ88*VLOOKUP('Données projet'!$B$12,Paramètres!$A$1:$I$89,3,0)*0.475*44/12</f>
        <v>3.1057539757419576E-12</v>
      </c>
      <c r="CN88" s="24">
        <f t="shared" si="66"/>
        <v>5.3035804429534528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>
        <f>CT88*VLOOKUP('Données projet'!$B$13,Paramètres!$A$1:$I$89,3,0)*VLOOKUP('Données projet'!$B$13,Paramètres!$A$1:$I$89,5,0)</f>
        <v>0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93.836028041880496</v>
      </c>
      <c r="CZ88" s="62">
        <f t="shared" si="96"/>
        <v>465.96044964631358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27.128464563787066</v>
      </c>
      <c r="DG88" s="23">
        <f>EXP(-LN(2)/25)*DG87+(1-EXP(-LN(2)/25))/(LN(2)/25)*Calculateur!DB88*Calculateur!DD88*VLOOKUP('Données projet'!$B$13,Paramètres!$A$1:$I$89,3,0)*0.475*44/12</f>
        <v>3.9419267838054344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31.070391347592501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-3.4106051316484809E-13</v>
      </c>
      <c r="DP88" s="18">
        <f>DO88*VLOOKUP('Données projet'!$B$14,Paramètres!$A$1:$I$89,3,0)*VLOOKUP('Données projet'!$B$14,Paramètres!$A$1:$I$89,5,0)</f>
        <v>-2.0395418687257919E-13</v>
      </c>
      <c r="DQ88" s="14" t="e">
        <f t="shared" si="97"/>
        <v>#NUM!</v>
      </c>
      <c r="DR88" s="22" t="e">
        <f t="shared" si="70"/>
        <v>#NUM!</v>
      </c>
      <c r="DS88" s="62" t="e">
        <f t="shared" si="71"/>
        <v>#NUM!</v>
      </c>
      <c r="DT88" s="62">
        <f ca="1">AVERAGE(OFFSET($DS$3,0,0,'Données projet'!$E$14+1,1))-AVERAGE(OFFSET($H$3,0,0,'Données projet'!$E$14+1,1))</f>
        <v>386.56102661082468</v>
      </c>
      <c r="DU88" s="62">
        <f t="shared" si="98"/>
        <v>410.28336627719011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6.5503078815904967</v>
      </c>
      <c r="EB88" s="23">
        <f>EXP(-LN(2)/25)*EB87+(1-EXP(-LN(2)/25))/(LN(2)/25)*Calculateur!DW88*Calculateur!DY88*VLOOKUP('Données projet'!$B$14,Paramètres!$A$1:$I$89,3,0)*0.475*44/12</f>
        <v>0.48505300882469782</v>
      </c>
      <c r="EC88" s="23">
        <f>EXP(-LN(2)/2)*EC87+(1-EXP(-LN(2)/2))/(LN(2)/2)*DW88*DZ88*VLOOKUP('Données projet'!$B$14,Paramètres!$A$1:$I$89,3,0)*0.475*44/12</f>
        <v>6.8628453806097711E-8</v>
      </c>
      <c r="ED88" s="24">
        <f t="shared" si="72"/>
        <v>7.0353609590436488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857.03797904577027</v>
      </c>
      <c r="S89" s="62">
        <f ca="1">AVERAGE(OFFSET($R$3,0,0,'Données projet'!$E$9+1,1))-AVERAGE(OFFSET($H$3,0,0,'Données projet'!$E$9+1,1))</f>
        <v>499.92116338695428</v>
      </c>
      <c r="T89" s="62">
        <f t="shared" si="88"/>
        <v>316.79403154855652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0.50785021010498377</v>
      </c>
      <c r="AB89" s="23">
        <f>EXP(-LN(2)/2)*AB88+(1-EXP(-LN(2)/2))/(LN(2)/2)*V89*Y89*VLOOKUP('Données projet'!$B$9,Paramètres!$A$1:$I$89,3,0)*0.475*44/12</f>
        <v>8.7576489785017288E-8</v>
      </c>
      <c r="AC89" s="24">
        <f t="shared" si="57"/>
        <v>0.50785029768147361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262.39892372608278</v>
      </c>
      <c r="AN89" s="62">
        <f ca="1">AVERAGE(OFFSET($AM$3,0,0,'Données projet'!$E$10+1,1))-AVERAGE(OFFSET($H$3,0,0,'Données projet'!$E$10+1,1))</f>
        <v>225.71928466161592</v>
      </c>
      <c r="AO89" s="62">
        <f t="shared" si="90"/>
        <v>385.98818770742025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211.70619219850786</v>
      </c>
      <c r="BJ89" s="62">
        <f t="shared" si="92"/>
        <v>426.883837098247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32.592622072666636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9.9087113138680999E-7</v>
      </c>
      <c r="BS89" s="24">
        <f t="shared" si="63"/>
        <v>32.592623063537765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1.9895196601282805E-13</v>
      </c>
      <c r="BZ89" s="14">
        <f>BY89*VLOOKUP('Données projet'!$B$12,Paramètres!$A$1:$I$89,3,0)*VLOOKUP('Données projet'!$B$12,Paramètres!$A$1:$I$89,5,0)</f>
        <v>1.8001173884840681E-13</v>
      </c>
      <c r="CA89" s="14">
        <f t="shared" si="93"/>
        <v>2.5254331426407198E-12</v>
      </c>
      <c r="CB89" s="22">
        <f t="shared" si="64"/>
        <v>4.7119831685935622E-12</v>
      </c>
      <c r="CC89" s="62">
        <f t="shared" si="65"/>
        <v>262.39892372608642</v>
      </c>
      <c r="CD89" s="62">
        <f ca="1">AVERAGE(OFFSET($CC$3,0,0,'Données projet'!$E$12+1,1))-AVERAGE(OFFSET($H$3,0,0,'Données projet'!$E$12+1,1))</f>
        <v>327.07074355218322</v>
      </c>
      <c r="CE89" s="62">
        <f t="shared" si="94"/>
        <v>462.01668587029087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4.5304270372744053</v>
      </c>
      <c r="CL89" s="23">
        <f>EXP(-LN(2)/25)*CL88+(1-EXP(-LN(2)/25))/(LN(2)/25)*Calculateur!CG89*Calculateur!CI89*VLOOKUP('Données projet'!$B$12,Paramètres!$A$1:$I$89,3,0)*0.475*44/12</f>
        <v>0.66387354772290896</v>
      </c>
      <c r="CM89" s="23">
        <f>EXP(-LN(2)/2)*CM88+(1-EXP(-LN(2)/2))/(LN(2)/2)*CG89*CJ89*VLOOKUP('Données projet'!$B$12,Paramètres!$A$1:$I$89,3,0)*0.475*44/12</f>
        <v>2.1960996969442184E-12</v>
      </c>
      <c r="CN89" s="24">
        <f t="shared" si="66"/>
        <v>5.1943005849995112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>
        <f>CT89*VLOOKUP('Données projet'!$B$13,Paramètres!$A$1:$I$89,3,0)*VLOOKUP('Données projet'!$B$13,Paramètres!$A$1:$I$89,5,0)</f>
        <v>0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93.836028041880496</v>
      </c>
      <c r="CZ89" s="62">
        <f t="shared" si="96"/>
        <v>465.96044964631358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26.596491920420732</v>
      </c>
      <c r="DG89" s="23">
        <f>EXP(-LN(2)/25)*DG88+(1-EXP(-LN(2)/25))/(LN(2)/25)*Calculateur!DB89*Calculateur!DD89*VLOOKUP('Données projet'!$B$13,Paramètres!$A$1:$I$89,3,0)*0.475*44/12</f>
        <v>3.8341345886053544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30.430626509026087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-3.4106051316484809E-13</v>
      </c>
      <c r="DP89" s="18">
        <f>DO89*VLOOKUP('Données projet'!$B$14,Paramètres!$A$1:$I$89,3,0)*VLOOKUP('Données projet'!$B$14,Paramètres!$A$1:$I$89,5,0)</f>
        <v>-2.0395418687257919E-13</v>
      </c>
      <c r="DQ89" s="14" t="e">
        <f t="shared" si="97"/>
        <v>#NUM!</v>
      </c>
      <c r="DR89" s="22" t="e">
        <f t="shared" si="70"/>
        <v>#NUM!</v>
      </c>
      <c r="DS89" s="62" t="e">
        <f t="shared" si="71"/>
        <v>#NUM!</v>
      </c>
      <c r="DT89" s="62">
        <f ca="1">AVERAGE(OFFSET($DS$3,0,0,'Données projet'!$E$14+1,1))-AVERAGE(OFFSET($H$3,0,0,'Données projet'!$E$14+1,1))</f>
        <v>386.56102661082468</v>
      </c>
      <c r="DU89" s="62">
        <f t="shared" si="98"/>
        <v>410.28336627719011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6.4218603393258125</v>
      </c>
      <c r="EB89" s="23">
        <f>EXP(-LN(2)/25)*EB88+(1-EXP(-LN(2)/25))/(LN(2)/25)*Calculateur!DW89*Calculateur!DY89*VLOOKUP('Données projet'!$B$14,Paramètres!$A$1:$I$89,3,0)*0.475*44/12</f>
        <v>0.4717892087905573</v>
      </c>
      <c r="EC89" s="23">
        <f>EXP(-LN(2)/2)*EC88+(1-EXP(-LN(2)/2))/(LN(2)/2)*DW89*DZ89*VLOOKUP('Données projet'!$B$14,Paramètres!$A$1:$I$89,3,0)*0.475*44/12</f>
        <v>4.852764506863942E-8</v>
      </c>
      <c r="ED89" s="24">
        <f t="shared" si="72"/>
        <v>6.893649596644015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869.79298449827206</v>
      </c>
      <c r="S90" s="62">
        <f ca="1">AVERAGE(OFFSET($R$3,0,0,'Données projet'!$E$9+1,1))-AVERAGE(OFFSET($H$3,0,0,'Données projet'!$E$9+1,1))</f>
        <v>499.92116338695428</v>
      </c>
      <c r="T90" s="62">
        <f t="shared" si="88"/>
        <v>316.79403154855652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0.49396301940298115</v>
      </c>
      <c r="AB90" s="23">
        <f>EXP(-LN(2)/2)*AB89+(1-EXP(-LN(2)/2))/(LN(2)/2)*V90*Y90*VLOOKUP('Données projet'!$B$9,Paramètres!$A$1:$I$89,3,0)*0.475*44/12</f>
        <v>6.1925929799500134E-8</v>
      </c>
      <c r="AC90" s="24">
        <f t="shared" si="57"/>
        <v>0.49396308132891092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262.93556657378952</v>
      </c>
      <c r="AN90" s="62">
        <f ca="1">AVERAGE(OFFSET($AM$3,0,0,'Données projet'!$E$10+1,1))-AVERAGE(OFFSET($H$3,0,0,'Données projet'!$E$10+1,1))</f>
        <v>225.71928466161592</v>
      </c>
      <c r="AO90" s="62">
        <f t="shared" si="90"/>
        <v>385.98818770742025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211.70619219850786</v>
      </c>
      <c r="BJ90" s="62">
        <f t="shared" si="92"/>
        <v>426.883837098247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31.953500633358168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7.0065169628559984E-7</v>
      </c>
      <c r="BS90" s="24">
        <f t="shared" si="63"/>
        <v>31.953501334009864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1.9895196601282805E-13</v>
      </c>
      <c r="BZ90" s="14">
        <f>BY90*VLOOKUP('Données projet'!$B$12,Paramètres!$A$1:$I$89,3,0)*VLOOKUP('Données projet'!$B$12,Paramètres!$A$1:$I$89,5,0)</f>
        <v>1.8001173884840681E-13</v>
      </c>
      <c r="CA90" s="14">
        <f t="shared" si="93"/>
        <v>2.5254331426407198E-12</v>
      </c>
      <c r="CB90" s="22">
        <f t="shared" si="64"/>
        <v>4.7119831685935622E-12</v>
      </c>
      <c r="CC90" s="62">
        <f t="shared" si="65"/>
        <v>262.93556657379315</v>
      </c>
      <c r="CD90" s="62">
        <f ca="1">AVERAGE(OFFSET($CC$3,0,0,'Données projet'!$E$12+1,1))-AVERAGE(OFFSET($H$3,0,0,'Données projet'!$E$12+1,1))</f>
        <v>327.07074355218322</v>
      </c>
      <c r="CE90" s="62">
        <f t="shared" si="94"/>
        <v>462.01668587029087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4.4415881263610952</v>
      </c>
      <c r="CL90" s="23">
        <f>EXP(-LN(2)/25)*CL89+(1-EXP(-LN(2)/25))/(LN(2)/25)*Calculateur!CG90*Calculateur!CI90*VLOOKUP('Données projet'!$B$12,Paramètres!$A$1:$I$89,3,0)*0.475*44/12</f>
        <v>0.64571989064883339</v>
      </c>
      <c r="CM90" s="23">
        <f>EXP(-LN(2)/2)*CM89+(1-EXP(-LN(2)/2))/(LN(2)/2)*CG90*CJ90*VLOOKUP('Données projet'!$B$12,Paramètres!$A$1:$I$89,3,0)*0.475*44/12</f>
        <v>1.5528769878709788E-12</v>
      </c>
      <c r="CN90" s="24">
        <f t="shared" si="66"/>
        <v>5.0873080170114813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>
        <f>CT90*VLOOKUP('Données projet'!$B$13,Paramètres!$A$1:$I$89,3,0)*VLOOKUP('Données projet'!$B$13,Paramètres!$A$1:$I$89,5,0)</f>
        <v>0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93.836028041880496</v>
      </c>
      <c r="CZ90" s="62">
        <f t="shared" si="96"/>
        <v>465.96044964631358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26.074950936119539</v>
      </c>
      <c r="DG90" s="23">
        <f>EXP(-LN(2)/25)*DG89+(1-EXP(-LN(2)/25))/(LN(2)/25)*Calculateur!DB90*Calculateur!DD90*VLOOKUP('Données projet'!$B$13,Paramètres!$A$1:$I$89,3,0)*0.475*44/12</f>
        <v>3.7292899766515659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29.804240912771103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-3.4106051316484809E-13</v>
      </c>
      <c r="DP90" s="18">
        <f>DO90*VLOOKUP('Données projet'!$B$14,Paramètres!$A$1:$I$89,3,0)*VLOOKUP('Données projet'!$B$14,Paramètres!$A$1:$I$89,5,0)</f>
        <v>-2.0395418687257919E-13</v>
      </c>
      <c r="DQ90" s="14" t="e">
        <f t="shared" si="97"/>
        <v>#NUM!</v>
      </c>
      <c r="DR90" s="22" t="e">
        <f t="shared" si="70"/>
        <v>#NUM!</v>
      </c>
      <c r="DS90" s="62" t="e">
        <f t="shared" si="71"/>
        <v>#NUM!</v>
      </c>
      <c r="DT90" s="62">
        <f ca="1">AVERAGE(OFFSET($DS$3,0,0,'Données projet'!$E$14+1,1))-AVERAGE(OFFSET($H$3,0,0,'Données projet'!$E$14+1,1))</f>
        <v>386.56102661082468</v>
      </c>
      <c r="DU90" s="62">
        <f t="shared" si="98"/>
        <v>410.28336627719011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6.295931575019674</v>
      </c>
      <c r="EB90" s="23">
        <f>EXP(-LN(2)/25)*EB89+(1-EXP(-LN(2)/25))/(LN(2)/25)*Calculateur!DW90*Calculateur!DY90*VLOOKUP('Données projet'!$B$14,Paramètres!$A$1:$I$89,3,0)*0.475*44/12</f>
        <v>0.45888810806586333</v>
      </c>
      <c r="EC90" s="23">
        <f>EXP(-LN(2)/2)*EC89+(1-EXP(-LN(2)/2))/(LN(2)/2)*DW90*DZ90*VLOOKUP('Données projet'!$B$14,Paramètres!$A$1:$I$89,3,0)*0.475*44/12</f>
        <v>3.4314226903048855E-8</v>
      </c>
      <c r="ED90" s="24">
        <f t="shared" si="72"/>
        <v>6.7548197173997648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882.53357386491405</v>
      </c>
      <c r="S91" s="62">
        <f ca="1">AVERAGE(OFFSET($R$3,0,0,'Données projet'!$E$9+1,1))-AVERAGE(OFFSET($H$3,0,0,'Données projet'!$E$9+1,1))</f>
        <v>499.92116338695428</v>
      </c>
      <c r="T91" s="62">
        <f t="shared" si="88"/>
        <v>316.79403154855652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0.4804555746610204</v>
      </c>
      <c r="AB91" s="23">
        <f>EXP(-LN(2)/2)*AB90+(1-EXP(-LN(2)/2))/(LN(2)/2)*V91*Y91*VLOOKUP('Données projet'!$B$9,Paramètres!$A$1:$I$89,3,0)*0.475*44/12</f>
        <v>4.3788244892508644E-8</v>
      </c>
      <c r="AC91" s="24">
        <f t="shared" si="57"/>
        <v>0.48045561844926532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263.46289986784217</v>
      </c>
      <c r="AN91" s="62">
        <f ca="1">AVERAGE(OFFSET($AM$3,0,0,'Données projet'!$E$10+1,1))-AVERAGE(OFFSET($H$3,0,0,'Données projet'!$E$10+1,1))</f>
        <v>225.71928466161592</v>
      </c>
      <c r="AO91" s="62">
        <f t="shared" si="90"/>
        <v>385.98818770742025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211.70619219850786</v>
      </c>
      <c r="BJ91" s="62">
        <f t="shared" si="92"/>
        <v>426.883837098247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31.326911975648951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4.9543556569340499E-7</v>
      </c>
      <c r="BS91" s="24">
        <f t="shared" si="63"/>
        <v>31.326912471084515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1.9895196601282805E-13</v>
      </c>
      <c r="BZ91" s="14">
        <f>BY91*VLOOKUP('Données projet'!$B$12,Paramètres!$A$1:$I$89,3,0)*VLOOKUP('Données projet'!$B$12,Paramètres!$A$1:$I$89,5,0)</f>
        <v>1.8001173884840681E-13</v>
      </c>
      <c r="CA91" s="14">
        <f t="shared" si="93"/>
        <v>2.5254331426407198E-12</v>
      </c>
      <c r="CB91" s="22">
        <f t="shared" si="64"/>
        <v>4.7119831685935622E-12</v>
      </c>
      <c r="CC91" s="62">
        <f t="shared" si="65"/>
        <v>263.46289986784581</v>
      </c>
      <c r="CD91" s="62">
        <f ca="1">AVERAGE(OFFSET($CC$3,0,0,'Données projet'!$E$12+1,1))-AVERAGE(OFFSET($H$3,0,0,'Données projet'!$E$12+1,1))</f>
        <v>327.07074355218322</v>
      </c>
      <c r="CE91" s="62">
        <f t="shared" si="94"/>
        <v>462.01668587029087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4.3544912923044095</v>
      </c>
      <c r="CL91" s="23">
        <f>EXP(-LN(2)/25)*CL90+(1-EXP(-LN(2)/25))/(LN(2)/25)*Calculateur!CG91*Calculateur!CI91*VLOOKUP('Données projet'!$B$12,Paramètres!$A$1:$I$89,3,0)*0.475*44/12</f>
        <v>0.62806264628210784</v>
      </c>
      <c r="CM91" s="23">
        <f>EXP(-LN(2)/2)*CM90+(1-EXP(-LN(2)/2))/(LN(2)/2)*CG91*CJ91*VLOOKUP('Données projet'!$B$12,Paramètres!$A$1:$I$89,3,0)*0.475*44/12</f>
        <v>1.0980498484721092E-12</v>
      </c>
      <c r="CN91" s="24">
        <f t="shared" si="66"/>
        <v>4.982553938587615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>
        <f>CT91*VLOOKUP('Données projet'!$B$13,Paramètres!$A$1:$I$89,3,0)*VLOOKUP('Données projet'!$B$13,Paramètres!$A$1:$I$89,5,0)</f>
        <v>0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93.836028041880496</v>
      </c>
      <c r="CZ91" s="62">
        <f t="shared" si="96"/>
        <v>465.96044964631358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25.563637052411902</v>
      </c>
      <c r="DG91" s="23">
        <f>EXP(-LN(2)/25)*DG90+(1-EXP(-LN(2)/25))/(LN(2)/25)*Calculateur!DB91*Calculateur!DD91*VLOOKUP('Données projet'!$B$13,Paramètres!$A$1:$I$89,3,0)*0.475*44/12</f>
        <v>3.6273123461251924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29.190949398537093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-3.4106051316484809E-13</v>
      </c>
      <c r="DP91" s="18">
        <f>DO91*VLOOKUP('Données projet'!$B$14,Paramètres!$A$1:$I$89,3,0)*VLOOKUP('Données projet'!$B$14,Paramètres!$A$1:$I$89,5,0)</f>
        <v>-2.0395418687257919E-13</v>
      </c>
      <c r="DQ91" s="14" t="e">
        <f t="shared" si="97"/>
        <v>#NUM!</v>
      </c>
      <c r="DR91" s="22" t="e">
        <f t="shared" si="70"/>
        <v>#NUM!</v>
      </c>
      <c r="DS91" s="62" t="e">
        <f t="shared" si="71"/>
        <v>#NUM!</v>
      </c>
      <c r="DT91" s="62">
        <f ca="1">AVERAGE(OFFSET($DS$3,0,0,'Données projet'!$E$14+1,1))-AVERAGE(OFFSET($H$3,0,0,'Données projet'!$E$14+1,1))</f>
        <v>386.56102661082468</v>
      </c>
      <c r="DU91" s="62">
        <f t="shared" si="98"/>
        <v>410.28336627719011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6.1724721969726168</v>
      </c>
      <c r="EB91" s="23">
        <f>EXP(-LN(2)/25)*EB90+(1-EXP(-LN(2)/25))/(LN(2)/25)*Calculateur!DW91*Calculateur!DY91*VLOOKUP('Données projet'!$B$14,Paramètres!$A$1:$I$89,3,0)*0.475*44/12</f>
        <v>0.44633978861892548</v>
      </c>
      <c r="EC91" s="23">
        <f>EXP(-LN(2)/2)*EC90+(1-EXP(-LN(2)/2))/(LN(2)/2)*DW91*DZ91*VLOOKUP('Données projet'!$B$14,Paramètres!$A$1:$I$89,3,0)*0.475*44/12</f>
        <v>2.426382253431971E-8</v>
      </c>
      <c r="ED91" s="24">
        <f t="shared" si="72"/>
        <v>6.6188120098553656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895.26002355153128</v>
      </c>
      <c r="S92" s="62">
        <f ca="1">AVERAGE(OFFSET($R$3,0,0,'Données projet'!$E$9+1,1))-AVERAGE(OFFSET($H$3,0,0,'Données projet'!$E$9+1,1))</f>
        <v>499.92116338695428</v>
      </c>
      <c r="T92" s="62">
        <f t="shared" si="88"/>
        <v>316.79403154855652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0.46731749170585424</v>
      </c>
      <c r="AB92" s="23">
        <f>EXP(-LN(2)/2)*AB91+(1-EXP(-LN(2)/2))/(LN(2)/2)*V92*Y92*VLOOKUP('Données projet'!$B$9,Paramètres!$A$1:$I$89,3,0)*0.475*44/12</f>
        <v>3.0962964899750067E-8</v>
      </c>
      <c r="AC92" s="24">
        <f t="shared" si="57"/>
        <v>0.46731752266881915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263.98108510818361</v>
      </c>
      <c r="AN92" s="62">
        <f ca="1">AVERAGE(OFFSET($AM$3,0,0,'Données projet'!$E$10+1,1))-AVERAGE(OFFSET($H$3,0,0,'Données projet'!$E$10+1,1))</f>
        <v>225.71928466161592</v>
      </c>
      <c r="AO92" s="62">
        <f t="shared" si="90"/>
        <v>385.98818770742025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211.70619219850786</v>
      </c>
      <c r="BJ92" s="62">
        <f t="shared" si="92"/>
        <v>426.883837098247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30.712610339336067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3.5032584814279992E-7</v>
      </c>
      <c r="BS92" s="24">
        <f t="shared" si="63"/>
        <v>30.712610689661915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1.9895196601282805E-13</v>
      </c>
      <c r="BZ92" s="14">
        <f>BY92*VLOOKUP('Données projet'!$B$12,Paramètres!$A$1:$I$89,3,0)*VLOOKUP('Données projet'!$B$12,Paramètres!$A$1:$I$89,5,0)</f>
        <v>1.8001173884840681E-13</v>
      </c>
      <c r="CA92" s="14">
        <f t="shared" si="93"/>
        <v>2.5254331426407198E-12</v>
      </c>
      <c r="CB92" s="22">
        <f t="shared" si="64"/>
        <v>4.7119831685935622E-12</v>
      </c>
      <c r="CC92" s="62">
        <f t="shared" si="65"/>
        <v>263.98108510818724</v>
      </c>
      <c r="CD92" s="62">
        <f ca="1">AVERAGE(OFFSET($CC$3,0,0,'Données projet'!$E$12+1,1))-AVERAGE(OFFSET($H$3,0,0,'Données projet'!$E$12+1,1))</f>
        <v>327.07074355218322</v>
      </c>
      <c r="CE92" s="62">
        <f t="shared" si="94"/>
        <v>462.01668587029087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4.2691023740397522</v>
      </c>
      <c r="CL92" s="23">
        <f>EXP(-LN(2)/25)*CL91+(1-EXP(-LN(2)/25))/(LN(2)/25)*Calculateur!CG92*Calculateur!CI92*VLOOKUP('Données projet'!$B$12,Paramètres!$A$1:$I$89,3,0)*0.475*44/12</f>
        <v>0.61088824019114452</v>
      </c>
      <c r="CM92" s="23">
        <f>EXP(-LN(2)/2)*CM91+(1-EXP(-LN(2)/2))/(LN(2)/2)*CG92*CJ92*VLOOKUP('Données projet'!$B$12,Paramètres!$A$1:$I$89,3,0)*0.475*44/12</f>
        <v>7.7643849393548941E-13</v>
      </c>
      <c r="CN92" s="24">
        <f t="shared" si="66"/>
        <v>4.8799906142316729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>
        <f>CT92*VLOOKUP('Données projet'!$B$13,Paramètres!$A$1:$I$89,3,0)*VLOOKUP('Données projet'!$B$13,Paramètres!$A$1:$I$89,5,0)</f>
        <v>0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93.836028041880496</v>
      </c>
      <c r="CZ92" s="62">
        <f t="shared" si="96"/>
        <v>465.96044964631358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25.062349722093096</v>
      </c>
      <c r="DG92" s="23">
        <f>EXP(-LN(2)/25)*DG91+(1-EXP(-LN(2)/25))/(LN(2)/25)*Calculateur!DB92*Calculateur!DD92*VLOOKUP('Données projet'!$B$13,Paramètres!$A$1:$I$89,3,0)*0.475*44/12</f>
        <v>3.5281232992683331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28.590473021361429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-3.4106051316484809E-13</v>
      </c>
      <c r="DP92" s="18">
        <f>DO92*VLOOKUP('Données projet'!$B$14,Paramètres!$A$1:$I$89,3,0)*VLOOKUP('Données projet'!$B$14,Paramètres!$A$1:$I$89,5,0)</f>
        <v>-2.0395418687257919E-13</v>
      </c>
      <c r="DQ92" s="14" t="e">
        <f t="shared" si="97"/>
        <v>#NUM!</v>
      </c>
      <c r="DR92" s="22" t="e">
        <f t="shared" si="70"/>
        <v>#NUM!</v>
      </c>
      <c r="DS92" s="62" t="e">
        <f t="shared" si="71"/>
        <v>#NUM!</v>
      </c>
      <c r="DT92" s="62">
        <f ca="1">AVERAGE(OFFSET($DS$3,0,0,'Données projet'!$E$14+1,1))-AVERAGE(OFFSET($H$3,0,0,'Données projet'!$E$14+1,1))</f>
        <v>386.56102661082468</v>
      </c>
      <c r="DU92" s="62">
        <f t="shared" si="98"/>
        <v>410.28336627719011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6.0514337820262769</v>
      </c>
      <c r="EB92" s="23">
        <f>EXP(-LN(2)/25)*EB91+(1-EXP(-LN(2)/25))/(LN(2)/25)*Calculateur!DW92*Calculateur!DY92*VLOOKUP('Données projet'!$B$14,Paramètres!$A$1:$I$89,3,0)*0.475*44/12</f>
        <v>0.43413460362715162</v>
      </c>
      <c r="EC92" s="23">
        <f>EXP(-LN(2)/2)*EC91+(1-EXP(-LN(2)/2))/(LN(2)/2)*DW92*DZ92*VLOOKUP('Données projet'!$B$14,Paramètres!$A$1:$I$89,3,0)*0.475*44/12</f>
        <v>1.7157113451524428E-8</v>
      </c>
      <c r="ED92" s="24">
        <f t="shared" si="72"/>
        <v>6.4855684028105411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907.97260235725935</v>
      </c>
      <c r="S93" s="62">
        <f ca="1">AVERAGE(OFFSET($R$3,0,0,'Données projet'!$E$9+1,1))-AVERAGE(OFFSET($H$3,0,0,'Données projet'!$E$9+1,1))</f>
        <v>499.92116338695428</v>
      </c>
      <c r="T93" s="62">
        <f t="shared" si="88"/>
        <v>316.79403154855652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0.45453867031999884</v>
      </c>
      <c r="AB93" s="23">
        <f>EXP(-LN(2)/2)*AB92+(1-EXP(-LN(2)/2))/(LN(2)/2)*V93*Y93*VLOOKUP('Données projet'!$B$9,Paramètres!$A$1:$I$89,3,0)*0.475*44/12</f>
        <v>2.1894122446254322E-8</v>
      </c>
      <c r="AC93" s="24">
        <f t="shared" si="57"/>
        <v>0.4545386922141213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264.49028099309385</v>
      </c>
      <c r="AN93" s="62">
        <f ca="1">AVERAGE(OFFSET($AM$3,0,0,'Données projet'!$E$10+1,1))-AVERAGE(OFFSET($H$3,0,0,'Données projet'!$E$10+1,1))</f>
        <v>225.71928466161592</v>
      </c>
      <c r="AO93" s="62">
        <f t="shared" si="90"/>
        <v>385.98818770742025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211.70619219850786</v>
      </c>
      <c r="BJ93" s="62">
        <f t="shared" si="92"/>
        <v>426.883837098247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30.110354783424278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2.477177828467025E-7</v>
      </c>
      <c r="BS93" s="24">
        <f t="shared" si="63"/>
        <v>30.11035503114206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1.9895196601282805E-13</v>
      </c>
      <c r="BZ93" s="14">
        <f>BY93*VLOOKUP('Données projet'!$B$12,Paramètres!$A$1:$I$89,3,0)*VLOOKUP('Données projet'!$B$12,Paramètres!$A$1:$I$89,5,0)</f>
        <v>1.8001173884840681E-13</v>
      </c>
      <c r="CA93" s="14">
        <f t="shared" si="93"/>
        <v>2.5254331426407198E-12</v>
      </c>
      <c r="CB93" s="22">
        <f t="shared" si="64"/>
        <v>4.7119831685935622E-12</v>
      </c>
      <c r="CC93" s="62">
        <f t="shared" si="65"/>
        <v>264.49028099309749</v>
      </c>
      <c r="CD93" s="62">
        <f ca="1">AVERAGE(OFFSET($CC$3,0,0,'Données projet'!$E$12+1,1))-AVERAGE(OFFSET($H$3,0,0,'Données projet'!$E$12+1,1))</f>
        <v>327.07074355218322</v>
      </c>
      <c r="CE93" s="62">
        <f t="shared" si="94"/>
        <v>462.01668587029087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4.1853878803801674</v>
      </c>
      <c r="CL93" s="23">
        <f>EXP(-LN(2)/25)*CL92+(1-EXP(-LN(2)/25))/(LN(2)/25)*Calculateur!CG93*Calculateur!CI93*VLOOKUP('Données projet'!$B$12,Paramètres!$A$1:$I$89,3,0)*0.475*44/12</f>
        <v>0.59418346913790132</v>
      </c>
      <c r="CM93" s="23">
        <f>EXP(-LN(2)/2)*CM92+(1-EXP(-LN(2)/2))/(LN(2)/2)*CG93*CJ93*VLOOKUP('Données projet'!$B$12,Paramètres!$A$1:$I$89,3,0)*0.475*44/12</f>
        <v>5.4902492423605461E-13</v>
      </c>
      <c r="CN93" s="24">
        <f t="shared" si="66"/>
        <v>4.7795713495186174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>
        <f>CT93*VLOOKUP('Données projet'!$B$13,Paramètres!$A$1:$I$89,3,0)*VLOOKUP('Données projet'!$B$13,Paramètres!$A$1:$I$89,5,0)</f>
        <v>0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93.836028041880496</v>
      </c>
      <c r="CZ93" s="62">
        <f t="shared" si="96"/>
        <v>465.96044964631358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24.57089233056676</v>
      </c>
      <c r="DG93" s="23">
        <f>EXP(-LN(2)/25)*DG92+(1-EXP(-LN(2)/25))/(LN(2)/25)*Calculateur!DB93*Calculateur!DD93*VLOOKUP('Données projet'!$B$13,Paramètres!$A$1:$I$89,3,0)*0.475*44/12</f>
        <v>3.4316465821138999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28.002538912680659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-3.4106051316484809E-13</v>
      </c>
      <c r="DP93" s="18">
        <f>DO93*VLOOKUP('Données projet'!$B$14,Paramètres!$A$1:$I$89,3,0)*VLOOKUP('Données projet'!$B$14,Paramètres!$A$1:$I$89,5,0)</f>
        <v>-2.0395418687257919E-13</v>
      </c>
      <c r="DQ93" s="14" t="e">
        <f t="shared" si="97"/>
        <v>#NUM!</v>
      </c>
      <c r="DR93" s="22" t="e">
        <f t="shared" si="70"/>
        <v>#NUM!</v>
      </c>
      <c r="DS93" s="62" t="e">
        <f t="shared" si="71"/>
        <v>#NUM!</v>
      </c>
      <c r="DT93" s="62">
        <f ca="1">AVERAGE(OFFSET($DS$3,0,0,'Données projet'!$E$14+1,1))-AVERAGE(OFFSET($H$3,0,0,'Données projet'!$E$14+1,1))</f>
        <v>386.56102661082468</v>
      </c>
      <c r="DU93" s="62">
        <f t="shared" si="98"/>
        <v>410.28336627719011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5.9327688565708918</v>
      </c>
      <c r="EB93" s="23">
        <f>EXP(-LN(2)/25)*EB92+(1-EXP(-LN(2)/25))/(LN(2)/25)*Calculateur!DW93*Calculateur!DY93*VLOOKUP('Données projet'!$B$14,Paramètres!$A$1:$I$89,3,0)*0.475*44/12</f>
        <v>0.42226317006082059</v>
      </c>
      <c r="EC93" s="23">
        <f>EXP(-LN(2)/2)*EC92+(1-EXP(-LN(2)/2))/(LN(2)/2)*DW93*DZ93*VLOOKUP('Données projet'!$B$14,Paramètres!$A$1:$I$89,3,0)*0.475*44/12</f>
        <v>1.2131911267159855E-8</v>
      </c>
      <c r="ED93" s="24">
        <f t="shared" si="72"/>
        <v>6.3550320387636239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866.50316305060835</v>
      </c>
      <c r="S94" s="62">
        <f ca="1">AVERAGE(OFFSET($R$3,0,0,'Données projet'!$E$9+1,1))-AVERAGE(OFFSET($H$3,0,0,'Données projet'!$E$9+1,1))</f>
        <v>499.92116338695428</v>
      </c>
      <c r="T94" s="62">
        <f t="shared" si="88"/>
        <v>316.79403154855652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0.44210928647694864</v>
      </c>
      <c r="AB94" s="23">
        <f>EXP(-LN(2)/2)*AB93+(1-EXP(-LN(2)/2))/(LN(2)/2)*V94*Y94*VLOOKUP('Données projet'!$B$9,Paramètres!$A$1:$I$89,3,0)*0.475*44/12</f>
        <v>1.5481482449875033E-8</v>
      </c>
      <c r="AC94" s="24">
        <f t="shared" si="57"/>
        <v>0.44210930195843107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264.99064346779227</v>
      </c>
      <c r="AN94" s="62">
        <f ca="1">AVERAGE(OFFSET($AM$3,0,0,'Données projet'!$E$10+1,1))-AVERAGE(OFFSET($H$3,0,0,'Données projet'!$E$10+1,1))</f>
        <v>225.71928466161592</v>
      </c>
      <c r="AO94" s="62">
        <f t="shared" si="90"/>
        <v>385.98818770742025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211.70619219850786</v>
      </c>
      <c r="BJ94" s="62">
        <f t="shared" si="92"/>
        <v>426.883837098247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29.519909091624303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1.7516292407139996E-7</v>
      </c>
      <c r="BS94" s="24">
        <f t="shared" si="63"/>
        <v>29.519909266787227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1.9895196601282805E-13</v>
      </c>
      <c r="BZ94" s="14">
        <f>BY94*VLOOKUP('Données projet'!$B$12,Paramètres!$A$1:$I$89,3,0)*VLOOKUP('Données projet'!$B$12,Paramètres!$A$1:$I$89,5,0)</f>
        <v>1.8001173884840681E-13</v>
      </c>
      <c r="CA94" s="14">
        <f t="shared" si="93"/>
        <v>2.5254331426407198E-12</v>
      </c>
      <c r="CB94" s="22">
        <f t="shared" si="64"/>
        <v>4.7119831685935622E-12</v>
      </c>
      <c r="CC94" s="62">
        <f t="shared" si="65"/>
        <v>264.99064346779591</v>
      </c>
      <c r="CD94" s="62">
        <f ca="1">AVERAGE(OFFSET($CC$3,0,0,'Données projet'!$E$12+1,1))-AVERAGE(OFFSET($H$3,0,0,'Données projet'!$E$12+1,1))</f>
        <v>327.07074355218322</v>
      </c>
      <c r="CE94" s="62">
        <f t="shared" si="94"/>
        <v>462.01668587029087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4.1033149768804478</v>
      </c>
      <c r="CL94" s="23">
        <f>EXP(-LN(2)/25)*CL93+(1-EXP(-LN(2)/25))/(LN(2)/25)*Calculateur!CG94*Calculateur!CI94*VLOOKUP('Données projet'!$B$12,Paramètres!$A$1:$I$89,3,0)*0.475*44/12</f>
        <v>0.57793549092757479</v>
      </c>
      <c r="CM94" s="23">
        <f>EXP(-LN(2)/2)*CM93+(1-EXP(-LN(2)/2))/(LN(2)/2)*CG94*CJ94*VLOOKUP('Données projet'!$B$12,Paramètres!$A$1:$I$89,3,0)*0.475*44/12</f>
        <v>3.882192469677447E-13</v>
      </c>
      <c r="CN94" s="24">
        <f t="shared" si="66"/>
        <v>4.681250467808411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>
        <f>CT94*VLOOKUP('Données projet'!$B$13,Paramètres!$A$1:$I$89,3,0)*VLOOKUP('Données projet'!$B$13,Paramètres!$A$1:$I$89,5,0)</f>
        <v>0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93.836028041880496</v>
      </c>
      <c r="CZ94" s="62">
        <f t="shared" si="96"/>
        <v>465.96044964631358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24.089072118728847</v>
      </c>
      <c r="DG94" s="23">
        <f>EXP(-LN(2)/25)*DG93+(1-EXP(-LN(2)/25))/(LN(2)/25)*Calculateur!DB94*Calculateur!DD94*VLOOKUP('Données projet'!$B$13,Paramètres!$A$1:$I$89,3,0)*0.475*44/12</f>
        <v>3.3378080258635445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27.426880144592392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-3.4106051316484809E-13</v>
      </c>
      <c r="DP94" s="18">
        <f>DO94*VLOOKUP('Données projet'!$B$14,Paramètres!$A$1:$I$89,3,0)*VLOOKUP('Données projet'!$B$14,Paramètres!$A$1:$I$89,5,0)</f>
        <v>-2.0395418687257919E-13</v>
      </c>
      <c r="DQ94" s="14" t="e">
        <f t="shared" si="97"/>
        <v>#NUM!</v>
      </c>
      <c r="DR94" s="22" t="e">
        <f t="shared" si="70"/>
        <v>#NUM!</v>
      </c>
      <c r="DS94" s="62" t="e">
        <f t="shared" si="71"/>
        <v>#NUM!</v>
      </c>
      <c r="DT94" s="62">
        <f ca="1">AVERAGE(OFFSET($DS$3,0,0,'Données projet'!$E$14+1,1))-AVERAGE(OFFSET($H$3,0,0,'Données projet'!$E$14+1,1))</f>
        <v>386.56102661082468</v>
      </c>
      <c r="DU94" s="62">
        <f t="shared" si="98"/>
        <v>410.28336627719011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5.8164308779252289</v>
      </c>
      <c r="EB94" s="23">
        <f>EXP(-LN(2)/25)*EB93+(1-EXP(-LN(2)/25))/(LN(2)/25)*Calculateur!DW94*Calculateur!DY94*VLOOKUP('Données projet'!$B$14,Paramètres!$A$1:$I$89,3,0)*0.475*44/12</f>
        <v>0.41071636146965246</v>
      </c>
      <c r="EC94" s="23">
        <f>EXP(-LN(2)/2)*EC93+(1-EXP(-LN(2)/2))/(LN(2)/2)*DW94*DZ94*VLOOKUP('Données projet'!$B$14,Paramètres!$A$1:$I$89,3,0)*0.475*44/12</f>
        <v>8.5785567257622138E-9</v>
      </c>
      <c r="ED94" s="24">
        <f t="shared" si="72"/>
        <v>6.2271472479734378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878.44700275169839</v>
      </c>
      <c r="S95" s="62">
        <f ca="1">AVERAGE(OFFSET($R$3,0,0,'Données projet'!$E$9+1,1))-AVERAGE(OFFSET($H$3,0,0,'Données projet'!$E$9+1,1))</f>
        <v>499.92116338695428</v>
      </c>
      <c r="T95" s="62">
        <f t="shared" si="88"/>
        <v>316.79403154855652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0.43001978478871955</v>
      </c>
      <c r="AB95" s="23">
        <f>EXP(-LN(2)/2)*AB94+(1-EXP(-LN(2)/2))/(LN(2)/2)*V95*Y95*VLOOKUP('Données projet'!$B$9,Paramètres!$A$1:$I$89,3,0)*0.475*44/12</f>
        <v>1.0947061223127161E-8</v>
      </c>
      <c r="AC95" s="24">
        <f t="shared" si="57"/>
        <v>0.43001979573578075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265.48232577219761</v>
      </c>
      <c r="AN95" s="62">
        <f ca="1">AVERAGE(OFFSET($AM$3,0,0,'Données projet'!$E$10+1,1))-AVERAGE(OFFSET($H$3,0,0,'Données projet'!$E$10+1,1))</f>
        <v>225.71928466161592</v>
      </c>
      <c r="AO95" s="62">
        <f t="shared" si="90"/>
        <v>385.98818770742025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211.70619219850786</v>
      </c>
      <c r="BJ95" s="62">
        <f t="shared" si="92"/>
        <v>426.883837098247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28.941041679704213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1.2385889142335125E-7</v>
      </c>
      <c r="BS95" s="24">
        <f t="shared" si="63"/>
        <v>28.941041803563106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1.9895196601282805E-13</v>
      </c>
      <c r="BZ95" s="14">
        <f>BY95*VLOOKUP('Données projet'!$B$12,Paramètres!$A$1:$I$89,3,0)*VLOOKUP('Données projet'!$B$12,Paramètres!$A$1:$I$89,5,0)</f>
        <v>1.8001173884840681E-13</v>
      </c>
      <c r="CA95" s="14">
        <f t="shared" si="93"/>
        <v>2.5254331426407198E-12</v>
      </c>
      <c r="CB95" s="22">
        <f t="shared" si="64"/>
        <v>4.7119831685935622E-12</v>
      </c>
      <c r="CC95" s="62">
        <f t="shared" si="65"/>
        <v>265.48232577220125</v>
      </c>
      <c r="CD95" s="62">
        <f ca="1">AVERAGE(OFFSET($CC$3,0,0,'Données projet'!$E$12+1,1))-AVERAGE(OFFSET($H$3,0,0,'Données projet'!$E$12+1,1))</f>
        <v>327.07074355218322</v>
      </c>
      <c r="CE95" s="62">
        <f t="shared" si="94"/>
        <v>462.01668587029087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4.0228514729588296</v>
      </c>
      <c r="CL95" s="23">
        <f>EXP(-LN(2)/25)*CL94+(1-EXP(-LN(2)/25))/(LN(2)/25)*Calculateur!CG95*Calculateur!CI95*VLOOKUP('Données projet'!$B$12,Paramètres!$A$1:$I$89,3,0)*0.475*44/12</f>
        <v>0.5621318145358537</v>
      </c>
      <c r="CM95" s="23">
        <f>EXP(-LN(2)/2)*CM94+(1-EXP(-LN(2)/2))/(LN(2)/2)*CG95*CJ95*VLOOKUP('Données projet'!$B$12,Paramètres!$A$1:$I$89,3,0)*0.475*44/12</f>
        <v>2.7451246211802731E-13</v>
      </c>
      <c r="CN95" s="24">
        <f t="shared" si="66"/>
        <v>4.5849832874949579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>
        <f>CT95*VLOOKUP('Données projet'!$B$13,Paramètres!$A$1:$I$89,3,0)*VLOOKUP('Données projet'!$B$13,Paramètres!$A$1:$I$89,5,0)</f>
        <v>0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93.836028041880496</v>
      </c>
      <c r="CZ95" s="62">
        <f t="shared" si="96"/>
        <v>465.96044964631358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23.616700107363766</v>
      </c>
      <c r="DG95" s="23">
        <f>EXP(-LN(2)/25)*DG94+(1-EXP(-LN(2)/25))/(LN(2)/25)*Calculateur!DB95*Calculateur!DD95*VLOOKUP('Données projet'!$B$13,Paramètres!$A$1:$I$89,3,0)*0.475*44/12</f>
        <v>3.2465354898686103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26.863235597232375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-3.4106051316484809E-13</v>
      </c>
      <c r="DP95" s="18">
        <f>DO95*VLOOKUP('Données projet'!$B$14,Paramètres!$A$1:$I$89,3,0)*VLOOKUP('Données projet'!$B$14,Paramètres!$A$1:$I$89,5,0)</f>
        <v>-2.0395418687257919E-13</v>
      </c>
      <c r="DQ95" s="14" t="e">
        <f t="shared" si="97"/>
        <v>#NUM!</v>
      </c>
      <c r="DR95" s="22" t="e">
        <f t="shared" si="70"/>
        <v>#NUM!</v>
      </c>
      <c r="DS95" s="62" t="e">
        <f t="shared" si="71"/>
        <v>#NUM!</v>
      </c>
      <c r="DT95" s="62">
        <f ca="1">AVERAGE(OFFSET($DS$3,0,0,'Données projet'!$E$14+1,1))-AVERAGE(OFFSET($H$3,0,0,'Données projet'!$E$14+1,1))</f>
        <v>386.56102661082468</v>
      </c>
      <c r="DU95" s="62">
        <f t="shared" si="98"/>
        <v>410.28336627719011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5.7023742160816475</v>
      </c>
      <c r="EB95" s="23">
        <f>EXP(-LN(2)/25)*EB94+(1-EXP(-LN(2)/25))/(LN(2)/25)*Calculateur!DW95*Calculateur!DY95*VLOOKUP('Données projet'!$B$14,Paramètres!$A$1:$I$89,3,0)*0.475*44/12</f>
        <v>0.39948530096663004</v>
      </c>
      <c r="EC95" s="23">
        <f>EXP(-LN(2)/2)*EC94+(1-EXP(-LN(2)/2))/(LN(2)/2)*DW95*DZ95*VLOOKUP('Données projet'!$B$14,Paramètres!$A$1:$I$89,3,0)*0.475*44/12</f>
        <v>6.0659556335799275E-9</v>
      </c>
      <c r="ED95" s="24">
        <f t="shared" si="72"/>
        <v>6.101859523114233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890.37787578535949</v>
      </c>
      <c r="S96" s="62">
        <f ca="1">AVERAGE(OFFSET($R$3,0,0,'Données projet'!$E$9+1,1))-AVERAGE(OFFSET($H$3,0,0,'Données projet'!$E$9+1,1))</f>
        <v>499.92116338695428</v>
      </c>
      <c r="T96" s="62">
        <f t="shared" si="88"/>
        <v>316.79403154855652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0.41826087115991434</v>
      </c>
      <c r="AB96" s="23">
        <f>EXP(-LN(2)/2)*AB95+(1-EXP(-LN(2)/2))/(LN(2)/2)*V96*Y96*VLOOKUP('Données projet'!$B$9,Paramètres!$A$1:$I$89,3,0)*0.475*44/12</f>
        <v>7.7407412249375167E-9</v>
      </c>
      <c r="AC96" s="24">
        <f t="shared" si="57"/>
        <v>0.41826087890065555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265.96547848785849</v>
      </c>
      <c r="AN96" s="62">
        <f ca="1">AVERAGE(OFFSET($AM$3,0,0,'Données projet'!$E$10+1,1))-AVERAGE(OFFSET($H$3,0,0,'Données projet'!$E$10+1,1))</f>
        <v>225.71928466161592</v>
      </c>
      <c r="AO96" s="62">
        <f t="shared" si="90"/>
        <v>385.98818770742025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211.70619219850786</v>
      </c>
      <c r="BJ96" s="62">
        <f t="shared" si="92"/>
        <v>426.883837098247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28.373525504657618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8.7581462035699981E-8</v>
      </c>
      <c r="BS96" s="24">
        <f t="shared" si="63"/>
        <v>28.37352559223908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1.9895196601282805E-13</v>
      </c>
      <c r="BZ96" s="14">
        <f>BY96*VLOOKUP('Données projet'!$B$12,Paramètres!$A$1:$I$89,3,0)*VLOOKUP('Données projet'!$B$12,Paramètres!$A$1:$I$89,5,0)</f>
        <v>1.8001173884840681E-13</v>
      </c>
      <c r="CA96" s="14">
        <f t="shared" si="93"/>
        <v>2.5254331426407198E-12</v>
      </c>
      <c r="CB96" s="22">
        <f t="shared" si="64"/>
        <v>4.7119831685935622E-12</v>
      </c>
      <c r="CC96" s="62">
        <f t="shared" si="65"/>
        <v>265.96547848786213</v>
      </c>
      <c r="CD96" s="62">
        <f ca="1">AVERAGE(OFFSET($CC$3,0,0,'Données projet'!$E$12+1,1))-AVERAGE(OFFSET($H$3,0,0,'Données projet'!$E$12+1,1))</f>
        <v>327.07074355218322</v>
      </c>
      <c r="CE96" s="62">
        <f t="shared" si="94"/>
        <v>462.01668587029087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3.9439658092712229</v>
      </c>
      <c r="CL96" s="23">
        <f>EXP(-LN(2)/25)*CL95+(1-EXP(-LN(2)/25))/(LN(2)/25)*Calculateur!CG96*Calculateur!CI96*VLOOKUP('Données projet'!$B$12,Paramètres!$A$1:$I$89,3,0)*0.475*44/12</f>
        <v>0.54676029050614339</v>
      </c>
      <c r="CM96" s="23">
        <f>EXP(-LN(2)/2)*CM95+(1-EXP(-LN(2)/2))/(LN(2)/2)*CG96*CJ96*VLOOKUP('Données projet'!$B$12,Paramètres!$A$1:$I$89,3,0)*0.475*44/12</f>
        <v>1.9410962348387235E-13</v>
      </c>
      <c r="CN96" s="24">
        <f t="shared" si="66"/>
        <v>4.4907260997775609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>
        <f>CT96*VLOOKUP('Données projet'!$B$13,Paramètres!$A$1:$I$89,3,0)*VLOOKUP('Données projet'!$B$13,Paramètres!$A$1:$I$89,5,0)</f>
        <v>0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93.836028041880496</v>
      </c>
      <c r="CZ96" s="62">
        <f t="shared" si="96"/>
        <v>465.96044964631358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23.153591023023075</v>
      </c>
      <c r="DG96" s="23">
        <f>EXP(-LN(2)/25)*DG95+(1-EXP(-LN(2)/25))/(LN(2)/25)*Calculateur!DB96*Calculateur!DD96*VLOOKUP('Données projet'!$B$13,Paramètres!$A$1:$I$89,3,0)*0.475*44/12</f>
        <v>3.1577588061702717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26.311349829193347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-3.4106051316484809E-13</v>
      </c>
      <c r="DP96" s="18">
        <f>DO96*VLOOKUP('Données projet'!$B$14,Paramètres!$A$1:$I$89,3,0)*VLOOKUP('Données projet'!$B$14,Paramètres!$A$1:$I$89,5,0)</f>
        <v>-2.0395418687257919E-13</v>
      </c>
      <c r="DQ96" s="14" t="e">
        <f t="shared" si="97"/>
        <v>#NUM!</v>
      </c>
      <c r="DR96" s="22" t="e">
        <f t="shared" si="70"/>
        <v>#NUM!</v>
      </c>
      <c r="DS96" s="62" t="e">
        <f t="shared" si="71"/>
        <v>#NUM!</v>
      </c>
      <c r="DT96" s="62">
        <f ca="1">AVERAGE(OFFSET($DS$3,0,0,'Données projet'!$E$14+1,1))-AVERAGE(OFFSET($H$3,0,0,'Données projet'!$E$14+1,1))</f>
        <v>386.56102661082468</v>
      </c>
      <c r="DU96" s="62">
        <f t="shared" si="98"/>
        <v>410.28336627719011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5.590554135809124</v>
      </c>
      <c r="EB96" s="23">
        <f>EXP(-LN(2)/25)*EB95+(1-EXP(-LN(2)/25))/(LN(2)/25)*Calculateur!DW96*Calculateur!DY96*VLOOKUP('Données projet'!$B$14,Paramètres!$A$1:$I$89,3,0)*0.475*44/12</f>
        <v>0.38856135440367862</v>
      </c>
      <c r="EC96" s="23">
        <f>EXP(-LN(2)/2)*EC95+(1-EXP(-LN(2)/2))/(LN(2)/2)*DW96*DZ96*VLOOKUP('Données projet'!$B$14,Paramètres!$A$1:$I$89,3,0)*0.475*44/12</f>
        <v>4.2892783628811069E-9</v>
      </c>
      <c r="ED96" s="24">
        <f t="shared" si="72"/>
        <v>5.9791154945020812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902.29602290972252</v>
      </c>
      <c r="S97" s="62">
        <f ca="1">AVERAGE(OFFSET($R$3,0,0,'Données projet'!$E$9+1,1))-AVERAGE(OFFSET($H$3,0,0,'Données projet'!$E$9+1,1))</f>
        <v>499.92116338695428</v>
      </c>
      <c r="T97" s="62">
        <f t="shared" si="88"/>
        <v>316.79403154855652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0.40682350564266323</v>
      </c>
      <c r="AB97" s="23">
        <f>EXP(-LN(2)/2)*AB96+(1-EXP(-LN(2)/2))/(LN(2)/2)*V97*Y97*VLOOKUP('Données projet'!$B$9,Paramètres!$A$1:$I$89,3,0)*0.475*44/12</f>
        <v>5.4735306115635805E-9</v>
      </c>
      <c r="AC97" s="24">
        <f t="shared" si="57"/>
        <v>0.40682351111619386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266.44024958407027</v>
      </c>
      <c r="AN97" s="62">
        <f ca="1">AVERAGE(OFFSET($AM$3,0,0,'Données projet'!$E$10+1,1))-AVERAGE(OFFSET($H$3,0,0,'Données projet'!$E$10+1,1))</f>
        <v>225.71928466161592</v>
      </c>
      <c r="AO97" s="62">
        <f t="shared" si="90"/>
        <v>385.98818770742025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211.70619219850786</v>
      </c>
      <c r="BJ97" s="62">
        <f t="shared" si="92"/>
        <v>426.883837098247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27.817137975653001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6.1929445711675624E-8</v>
      </c>
      <c r="BS97" s="24">
        <f t="shared" si="63"/>
        <v>27.817138037582446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1.9895196601282805E-13</v>
      </c>
      <c r="BZ97" s="14">
        <f>BY97*VLOOKUP('Données projet'!$B$12,Paramètres!$A$1:$I$89,3,0)*VLOOKUP('Données projet'!$B$12,Paramètres!$A$1:$I$89,5,0)</f>
        <v>1.8001173884840681E-13</v>
      </c>
      <c r="CA97" s="14">
        <f t="shared" si="93"/>
        <v>2.5254331426407198E-12</v>
      </c>
      <c r="CB97" s="22">
        <f t="shared" si="64"/>
        <v>4.7119831685935622E-12</v>
      </c>
      <c r="CC97" s="62">
        <f t="shared" si="65"/>
        <v>266.44024958407391</v>
      </c>
      <c r="CD97" s="62">
        <f ca="1">AVERAGE(OFFSET($CC$3,0,0,'Données projet'!$E$12+1,1))-AVERAGE(OFFSET($H$3,0,0,'Données projet'!$E$12+1,1))</f>
        <v>327.07074355218322</v>
      </c>
      <c r="CE97" s="62">
        <f t="shared" si="94"/>
        <v>462.01668587029087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3.8666270453330265</v>
      </c>
      <c r="CL97" s="23">
        <f>EXP(-LN(2)/25)*CL96+(1-EXP(-LN(2)/25))/(LN(2)/25)*Calculateur!CG97*Calculateur!CI97*VLOOKUP('Données projet'!$B$12,Paramètres!$A$1:$I$89,3,0)*0.475*44/12</f>
        <v>0.53180910160937889</v>
      </c>
      <c r="CM97" s="23">
        <f>EXP(-LN(2)/2)*CM96+(1-EXP(-LN(2)/2))/(LN(2)/2)*CG97*CJ97*VLOOKUP('Données projet'!$B$12,Paramètres!$A$1:$I$89,3,0)*0.475*44/12</f>
        <v>1.3725623105901365E-13</v>
      </c>
      <c r="CN97" s="24">
        <f t="shared" si="66"/>
        <v>4.3984361469425428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>
        <f>CT97*VLOOKUP('Données projet'!$B$13,Paramètres!$A$1:$I$89,3,0)*VLOOKUP('Données projet'!$B$13,Paramètres!$A$1:$I$89,5,0)</f>
        <v>0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93.836028041880496</v>
      </c>
      <c r="CZ97" s="62">
        <f t="shared" si="96"/>
        <v>465.96044964631358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22.699563225357657</v>
      </c>
      <c r="DG97" s="23">
        <f>EXP(-LN(2)/25)*DG96+(1-EXP(-LN(2)/25))/(LN(2)/25)*Calculateur!DB97*Calculateur!DD97*VLOOKUP('Données projet'!$B$13,Paramètres!$A$1:$I$89,3,0)*0.475*44/12</f>
        <v>3.0714097255562272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25.770972950913883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-3.4106051316484809E-13</v>
      </c>
      <c r="DP97" s="18">
        <f>DO97*VLOOKUP('Données projet'!$B$14,Paramètres!$A$1:$I$89,3,0)*VLOOKUP('Données projet'!$B$14,Paramètres!$A$1:$I$89,5,0)</f>
        <v>-2.0395418687257919E-13</v>
      </c>
      <c r="DQ97" s="14" t="e">
        <f t="shared" si="97"/>
        <v>#NUM!</v>
      </c>
      <c r="DR97" s="22" t="e">
        <f t="shared" si="70"/>
        <v>#NUM!</v>
      </c>
      <c r="DS97" s="62" t="e">
        <f t="shared" si="71"/>
        <v>#NUM!</v>
      </c>
      <c r="DT97" s="62">
        <f ca="1">AVERAGE(OFFSET($DS$3,0,0,'Données projet'!$E$14+1,1))-AVERAGE(OFFSET($H$3,0,0,'Données projet'!$E$14+1,1))</f>
        <v>386.56102661082468</v>
      </c>
      <c r="DU97" s="62">
        <f t="shared" si="98"/>
        <v>410.28336627719011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5.4809267791072305</v>
      </c>
      <c r="EB97" s="23">
        <f>EXP(-LN(2)/25)*EB96+(1-EXP(-LN(2)/25))/(LN(2)/25)*Calculateur!DW97*Calculateur!DY97*VLOOKUP('Données projet'!$B$14,Paramètres!$A$1:$I$89,3,0)*0.475*44/12</f>
        <v>0.37793612373395646</v>
      </c>
      <c r="EC97" s="23">
        <f>EXP(-LN(2)/2)*EC96+(1-EXP(-LN(2)/2))/(LN(2)/2)*DW97*DZ97*VLOOKUP('Données projet'!$B$14,Paramètres!$A$1:$I$89,3,0)*0.475*44/12</f>
        <v>3.0329778167899637E-9</v>
      </c>
      <c r="ED97" s="24">
        <f t="shared" si="72"/>
        <v>5.8588629058741644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914.20167870491548</v>
      </c>
      <c r="S98" s="62">
        <f ca="1">AVERAGE(OFFSET($R$3,0,0,'Données projet'!$E$9+1,1))-AVERAGE(OFFSET($H$3,0,0,'Données projet'!$E$9+1,1))</f>
        <v>499.92116338695428</v>
      </c>
      <c r="T98" s="62">
        <f t="shared" si="88"/>
        <v>316.79403154855652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0.39569889548694626</v>
      </c>
      <c r="AB98" s="23">
        <f>EXP(-LN(2)/2)*AB97+(1-EXP(-LN(2)/2))/(LN(2)/2)*V98*Y98*VLOOKUP('Données projet'!$B$9,Paramètres!$A$1:$I$89,3,0)*0.475*44/12</f>
        <v>3.8703706124687584E-9</v>
      </c>
      <c r="AC98" s="24">
        <f t="shared" si="57"/>
        <v>0.39569889935731689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266.90678446319197</v>
      </c>
      <c r="AN98" s="62">
        <f ca="1">AVERAGE(OFFSET($AM$3,0,0,'Données projet'!$E$10+1,1))-AVERAGE(OFFSET($H$3,0,0,'Données projet'!$E$10+1,1))</f>
        <v>225.71928466161592</v>
      </c>
      <c r="AO98" s="62">
        <f t="shared" si="90"/>
        <v>385.98818770742025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211.70619219850786</v>
      </c>
      <c r="BJ98" s="62">
        <f t="shared" si="92"/>
        <v>426.883837098247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27.271660866729281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4.379073101784999E-8</v>
      </c>
      <c r="BS98" s="24">
        <f t="shared" si="63"/>
        <v>27.271660910520012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1.9895196601282805E-13</v>
      </c>
      <c r="BZ98" s="14">
        <f>BY98*VLOOKUP('Données projet'!$B$12,Paramètres!$A$1:$I$89,3,0)*VLOOKUP('Données projet'!$B$12,Paramètres!$A$1:$I$89,5,0)</f>
        <v>1.8001173884840681E-13</v>
      </c>
      <c r="CA98" s="14">
        <f t="shared" si="93"/>
        <v>2.5254331426407198E-12</v>
      </c>
      <c r="CB98" s="22">
        <f t="shared" si="64"/>
        <v>4.7119831685935622E-12</v>
      </c>
      <c r="CC98" s="62">
        <f t="shared" si="65"/>
        <v>266.90678446319561</v>
      </c>
      <c r="CD98" s="62">
        <f ca="1">AVERAGE(OFFSET($CC$3,0,0,'Données projet'!$E$12+1,1))-AVERAGE(OFFSET($H$3,0,0,'Données projet'!$E$12+1,1))</f>
        <v>327.07074355218322</v>
      </c>
      <c r="CE98" s="62">
        <f t="shared" si="94"/>
        <v>462.01668587029087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3.79080484738367</v>
      </c>
      <c r="CL98" s="23">
        <f>EXP(-LN(2)/25)*CL97+(1-EXP(-LN(2)/25))/(LN(2)/25)*Calculateur!CG98*Calculateur!CI98*VLOOKUP('Données projet'!$B$12,Paramètres!$A$1:$I$89,3,0)*0.475*44/12</f>
        <v>0.51726675375924525</v>
      </c>
      <c r="CM98" s="23">
        <f>EXP(-LN(2)/2)*CM97+(1-EXP(-LN(2)/2))/(LN(2)/2)*CG98*CJ98*VLOOKUP('Données projet'!$B$12,Paramètres!$A$1:$I$89,3,0)*0.475*44/12</f>
        <v>9.7054811741936176E-14</v>
      </c>
      <c r="CN98" s="24">
        <f t="shared" si="66"/>
        <v>4.3080716011430118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>
        <f>CT98*VLOOKUP('Données projet'!$B$13,Paramètres!$A$1:$I$89,3,0)*VLOOKUP('Données projet'!$B$13,Paramètres!$A$1:$I$89,5,0)</f>
        <v>0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93.836028041880496</v>
      </c>
      <c r="CZ98" s="62">
        <f t="shared" si="96"/>
        <v>465.96044964631358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22.254438635874845</v>
      </c>
      <c r="DG98" s="23">
        <f>EXP(-LN(2)/25)*DG97+(1-EXP(-LN(2)/25))/(LN(2)/25)*Calculateur!DB98*Calculateur!DD98*VLOOKUP('Données projet'!$B$13,Paramètres!$A$1:$I$89,3,0)*0.475*44/12</f>
        <v>2.9874218650924744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25.24186050096732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-3.4106051316484809E-13</v>
      </c>
      <c r="DP98" s="18">
        <f>DO98*VLOOKUP('Données projet'!$B$14,Paramètres!$A$1:$I$89,3,0)*VLOOKUP('Données projet'!$B$14,Paramètres!$A$1:$I$89,5,0)</f>
        <v>-2.0395418687257919E-13</v>
      </c>
      <c r="DQ98" s="14" t="e">
        <f t="shared" si="97"/>
        <v>#NUM!</v>
      </c>
      <c r="DR98" s="22" t="e">
        <f t="shared" si="70"/>
        <v>#NUM!</v>
      </c>
      <c r="DS98" s="62" t="e">
        <f t="shared" si="71"/>
        <v>#NUM!</v>
      </c>
      <c r="DT98" s="62">
        <f ca="1">AVERAGE(OFFSET($DS$3,0,0,'Données projet'!$E$14+1,1))-AVERAGE(OFFSET($H$3,0,0,'Données projet'!$E$14+1,1))</f>
        <v>386.56102661082468</v>
      </c>
      <c r="DU98" s="62">
        <f t="shared" si="98"/>
        <v>410.28336627719011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5.3734491480041759</v>
      </c>
      <c r="EB98" s="23">
        <f>EXP(-LN(2)/25)*EB97+(1-EXP(-LN(2)/25))/(LN(2)/25)*Calculateur!DW98*Calculateur!DY98*VLOOKUP('Données projet'!$B$14,Paramètres!$A$1:$I$89,3,0)*0.475*44/12</f>
        <v>0.36760144055565447</v>
      </c>
      <c r="EC98" s="23">
        <f>EXP(-LN(2)/2)*EC97+(1-EXP(-LN(2)/2))/(LN(2)/2)*DW98*DZ98*VLOOKUP('Données projet'!$B$14,Paramètres!$A$1:$I$89,3,0)*0.475*44/12</f>
        <v>2.1446391814405535E-9</v>
      </c>
      <c r="ED98" s="24">
        <f t="shared" si="72"/>
        <v>5.7410505907044698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872.31386437263745</v>
      </c>
      <c r="S99" s="62">
        <f ca="1">AVERAGE(OFFSET($R$3,0,0,'Données projet'!$E$9+1,1))-AVERAGE(OFFSET($H$3,0,0,'Données projet'!$E$9+1,1))</f>
        <v>499.92116338695428</v>
      </c>
      <c r="T99" s="62">
        <f t="shared" si="88"/>
        <v>316.79403154855652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0.38487848838095517</v>
      </c>
      <c r="AB99" s="23">
        <f>EXP(-LN(2)/2)*AB98+(1-EXP(-LN(2)/2))/(LN(2)/2)*V99*Y99*VLOOKUP('Données projet'!$B$9,Paramètres!$A$1:$I$89,3,0)*0.475*44/12</f>
        <v>2.7367653057817902E-9</v>
      </c>
      <c r="AC99" s="24">
        <f t="shared" si="57"/>
        <v>0.38487849111772049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267.36522600517662</v>
      </c>
      <c r="AN99" s="62">
        <f ca="1">AVERAGE(OFFSET($AM$3,0,0,'Données projet'!$E$10+1,1))-AVERAGE(OFFSET($H$3,0,0,'Données projet'!$E$10+1,1))</f>
        <v>225.71928466161592</v>
      </c>
      <c r="AO99" s="62">
        <f t="shared" si="90"/>
        <v>385.98818770742025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211.70619219850786</v>
      </c>
      <c r="BJ99" s="62">
        <f t="shared" si="92"/>
        <v>426.883837098247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26.736880231203372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3.0964722855837812E-8</v>
      </c>
      <c r="BS99" s="24">
        <f t="shared" si="63"/>
        <v>26.736880262168096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1.9895196601282805E-13</v>
      </c>
      <c r="BZ99" s="14">
        <f>BY99*VLOOKUP('Données projet'!$B$12,Paramètres!$A$1:$I$89,3,0)*VLOOKUP('Données projet'!$B$12,Paramètres!$A$1:$I$89,5,0)</f>
        <v>1.8001173884840681E-13</v>
      </c>
      <c r="CA99" s="14">
        <f t="shared" si="93"/>
        <v>2.5254331426407198E-12</v>
      </c>
      <c r="CB99" s="22">
        <f t="shared" si="64"/>
        <v>4.7119831685935622E-12</v>
      </c>
      <c r="CC99" s="62">
        <f t="shared" si="65"/>
        <v>267.36522600518026</v>
      </c>
      <c r="CD99" s="62">
        <f ca="1">AVERAGE(OFFSET($CC$3,0,0,'Données projet'!$E$12+1,1))-AVERAGE(OFFSET($H$3,0,0,'Données projet'!$E$12+1,1))</f>
        <v>327.07074355218322</v>
      </c>
      <c r="CE99" s="62">
        <f t="shared" si="94"/>
        <v>462.01668587029087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3.716469476489126</v>
      </c>
      <c r="CL99" s="23">
        <f>EXP(-LN(2)/25)*CL98+(1-EXP(-LN(2)/25))/(LN(2)/25)*Calculateur!CG99*Calculateur!CI99*VLOOKUP('Données projet'!$B$12,Paramètres!$A$1:$I$89,3,0)*0.475*44/12</f>
        <v>0.50312206717582231</v>
      </c>
      <c r="CM99" s="23">
        <f>EXP(-LN(2)/2)*CM98+(1-EXP(-LN(2)/2))/(LN(2)/2)*CG99*CJ99*VLOOKUP('Données projet'!$B$12,Paramètres!$A$1:$I$89,3,0)*0.475*44/12</f>
        <v>6.8628115529506826E-14</v>
      </c>
      <c r="CN99" s="24">
        <f t="shared" si="66"/>
        <v>4.2195915436650164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>
        <f>CT99*VLOOKUP('Données projet'!$B$13,Paramètres!$A$1:$I$89,3,0)*VLOOKUP('Données projet'!$B$13,Paramètres!$A$1:$I$89,5,0)</f>
        <v>0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93.836028041880496</v>
      </c>
      <c r="CZ99" s="62">
        <f t="shared" si="96"/>
        <v>465.96044964631358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21.818042668092598</v>
      </c>
      <c r="DG99" s="23">
        <f>EXP(-LN(2)/25)*DG98+(1-EXP(-LN(2)/25))/(LN(2)/25)*Calculateur!DB99*Calculateur!DD99*VLOOKUP('Données projet'!$B$13,Paramètres!$A$1:$I$89,3,0)*0.475*44/12</f>
        <v>2.9057306570898325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24.723773325182432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-3.4106051316484809E-13</v>
      </c>
      <c r="DP99" s="18">
        <f>DO99*VLOOKUP('Données projet'!$B$14,Paramètres!$A$1:$I$89,3,0)*VLOOKUP('Données projet'!$B$14,Paramètres!$A$1:$I$89,5,0)</f>
        <v>-2.0395418687257919E-13</v>
      </c>
      <c r="DQ99" s="14" t="e">
        <f t="shared" si="97"/>
        <v>#NUM!</v>
      </c>
      <c r="DR99" s="22" t="e">
        <f t="shared" si="70"/>
        <v>#NUM!</v>
      </c>
      <c r="DS99" s="62" t="e">
        <f t="shared" si="71"/>
        <v>#NUM!</v>
      </c>
      <c r="DT99" s="62">
        <f ca="1">AVERAGE(OFFSET($DS$3,0,0,'Données projet'!$E$14+1,1))-AVERAGE(OFFSET($H$3,0,0,'Données projet'!$E$14+1,1))</f>
        <v>386.56102661082468</v>
      </c>
      <c r="DU99" s="62">
        <f t="shared" si="98"/>
        <v>410.28336627719011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5.2680790876921701</v>
      </c>
      <c r="EB99" s="23">
        <f>EXP(-LN(2)/25)*EB98+(1-EXP(-LN(2)/25))/(LN(2)/25)*Calculateur!DW99*Calculateur!DY99*VLOOKUP('Données projet'!$B$14,Paramètres!$A$1:$I$89,3,0)*0.475*44/12</f>
        <v>0.35754935983234049</v>
      </c>
      <c r="EC99" s="23">
        <f>EXP(-LN(2)/2)*EC98+(1-EXP(-LN(2)/2))/(LN(2)/2)*DW99*DZ99*VLOOKUP('Données projet'!$B$14,Paramètres!$A$1:$I$89,3,0)*0.475*44/12</f>
        <v>1.5164889083949819E-9</v>
      </c>
      <c r="ED99" s="24">
        <f t="shared" si="72"/>
        <v>5.6256284490409998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883.83354695928335</v>
      </c>
      <c r="S100" s="62">
        <f ca="1">AVERAGE(OFFSET($R$3,0,0,'Données projet'!$E$9+1,1))-AVERAGE(OFFSET($H$3,0,0,'Données projet'!$E$9+1,1))</f>
        <v>499.92116338695428</v>
      </c>
      <c r="T100" s="62">
        <f t="shared" si="88"/>
        <v>316.79403154855652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0.37435396587629788</v>
      </c>
      <c r="AB100" s="23">
        <f>EXP(-LN(2)/2)*AB99+(1-EXP(-LN(2)/2))/(LN(2)/2)*V100*Y100*VLOOKUP('Données projet'!$B$9,Paramètres!$A$1:$I$89,3,0)*0.475*44/12</f>
        <v>1.9351853062343792E-9</v>
      </c>
      <c r="AC100" s="24">
        <f t="shared" si="57"/>
        <v>0.37435396781148317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267.81571461132961</v>
      </c>
      <c r="AN100" s="62">
        <f ca="1">AVERAGE(OFFSET($AM$3,0,0,'Données projet'!$E$10+1,1))-AVERAGE(OFFSET($H$3,0,0,'Données projet'!$E$10+1,1))</f>
        <v>225.71928466161592</v>
      </c>
      <c r="AO100" s="62">
        <f t="shared" si="90"/>
        <v>385.98818770742025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211.70619219850786</v>
      </c>
      <c r="BJ100" s="62">
        <f t="shared" si="92"/>
        <v>426.883837098247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26.212586317756145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2.1895365508924995E-8</v>
      </c>
      <c r="BS100" s="24">
        <f t="shared" si="63"/>
        <v>26.212586339651509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1.9895196601282805E-13</v>
      </c>
      <c r="BZ100" s="14">
        <f>BY100*VLOOKUP('Données projet'!$B$12,Paramètres!$A$1:$I$89,3,0)*VLOOKUP('Données projet'!$B$12,Paramètres!$A$1:$I$89,5,0)</f>
        <v>1.8001173884840681E-13</v>
      </c>
      <c r="CA100" s="14">
        <f t="shared" si="93"/>
        <v>2.5254331426407198E-12</v>
      </c>
      <c r="CB100" s="22">
        <f t="shared" si="64"/>
        <v>4.7119831685935622E-12</v>
      </c>
      <c r="CC100" s="62">
        <f t="shared" si="65"/>
        <v>267.81571461133325</v>
      </c>
      <c r="CD100" s="62">
        <f ca="1">AVERAGE(OFFSET($CC$3,0,0,'Données projet'!$E$12+1,1))-AVERAGE(OFFSET($H$3,0,0,'Données projet'!$E$12+1,1))</f>
        <v>327.07074355218322</v>
      </c>
      <c r="CE100" s="62">
        <f t="shared" si="94"/>
        <v>462.01668587029087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3.6435917768777246</v>
      </c>
      <c r="CL100" s="23">
        <f>EXP(-LN(2)/25)*CL99+(1-EXP(-LN(2)/25))/(LN(2)/25)*Calculateur!CG100*Calculateur!CI100*VLOOKUP('Données projet'!$B$12,Paramètres!$A$1:$I$89,3,0)*0.475*44/12</f>
        <v>0.48936416779085984</v>
      </c>
      <c r="CM100" s="23">
        <f>EXP(-LN(2)/2)*CM99+(1-EXP(-LN(2)/2))/(LN(2)/2)*CG100*CJ100*VLOOKUP('Données projet'!$B$12,Paramètres!$A$1:$I$89,3,0)*0.475*44/12</f>
        <v>4.8527405870968088E-14</v>
      </c>
      <c r="CN100" s="24">
        <f t="shared" si="66"/>
        <v>4.132955944668633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>
        <f>CT100*VLOOKUP('Données projet'!$B$13,Paramètres!$A$1:$I$89,3,0)*VLOOKUP('Données projet'!$B$13,Paramètres!$A$1:$I$89,5,0)</f>
        <v>0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93.836028041880496</v>
      </c>
      <c r="CZ100" s="62">
        <f t="shared" si="96"/>
        <v>465.96044964631358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21.390204159063305</v>
      </c>
      <c r="DG100" s="23">
        <f>EXP(-LN(2)/25)*DG99+(1-EXP(-LN(2)/25))/(LN(2)/25)*Calculateur!DB100*Calculateur!DD100*VLOOKUP('Données projet'!$B$13,Paramètres!$A$1:$I$89,3,0)*0.475*44/12</f>
        <v>2.8262732994659769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24.216477458529283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-3.4106051316484809E-13</v>
      </c>
      <c r="DP100" s="18">
        <f>DO100*VLOOKUP('Données projet'!$B$14,Paramètres!$A$1:$I$89,3,0)*VLOOKUP('Données projet'!$B$14,Paramètres!$A$1:$I$89,5,0)</f>
        <v>-2.0395418687257919E-13</v>
      </c>
      <c r="DQ100" s="14" t="e">
        <f t="shared" si="97"/>
        <v>#NUM!</v>
      </c>
      <c r="DR100" s="22" t="e">
        <f t="shared" si="70"/>
        <v>#NUM!</v>
      </c>
      <c r="DS100" s="62" t="e">
        <f t="shared" si="71"/>
        <v>#NUM!</v>
      </c>
      <c r="DT100" s="62">
        <f ca="1">AVERAGE(OFFSET($DS$3,0,0,'Données projet'!$E$14+1,1))-AVERAGE(OFFSET($H$3,0,0,'Données projet'!$E$14+1,1))</f>
        <v>386.56102661082468</v>
      </c>
      <c r="DU100" s="62">
        <f t="shared" si="98"/>
        <v>410.28336627719011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5.1647752699934921</v>
      </c>
      <c r="EB100" s="23">
        <f>EXP(-LN(2)/25)*EB99+(1-EXP(-LN(2)/25))/(LN(2)/25)*Calculateur!DW100*Calculateur!DY100*VLOOKUP('Données projet'!$B$14,Paramètres!$A$1:$I$89,3,0)*0.475*44/12</f>
        <v>0.34777215378502147</v>
      </c>
      <c r="EC100" s="23">
        <f>EXP(-LN(2)/2)*EC99+(1-EXP(-LN(2)/2))/(LN(2)/2)*DW100*DZ100*VLOOKUP('Données projet'!$B$14,Paramètres!$A$1:$I$89,3,0)*0.475*44/12</f>
        <v>1.0723195907202767E-9</v>
      </c>
      <c r="ED100" s="24">
        <f t="shared" si="72"/>
        <v>5.5125474248508333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895.34129185430595</v>
      </c>
      <c r="S101" s="62">
        <f ca="1">AVERAGE(OFFSET($R$3,0,0,'Données projet'!$E$9+1,1))-AVERAGE(OFFSET($H$3,0,0,'Données projet'!$E$9+1,1))</f>
        <v>499.92116338695428</v>
      </c>
      <c r="T101" s="62">
        <f t="shared" si="88"/>
        <v>316.79403154855652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0.36411723699299103</v>
      </c>
      <c r="AB101" s="23">
        <f>EXP(-LN(2)/2)*AB100+(1-EXP(-LN(2)/2))/(LN(2)/2)*V101*Y101*VLOOKUP('Données projet'!$B$9,Paramètres!$A$1:$I$89,3,0)*0.475*44/12</f>
        <v>1.3683826528908951E-9</v>
      </c>
      <c r="AC101" s="24">
        <f t="shared" si="57"/>
        <v>0.36411723836137366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268.25838824730744</v>
      </c>
      <c r="AN101" s="62">
        <f ca="1">AVERAGE(OFFSET($AM$3,0,0,'Données projet'!$E$10+1,1))-AVERAGE(OFFSET($H$3,0,0,'Données projet'!$E$10+1,1))</f>
        <v>225.71928466161592</v>
      </c>
      <c r="AO101" s="62">
        <f t="shared" si="90"/>
        <v>385.98818770742025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211.70619219850786</v>
      </c>
      <c r="BJ101" s="62">
        <f t="shared" si="92"/>
        <v>426.883837098247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25.698573488163905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1.5482361427918906E-8</v>
      </c>
      <c r="BS101" s="24">
        <f t="shared" si="63"/>
        <v>25.698573503646266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1.9895196601282805E-13</v>
      </c>
      <c r="BZ101" s="14">
        <f>BY101*VLOOKUP('Données projet'!$B$12,Paramètres!$A$1:$I$89,3,0)*VLOOKUP('Données projet'!$B$12,Paramètres!$A$1:$I$89,5,0)</f>
        <v>1.8001173884840681E-13</v>
      </c>
      <c r="CA101" s="14">
        <f t="shared" si="93"/>
        <v>2.5254331426407198E-12</v>
      </c>
      <c r="CB101" s="22">
        <f t="shared" si="64"/>
        <v>4.7119831685935622E-12</v>
      </c>
      <c r="CC101" s="62">
        <f t="shared" si="65"/>
        <v>268.25838824731107</v>
      </c>
      <c r="CD101" s="62">
        <f ca="1">AVERAGE(OFFSET($CC$3,0,0,'Données projet'!$E$12+1,1))-AVERAGE(OFFSET($H$3,0,0,'Données projet'!$E$12+1,1))</f>
        <v>327.07074355218322</v>
      </c>
      <c r="CE101" s="62">
        <f t="shared" si="94"/>
        <v>462.01668587029087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3.5721431645046953</v>
      </c>
      <c r="CL101" s="23">
        <f>EXP(-LN(2)/25)*CL100+(1-EXP(-LN(2)/25))/(LN(2)/25)*Calculateur!CG101*Calculateur!CI101*VLOOKUP('Données projet'!$B$12,Paramètres!$A$1:$I$89,3,0)*0.475*44/12</f>
        <v>0.47598247888807566</v>
      </c>
      <c r="CM101" s="23">
        <f>EXP(-LN(2)/2)*CM100+(1-EXP(-LN(2)/2))/(LN(2)/2)*CG101*CJ101*VLOOKUP('Données projet'!$B$12,Paramètres!$A$1:$I$89,3,0)*0.475*44/12</f>
        <v>3.4314057764753413E-14</v>
      </c>
      <c r="CN101" s="24">
        <f t="shared" si="66"/>
        <v>4.0481256433928055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>
        <f>CT101*VLOOKUP('Données projet'!$B$13,Paramètres!$A$1:$I$89,3,0)*VLOOKUP('Données projet'!$B$13,Paramètres!$A$1:$I$89,5,0)</f>
        <v>0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93.836028041880496</v>
      </c>
      <c r="CZ101" s="62">
        <f t="shared" si="96"/>
        <v>465.96044964631358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20.970755302240352</v>
      </c>
      <c r="DG101" s="23">
        <f>EXP(-LN(2)/25)*DG100+(1-EXP(-LN(2)/25))/(LN(2)/25)*Calculateur!DB101*Calculateur!DD101*VLOOKUP('Données projet'!$B$13,Paramètres!$A$1:$I$89,3,0)*0.475*44/12</f>
        <v>2.7489887074648265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23.719744009705177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-3.4106051316484809E-13</v>
      </c>
      <c r="DP101" s="18">
        <f>DO101*VLOOKUP('Données projet'!$B$14,Paramètres!$A$1:$I$89,3,0)*VLOOKUP('Données projet'!$B$14,Paramètres!$A$1:$I$89,5,0)</f>
        <v>-2.0395418687257919E-13</v>
      </c>
      <c r="DQ101" s="14" t="e">
        <f t="shared" si="97"/>
        <v>#NUM!</v>
      </c>
      <c r="DR101" s="22" t="e">
        <f t="shared" si="70"/>
        <v>#NUM!</v>
      </c>
      <c r="DS101" s="62" t="e">
        <f t="shared" si="71"/>
        <v>#NUM!</v>
      </c>
      <c r="DT101" s="62">
        <f ca="1">AVERAGE(OFFSET($DS$3,0,0,'Données projet'!$E$14+1,1))-AVERAGE(OFFSET($H$3,0,0,'Données projet'!$E$14+1,1))</f>
        <v>386.56102661082468</v>
      </c>
      <c r="DU101" s="62">
        <f t="shared" si="98"/>
        <v>410.28336627719011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5.0634971771507775</v>
      </c>
      <c r="EB101" s="23">
        <f>EXP(-LN(2)/25)*EB100+(1-EXP(-LN(2)/25))/(LN(2)/25)*Calculateur!DW101*Calculateur!DY101*VLOOKUP('Données projet'!$B$14,Paramètres!$A$1:$I$89,3,0)*0.475*44/12</f>
        <v>0.3382623059512273</v>
      </c>
      <c r="EC101" s="23">
        <f>EXP(-LN(2)/2)*EC100+(1-EXP(-LN(2)/2))/(LN(2)/2)*DW101*DZ101*VLOOKUP('Données projet'!$B$14,Paramètres!$A$1:$I$89,3,0)*0.475*44/12</f>
        <v>7.5824445419749093E-10</v>
      </c>
      <c r="ED101" s="24">
        <f t="shared" si="72"/>
        <v>5.401759483860249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906.8373176107292</v>
      </c>
      <c r="S102" s="62">
        <f ca="1">AVERAGE(OFFSET($R$3,0,0,'Données projet'!$E$9+1,1))-AVERAGE(OFFSET($H$3,0,0,'Données projet'!$E$9+1,1))</f>
        <v>499.92116338695428</v>
      </c>
      <c r="T102" s="62">
        <f t="shared" si="88"/>
        <v>316.79403154855652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0.3541604319993244</v>
      </c>
      <c r="AB102" s="23">
        <f>EXP(-LN(2)/2)*AB101+(1-EXP(-LN(2)/2))/(LN(2)/2)*V102*Y102*VLOOKUP('Données projet'!$B$9,Paramètres!$A$1:$I$89,3,0)*0.475*44/12</f>
        <v>9.6759265311718959E-10</v>
      </c>
      <c r="AC102" s="24">
        <f t="shared" si="57"/>
        <v>0.35416043296691707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268.69338248537105</v>
      </c>
      <c r="AN102" s="62">
        <f ca="1">AVERAGE(OFFSET($AM$3,0,0,'Données projet'!$E$10+1,1))-AVERAGE(OFFSET($H$3,0,0,'Données projet'!$E$10+1,1))</f>
        <v>225.71928466161592</v>
      </c>
      <c r="AO102" s="62">
        <f t="shared" si="90"/>
        <v>385.98818770742025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211.70619219850786</v>
      </c>
      <c r="BJ102" s="62">
        <f t="shared" si="92"/>
        <v>426.883837098247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25.194640136643102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1.0947682754462498E-8</v>
      </c>
      <c r="BS102" s="24">
        <f t="shared" si="63"/>
        <v>25.194640147590786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1.9895196601282805E-13</v>
      </c>
      <c r="BZ102" s="14">
        <f>BY102*VLOOKUP('Données projet'!$B$12,Paramètres!$A$1:$I$89,3,0)*VLOOKUP('Données projet'!$B$12,Paramètres!$A$1:$I$89,5,0)</f>
        <v>1.8001173884840681E-13</v>
      </c>
      <c r="CA102" s="14">
        <f t="shared" si="93"/>
        <v>2.5254331426407198E-12</v>
      </c>
      <c r="CB102" s="22">
        <f t="shared" si="64"/>
        <v>4.7119831685935622E-12</v>
      </c>
      <c r="CC102" s="62">
        <f t="shared" si="65"/>
        <v>268.69338248537468</v>
      </c>
      <c r="CD102" s="62">
        <f ca="1">AVERAGE(OFFSET($CC$3,0,0,'Données projet'!$E$12+1,1))-AVERAGE(OFFSET($H$3,0,0,'Données projet'!$E$12+1,1))</f>
        <v>327.07074355218322</v>
      </c>
      <c r="CE102" s="62">
        <f t="shared" si="94"/>
        <v>462.01668587029087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3.5020956158409509</v>
      </c>
      <c r="CL102" s="23">
        <f>EXP(-LN(2)/25)*CL101+(1-EXP(-LN(2)/25))/(LN(2)/25)*Calculateur!CG102*Calculateur!CI102*VLOOKUP('Données projet'!$B$12,Paramètres!$A$1:$I$89,3,0)*0.475*44/12</f>
        <v>0.46296671297205055</v>
      </c>
      <c r="CM102" s="23">
        <f>EXP(-LN(2)/2)*CM101+(1-EXP(-LN(2)/2))/(LN(2)/2)*CG102*CJ102*VLOOKUP('Données projet'!$B$12,Paramètres!$A$1:$I$89,3,0)*0.475*44/12</f>
        <v>2.4263702935484044E-14</v>
      </c>
      <c r="CN102" s="24">
        <f t="shared" si="66"/>
        <v>3.9650623288130258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>
        <f>CT102*VLOOKUP('Données projet'!$B$13,Paramètres!$A$1:$I$89,3,0)*VLOOKUP('Données projet'!$B$13,Paramètres!$A$1:$I$89,5,0)</f>
        <v>0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93.836028041880496</v>
      </c>
      <c r="CZ102" s="62">
        <f t="shared" si="96"/>
        <v>465.96044964631358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20.559531581661158</v>
      </c>
      <c r="DG102" s="23">
        <f>EXP(-LN(2)/25)*DG101+(1-EXP(-LN(2)/25))/(LN(2)/25)*Calculateur!DB102*Calculateur!DD102*VLOOKUP('Données projet'!$B$13,Paramètres!$A$1:$I$89,3,0)*0.475*44/12</f>
        <v>2.6738174666961676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23.233349048357326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-3.4106051316484809E-13</v>
      </c>
      <c r="DP102" s="18">
        <f>DO102*VLOOKUP('Données projet'!$B$14,Paramètres!$A$1:$I$89,3,0)*VLOOKUP('Données projet'!$B$14,Paramètres!$A$1:$I$89,5,0)</f>
        <v>-2.0395418687257919E-13</v>
      </c>
      <c r="DQ102" s="14" t="e">
        <f t="shared" si="97"/>
        <v>#NUM!</v>
      </c>
      <c r="DR102" s="22" t="e">
        <f t="shared" si="70"/>
        <v>#NUM!</v>
      </c>
      <c r="DS102" s="62" t="e">
        <f t="shared" si="71"/>
        <v>#NUM!</v>
      </c>
      <c r="DT102" s="62">
        <f ca="1">AVERAGE(OFFSET($DS$3,0,0,'Données projet'!$E$14+1,1))-AVERAGE(OFFSET($H$3,0,0,'Données projet'!$E$14+1,1))</f>
        <v>386.56102661082468</v>
      </c>
      <c r="DU102" s="62">
        <f t="shared" si="98"/>
        <v>410.28336627719011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4.9642050859351716</v>
      </c>
      <c r="EB102" s="23">
        <f>EXP(-LN(2)/25)*EB101+(1-EXP(-LN(2)/25))/(LN(2)/25)*Calculateur!DW102*Calculateur!DY102*VLOOKUP('Données projet'!$B$14,Paramètres!$A$1:$I$89,3,0)*0.475*44/12</f>
        <v>0.32901250540654942</v>
      </c>
      <c r="EC102" s="23">
        <f>EXP(-LN(2)/2)*EC101+(1-EXP(-LN(2)/2))/(LN(2)/2)*DW102*DZ102*VLOOKUP('Données projet'!$B$14,Paramètres!$A$1:$I$89,3,0)*0.475*44/12</f>
        <v>5.3615979536013836E-10</v>
      </c>
      <c r="ED102" s="24">
        <f t="shared" si="72"/>
        <v>5.2932175918778803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918.32183731934651</v>
      </c>
      <c r="S103" s="62">
        <f ca="1">AVERAGE(OFFSET($R$3,0,0,'Données projet'!$E$9+1,1))-AVERAGE(OFFSET($H$3,0,0,'Données projet'!$E$9+1,1))</f>
        <v>499.92116338695428</v>
      </c>
      <c r="T103" s="62">
        <f t="shared" si="88"/>
        <v>316.79403154855652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0.34447589636181519</v>
      </c>
      <c r="AB103" s="23">
        <f>EXP(-LN(2)/2)*AB102+(1-EXP(-LN(2)/2))/(LN(2)/2)*V103*Y103*VLOOKUP('Données projet'!$B$9,Paramètres!$A$1:$I$89,3,0)*0.475*44/12</f>
        <v>6.8419132644544756E-10</v>
      </c>
      <c r="AC103" s="24">
        <f t="shared" si="57"/>
        <v>0.34447589704600651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269.12083054590573</v>
      </c>
      <c r="AN103" s="62">
        <f ca="1">AVERAGE(OFFSET($AM$3,0,0,'Données projet'!$E$10+1,1))-AVERAGE(OFFSET($H$3,0,0,'Données projet'!$E$10+1,1))</f>
        <v>225.71928466161592</v>
      </c>
      <c r="AO103" s="62">
        <f t="shared" si="90"/>
        <v>385.98818770742025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211.70619219850786</v>
      </c>
      <c r="BJ103" s="62">
        <f t="shared" si="92"/>
        <v>426.883837098247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24.700588610776627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7.741180713959453E-9</v>
      </c>
      <c r="BS103" s="24">
        <f t="shared" si="63"/>
        <v>24.700588618517809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1.9895196601282805E-13</v>
      </c>
      <c r="BZ103" s="14">
        <f>BY103*VLOOKUP('Données projet'!$B$12,Paramètres!$A$1:$I$89,3,0)*VLOOKUP('Données projet'!$B$12,Paramètres!$A$1:$I$89,5,0)</f>
        <v>1.8001173884840681E-13</v>
      </c>
      <c r="CA103" s="14">
        <f t="shared" si="93"/>
        <v>2.5254331426407198E-12</v>
      </c>
      <c r="CB103" s="22">
        <f t="shared" si="64"/>
        <v>4.7119831685935622E-12</v>
      </c>
      <c r="CC103" s="62">
        <f t="shared" si="65"/>
        <v>269.12083054590937</v>
      </c>
      <c r="CD103" s="62">
        <f ca="1">AVERAGE(OFFSET($CC$3,0,0,'Données projet'!$E$12+1,1))-AVERAGE(OFFSET($H$3,0,0,'Données projet'!$E$12+1,1))</f>
        <v>327.07074355218322</v>
      </c>
      <c r="CE103" s="62">
        <f t="shared" si="94"/>
        <v>462.01668587029087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3.4334216568817162</v>
      </c>
      <c r="CL103" s="23">
        <f>EXP(-LN(2)/25)*CL102+(1-EXP(-LN(2)/25))/(LN(2)/25)*Calculateur!CG103*Calculateur!CI103*VLOOKUP('Données projet'!$B$12,Paramètres!$A$1:$I$89,3,0)*0.475*44/12</f>
        <v>0.4503068638594685</v>
      </c>
      <c r="CM103" s="23">
        <f>EXP(-LN(2)/2)*CM102+(1-EXP(-LN(2)/2))/(LN(2)/2)*CG103*CJ103*VLOOKUP('Données projet'!$B$12,Paramètres!$A$1:$I$89,3,0)*0.475*44/12</f>
        <v>1.7157028882376707E-14</v>
      </c>
      <c r="CN103" s="24">
        <f t="shared" si="66"/>
        <v>3.8837285207412022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>
        <f>CT103*VLOOKUP('Données projet'!$B$13,Paramètres!$A$1:$I$89,3,0)*VLOOKUP('Données projet'!$B$13,Paramètres!$A$1:$I$89,5,0)</f>
        <v>0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93.836028041880496</v>
      </c>
      <c r="CZ103" s="62">
        <f t="shared" si="96"/>
        <v>465.96044964631358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20.156371707420817</v>
      </c>
      <c r="DG103" s="23">
        <f>EXP(-LN(2)/25)*DG102+(1-EXP(-LN(2)/25))/(LN(2)/25)*Calculateur!DB103*Calculateur!DD103*VLOOKUP('Données projet'!$B$13,Paramètres!$A$1:$I$89,3,0)*0.475*44/12</f>
        <v>2.6007017874594114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22.757073494880228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-3.4106051316484809E-13</v>
      </c>
      <c r="DP103" s="18">
        <f>DO103*VLOOKUP('Données projet'!$B$14,Paramètres!$A$1:$I$89,3,0)*VLOOKUP('Données projet'!$B$14,Paramètres!$A$1:$I$89,5,0)</f>
        <v>-2.0395418687257919E-13</v>
      </c>
      <c r="DQ103" s="14" t="e">
        <f t="shared" si="97"/>
        <v>#NUM!</v>
      </c>
      <c r="DR103" s="22" t="e">
        <f t="shared" si="70"/>
        <v>#NUM!</v>
      </c>
      <c r="DS103" s="62" t="e">
        <f t="shared" si="71"/>
        <v>#NUM!</v>
      </c>
      <c r="DT103" s="62">
        <f ca="1">AVERAGE(OFFSET($DS$3,0,0,'Données projet'!$E$14+1,1))-AVERAGE(OFFSET($H$3,0,0,'Données projet'!$E$14+1,1))</f>
        <v>386.56102661082468</v>
      </c>
      <c r="DU103" s="62">
        <f t="shared" si="98"/>
        <v>410.28336627719011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4.8668600520661087</v>
      </c>
      <c r="EB103" s="23">
        <f>EXP(-LN(2)/25)*EB102+(1-EXP(-LN(2)/25))/(LN(2)/25)*Calculateur!DW103*Calculateur!DY103*VLOOKUP('Données projet'!$B$14,Paramètres!$A$1:$I$89,3,0)*0.475*44/12</f>
        <v>0.32001564114419162</v>
      </c>
      <c r="EC103" s="23">
        <f>EXP(-LN(2)/2)*EC102+(1-EXP(-LN(2)/2))/(LN(2)/2)*DW103*DZ103*VLOOKUP('Données projet'!$B$14,Paramètres!$A$1:$I$89,3,0)*0.475*44/12</f>
        <v>3.7912222709874547E-10</v>
      </c>
      <c r="ED103" s="24">
        <f t="shared" si="72"/>
        <v>5.1868756935894229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877.54348913098738</v>
      </c>
      <c r="S104" s="62">
        <f ca="1">AVERAGE(OFFSET($R$3,0,0,'Données projet'!$E$9+1,1))-AVERAGE(OFFSET($H$3,0,0,'Données projet'!$E$9+1,1))</f>
        <v>499.92116338695428</v>
      </c>
      <c r="T104" s="62">
        <f t="shared" si="88"/>
        <v>316.79403154855652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0.33505618486060129</v>
      </c>
      <c r="AB104" s="23">
        <f>EXP(-LN(2)/2)*AB103+(1-EXP(-LN(2)/2))/(LN(2)/2)*V104*Y104*VLOOKUP('Données projet'!$B$9,Paramètres!$A$1:$I$89,3,0)*0.475*44/12</f>
        <v>4.8379632655859479E-10</v>
      </c>
      <c r="AC104" s="24">
        <f t="shared" si="57"/>
        <v>0.33505618534439763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269.54086333822079</v>
      </c>
      <c r="AN104" s="62">
        <f ca="1">AVERAGE(OFFSET($AM$3,0,0,'Données projet'!$E$10+1,1))-AVERAGE(OFFSET($H$3,0,0,'Données projet'!$E$10+1,1))</f>
        <v>225.71928466161592</v>
      </c>
      <c r="AO104" s="62">
        <f t="shared" si="90"/>
        <v>385.98818770742025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211.70619219850786</v>
      </c>
      <c r="BJ104" s="62">
        <f t="shared" si="92"/>
        <v>426.883837098247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24.216225133990719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5.4738413772312488E-9</v>
      </c>
      <c r="BS104" s="24">
        <f t="shared" si="63"/>
        <v>24.216225139464559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1.9895196601282805E-13</v>
      </c>
      <c r="BZ104" s="14">
        <f>BY104*VLOOKUP('Données projet'!$B$12,Paramètres!$A$1:$I$89,3,0)*VLOOKUP('Données projet'!$B$12,Paramètres!$A$1:$I$89,5,0)</f>
        <v>1.8001173884840681E-13</v>
      </c>
      <c r="CA104" s="14">
        <f t="shared" si="93"/>
        <v>2.5254331426407198E-12</v>
      </c>
      <c r="CB104" s="22">
        <f t="shared" si="64"/>
        <v>4.7119831685935622E-12</v>
      </c>
      <c r="CC104" s="62">
        <f t="shared" si="65"/>
        <v>269.54086333822443</v>
      </c>
      <c r="CD104" s="62">
        <f ca="1">AVERAGE(OFFSET($CC$3,0,0,'Données projet'!$E$12+1,1))-AVERAGE(OFFSET($H$3,0,0,'Données projet'!$E$12+1,1))</f>
        <v>327.07074355218322</v>
      </c>
      <c r="CE104" s="62">
        <f t="shared" si="94"/>
        <v>462.01668587029087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3.3660943523706934</v>
      </c>
      <c r="CL104" s="23">
        <f>EXP(-LN(2)/25)*CL103+(1-EXP(-LN(2)/25))/(LN(2)/25)*Calculateur!CG104*Calculateur!CI104*VLOOKUP('Données projet'!$B$12,Paramètres!$A$1:$I$89,3,0)*0.475*44/12</f>
        <v>0.43799319898662253</v>
      </c>
      <c r="CM104" s="23">
        <f>EXP(-LN(2)/2)*CM103+(1-EXP(-LN(2)/2))/(LN(2)/2)*CG104*CJ104*VLOOKUP('Données projet'!$B$12,Paramètres!$A$1:$I$89,3,0)*0.475*44/12</f>
        <v>1.2131851467742022E-14</v>
      </c>
      <c r="CN104" s="24">
        <f t="shared" si="66"/>
        <v>3.8040875513573278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>
        <f>CT104*VLOOKUP('Données projet'!$B$13,Paramètres!$A$1:$I$89,3,0)*VLOOKUP('Données projet'!$B$13,Paramètres!$A$1:$I$89,5,0)</f>
        <v>0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93.836028041880496</v>
      </c>
      <c r="CZ104" s="62">
        <f t="shared" si="96"/>
        <v>465.96044964631358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19.761117552411086</v>
      </c>
      <c r="DG104" s="23">
        <f>EXP(-LN(2)/25)*DG103+(1-EXP(-LN(2)/25))/(LN(2)/25)*Calculateur!DB104*Calculateur!DD104*VLOOKUP('Données projet'!$B$13,Paramètres!$A$1:$I$89,3,0)*0.475*44/12</f>
        <v>2.5295854603163708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22.290703012727455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-3.4106051316484809E-13</v>
      </c>
      <c r="DP104" s="18">
        <f>DO104*VLOOKUP('Données projet'!$B$14,Paramètres!$A$1:$I$89,3,0)*VLOOKUP('Données projet'!$B$14,Paramètres!$A$1:$I$89,5,0)</f>
        <v>-2.0395418687257919E-13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386.56102661082468</v>
      </c>
      <c r="DU104" s="62">
        <f t="shared" si="98"/>
        <v>410.28336627719011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4.7714238949366097</v>
      </c>
      <c r="EB104" s="23">
        <f>EXP(-LN(2)/25)*EB103+(1-EXP(-LN(2)/25))/(LN(2)/25)*Calculateur!DW104*Calculateur!DY104*VLOOKUP('Données projet'!$B$14,Paramètres!$A$1:$I$89,3,0)*0.475*44/12</f>
        <v>0.31126479660821255</v>
      </c>
      <c r="EC104" s="23">
        <f>EXP(-LN(2)/2)*EC103+(1-EXP(-LN(2)/2))/(LN(2)/2)*DW104*DZ104*VLOOKUP('Données projet'!$B$14,Paramètres!$A$1:$I$89,3,0)*0.475*44/12</f>
        <v>2.6807989768006918E-10</v>
      </c>
      <c r="ED104" s="24">
        <f t="shared" si="72"/>
        <v>5.0826886918129022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888.26110239971354</v>
      </c>
      <c r="S105" s="62">
        <f ca="1">AVERAGE(OFFSET($R$3,0,0,'Données projet'!$E$9+1,1))-AVERAGE(OFFSET($H$3,0,0,'Données projet'!$E$9+1,1))</f>
        <v>499.92116338695428</v>
      </c>
      <c r="T105" s="62">
        <f t="shared" si="88"/>
        <v>316.79403154855652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0.32589405586574915</v>
      </c>
      <c r="AB105" s="23">
        <f>EXP(-LN(2)/2)*AB104+(1-EXP(-LN(2)/2))/(LN(2)/2)*V105*Y105*VLOOKUP('Données projet'!$B$9,Paramètres!$A$1:$I$89,3,0)*0.475*44/12</f>
        <v>3.4209566322272378E-10</v>
      </c>
      <c r="AC105" s="24">
        <f t="shared" si="57"/>
        <v>0.32589405620784484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269.95360950064185</v>
      </c>
      <c r="AN105" s="62">
        <f ca="1">AVERAGE(OFFSET($AM$3,0,0,'Données projet'!$E$10+1,1))-AVERAGE(OFFSET($H$3,0,0,'Données projet'!$E$10+1,1))</f>
        <v>225.71928466161592</v>
      </c>
      <c r="AO105" s="62">
        <f t="shared" si="90"/>
        <v>385.98818770742025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211.70619219850786</v>
      </c>
      <c r="BJ105" s="62">
        <f t="shared" si="92"/>
        <v>426.883837098247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23.741359729552034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3.8705903569797265E-9</v>
      </c>
      <c r="BS105" s="24">
        <f t="shared" si="63"/>
        <v>23.741359733422623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1.9895196601282805E-13</v>
      </c>
      <c r="BZ105" s="14">
        <f>BY105*VLOOKUP('Données projet'!$B$12,Paramètres!$A$1:$I$89,3,0)*VLOOKUP('Données projet'!$B$12,Paramètres!$A$1:$I$89,5,0)</f>
        <v>1.8001173884840681E-13</v>
      </c>
      <c r="CA105" s="14">
        <f t="shared" si="93"/>
        <v>2.5254331426407198E-12</v>
      </c>
      <c r="CB105" s="22">
        <f t="shared" si="64"/>
        <v>4.7119831685935622E-12</v>
      </c>
      <c r="CC105" s="62">
        <f t="shared" si="65"/>
        <v>269.95360950064548</v>
      </c>
      <c r="CD105" s="62">
        <f ca="1">AVERAGE(OFFSET($CC$3,0,0,'Données projet'!$E$12+1,1))-AVERAGE(OFFSET($H$3,0,0,'Données projet'!$E$12+1,1))</f>
        <v>327.07074355218322</v>
      </c>
      <c r="CE105" s="62">
        <f t="shared" si="94"/>
        <v>462.01668587029087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3.3000872952355307</v>
      </c>
      <c r="CL105" s="23">
        <f>EXP(-LN(2)/25)*CL104+(1-EXP(-LN(2)/25))/(LN(2)/25)*Calculateur!CG105*Calculateur!CI105*VLOOKUP('Données projet'!$B$12,Paramètres!$A$1:$I$89,3,0)*0.475*44/12</f>
        <v>0.42601625192727205</v>
      </c>
      <c r="CM105" s="23">
        <f>EXP(-LN(2)/2)*CM104+(1-EXP(-LN(2)/2))/(LN(2)/2)*CG105*CJ105*VLOOKUP('Données projet'!$B$12,Paramètres!$A$1:$I$89,3,0)*0.475*44/12</f>
        <v>8.5785144411883533E-15</v>
      </c>
      <c r="CN105" s="24">
        <f t="shared" si="66"/>
        <v>3.7261035471628112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>
        <f>CT105*VLOOKUP('Données projet'!$B$13,Paramètres!$A$1:$I$89,3,0)*VLOOKUP('Données projet'!$B$13,Paramètres!$A$1:$I$89,5,0)</f>
        <v>0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93.836028041880496</v>
      </c>
      <c r="CZ105" s="62">
        <f t="shared" si="96"/>
        <v>465.96044964631358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19.373614090299867</v>
      </c>
      <c r="DG105" s="23">
        <f>EXP(-LN(2)/25)*DG104+(1-EXP(-LN(2)/25))/(LN(2)/25)*Calculateur!DB105*Calculateur!DD105*VLOOKUP('Données projet'!$B$13,Paramètres!$A$1:$I$89,3,0)*0.475*44/12</f>
        <v>2.4604138128789015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21.834027903178768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-3.4106051316484809E-13</v>
      </c>
      <c r="DP105" s="18">
        <f>DO105*VLOOKUP('Données projet'!$B$14,Paramètres!$A$1:$I$89,3,0)*VLOOKUP('Données projet'!$B$14,Paramètres!$A$1:$I$89,5,0)</f>
        <v>-2.0395418687257919E-13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386.56102661082468</v>
      </c>
      <c r="DU105" s="62">
        <f t="shared" si="98"/>
        <v>410.28336627719011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4.6778591826381124</v>
      </c>
      <c r="EB105" s="23">
        <f>EXP(-LN(2)/25)*EB104+(1-EXP(-LN(2)/25))/(LN(2)/25)*Calculateur!DW105*Calculateur!DY105*VLOOKUP('Données projet'!$B$14,Paramètres!$A$1:$I$89,3,0)*0.475*44/12</f>
        <v>0.30275324437625672</v>
      </c>
      <c r="EC105" s="23">
        <f>EXP(-LN(2)/2)*EC104+(1-EXP(-LN(2)/2))/(LN(2)/2)*DW105*DZ105*VLOOKUP('Données projet'!$B$14,Paramètres!$A$1:$I$89,3,0)*0.475*44/12</f>
        <v>1.8956111354937273E-10</v>
      </c>
      <c r="ED105" s="24">
        <f t="shared" si="72"/>
        <v>4.9806124272039307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898.96799690847376</v>
      </c>
      <c r="S106" s="62">
        <f ca="1">AVERAGE(OFFSET($R$3,0,0,'Données projet'!$E$9+1,1))-AVERAGE(OFFSET($H$3,0,0,'Données projet'!$E$9+1,1))</f>
        <v>499.92116338695428</v>
      </c>
      <c r="T106" s="62">
        <f t="shared" si="88"/>
        <v>316.79403154855652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0.31698246577007666</v>
      </c>
      <c r="AB106" s="23">
        <f>EXP(-LN(2)/2)*AB105+(1-EXP(-LN(2)/2))/(LN(2)/2)*V106*Y106*VLOOKUP('Données projet'!$B$9,Paramètres!$A$1:$I$89,3,0)*0.475*44/12</f>
        <v>2.418981632792974E-10</v>
      </c>
      <c r="AC106" s="24">
        <f t="shared" si="57"/>
        <v>0.31698246601197483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270.35919543990707</v>
      </c>
      <c r="AN106" s="62">
        <f ca="1">AVERAGE(OFFSET($AM$3,0,0,'Données projet'!$E$10+1,1))-AVERAGE(OFFSET($H$3,0,0,'Données projet'!$E$10+1,1))</f>
        <v>225.71928466161592</v>
      </c>
      <c r="AO106" s="62">
        <f t="shared" si="90"/>
        <v>385.98818770742025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211.70619219850786</v>
      </c>
      <c r="BJ106" s="62">
        <f t="shared" si="92"/>
        <v>426.883837098247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23.275806146055093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2.7369206886156244E-9</v>
      </c>
      <c r="BS106" s="24">
        <f t="shared" si="63"/>
        <v>23.275806148792014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1.9895196601282805E-13</v>
      </c>
      <c r="BZ106" s="14">
        <f>BY106*VLOOKUP('Données projet'!$B$12,Paramètres!$A$1:$I$89,3,0)*VLOOKUP('Données projet'!$B$12,Paramètres!$A$1:$I$89,5,0)</f>
        <v>1.8001173884840681E-13</v>
      </c>
      <c r="CA106" s="14">
        <f t="shared" si="93"/>
        <v>2.5254331426407198E-12</v>
      </c>
      <c r="CB106" s="22">
        <f t="shared" si="64"/>
        <v>4.7119831685935622E-12</v>
      </c>
      <c r="CC106" s="62">
        <f t="shared" si="65"/>
        <v>270.35919543991071</v>
      </c>
      <c r="CD106" s="62">
        <f ca="1">AVERAGE(OFFSET($CC$3,0,0,'Données projet'!$E$12+1,1))-AVERAGE(OFFSET($H$3,0,0,'Données projet'!$E$12+1,1))</f>
        <v>327.07074355218322</v>
      </c>
      <c r="CE106" s="62">
        <f t="shared" si="94"/>
        <v>462.01668587029087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3.235374596230459</v>
      </c>
      <c r="CL106" s="23">
        <f>EXP(-LN(2)/25)*CL105+(1-EXP(-LN(2)/25))/(LN(2)/25)*Calculateur!CG106*Calculateur!CI106*VLOOKUP('Données projet'!$B$12,Paramètres!$A$1:$I$89,3,0)*0.475*44/12</f>
        <v>0.41436681511509976</v>
      </c>
      <c r="CM106" s="23">
        <f>EXP(-LN(2)/2)*CM105+(1-EXP(-LN(2)/2))/(LN(2)/2)*CG106*CJ106*VLOOKUP('Données projet'!$B$12,Paramètres!$A$1:$I$89,3,0)*0.475*44/12</f>
        <v>6.065925733871011E-15</v>
      </c>
      <c r="CN106" s="24">
        <f t="shared" si="66"/>
        <v>3.6497414113455648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>
        <f>CT106*VLOOKUP('Données projet'!$B$13,Paramètres!$A$1:$I$89,3,0)*VLOOKUP('Données projet'!$B$13,Paramètres!$A$1:$I$89,5,0)</f>
        <v>0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93.836028041880496</v>
      </c>
      <c r="CZ106" s="62">
        <f t="shared" si="96"/>
        <v>465.96044964631358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18.993709334726876</v>
      </c>
      <c r="DG106" s="23">
        <f>EXP(-LN(2)/25)*DG105+(1-EXP(-LN(2)/25))/(LN(2)/25)*Calculateur!DB106*Calculateur!DD106*VLOOKUP('Données projet'!$B$13,Paramètres!$A$1:$I$89,3,0)*0.475*44/12</f>
        <v>2.3931336677781889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21.386843002505067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-3.4106051316484809E-13</v>
      </c>
      <c r="DP106" s="18">
        <f>DO106*VLOOKUP('Données projet'!$B$14,Paramètres!$A$1:$I$89,3,0)*VLOOKUP('Données projet'!$B$14,Paramètres!$A$1:$I$89,5,0)</f>
        <v>-2.0395418687257919E-13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386.56102661082468</v>
      </c>
      <c r="DU106" s="62">
        <f t="shared" si="98"/>
        <v>410.28336627719011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4.5861292172789492</v>
      </c>
      <c r="EB106" s="23">
        <f>EXP(-LN(2)/25)*EB105+(1-EXP(-LN(2)/25))/(LN(2)/25)*Calculateur!DW106*Calculateur!DY106*VLOOKUP('Données projet'!$B$14,Paramètres!$A$1:$I$89,3,0)*0.475*44/12</f>
        <v>0.29447444098768683</v>
      </c>
      <c r="EC106" s="23">
        <f>EXP(-LN(2)/2)*EC105+(1-EXP(-LN(2)/2))/(LN(2)/2)*DW106*DZ106*VLOOKUP('Données projet'!$B$14,Paramètres!$A$1:$I$89,3,0)*0.475*44/12</f>
        <v>1.3403994884003459E-10</v>
      </c>
      <c r="ED106" s="24">
        <f t="shared" si="72"/>
        <v>4.880603658400676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909.6643633949152</v>
      </c>
      <c r="S107" s="62">
        <f ca="1">AVERAGE(OFFSET($R$3,0,0,'Données projet'!$E$9+1,1))-AVERAGE(OFFSET($H$3,0,0,'Données projet'!$E$9+1,1))</f>
        <v>499.92116338695428</v>
      </c>
      <c r="T107" s="62">
        <f t="shared" si="88"/>
        <v>316.79403154855652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0.3083145635742105</v>
      </c>
      <c r="AB107" s="23">
        <f>EXP(-LN(2)/2)*AB106+(1-EXP(-LN(2)/2))/(LN(2)/2)*V107*Y107*VLOOKUP('Données projet'!$B$9,Paramètres!$A$1:$I$89,3,0)*0.475*44/12</f>
        <v>1.7104783161136189E-10</v>
      </c>
      <c r="AC107" s="24">
        <f t="shared" si="57"/>
        <v>0.30831456374525834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270.75774536988035</v>
      </c>
      <c r="AN107" s="62">
        <f ca="1">AVERAGE(OFFSET($AM$3,0,0,'Données projet'!$E$10+1,1))-AVERAGE(OFFSET($H$3,0,0,'Données projet'!$E$10+1,1))</f>
        <v>225.71928466161592</v>
      </c>
      <c r="AO107" s="62">
        <f t="shared" si="90"/>
        <v>385.98818770742025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211.70619219850786</v>
      </c>
      <c r="BJ107" s="62">
        <f t="shared" si="92"/>
        <v>426.883837098247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22.819381784370879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1.9352951784898633E-9</v>
      </c>
      <c r="BS107" s="24">
        <f t="shared" si="63"/>
        <v>22.819381786306174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1.9895196601282805E-13</v>
      </c>
      <c r="BZ107" s="14">
        <f>BY107*VLOOKUP('Données projet'!$B$12,Paramètres!$A$1:$I$89,3,0)*VLOOKUP('Données projet'!$B$12,Paramètres!$A$1:$I$89,5,0)</f>
        <v>1.8001173884840681E-13</v>
      </c>
      <c r="CA107" s="14">
        <f t="shared" si="93"/>
        <v>2.5254331426407198E-12</v>
      </c>
      <c r="CB107" s="22">
        <f t="shared" si="64"/>
        <v>4.7119831685935622E-12</v>
      </c>
      <c r="CC107" s="62">
        <f t="shared" si="65"/>
        <v>270.75774536988399</v>
      </c>
      <c r="CD107" s="62">
        <f ca="1">AVERAGE(OFFSET($CC$3,0,0,'Données projet'!$E$12+1,1))-AVERAGE(OFFSET($H$3,0,0,'Données projet'!$E$12+1,1))</f>
        <v>327.07074355218322</v>
      </c>
      <c r="CE107" s="62">
        <f t="shared" si="94"/>
        <v>462.01668587029087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3.1719308737820278</v>
      </c>
      <c r="CL107" s="23">
        <f>EXP(-LN(2)/25)*CL106+(1-EXP(-LN(2)/25))/(LN(2)/25)*Calculateur!CG107*Calculateur!CI107*VLOOKUP('Données projet'!$B$12,Paramètres!$A$1:$I$89,3,0)*0.475*44/12</f>
        <v>0.40303593276517358</v>
      </c>
      <c r="CM107" s="23">
        <f>EXP(-LN(2)/2)*CM106+(1-EXP(-LN(2)/2))/(LN(2)/2)*CG107*CJ107*VLOOKUP('Données projet'!$B$12,Paramètres!$A$1:$I$89,3,0)*0.475*44/12</f>
        <v>4.2892572205941767E-15</v>
      </c>
      <c r="CN107" s="24">
        <f t="shared" si="66"/>
        <v>3.5749668065472058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>
        <f>CT107*VLOOKUP('Données projet'!$B$13,Paramètres!$A$1:$I$89,3,0)*VLOOKUP('Données projet'!$B$13,Paramètres!$A$1:$I$89,5,0)</f>
        <v>0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93.836028041880496</v>
      </c>
      <c r="CZ107" s="62">
        <f t="shared" si="96"/>
        <v>465.96044964631358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18.621254279691652</v>
      </c>
      <c r="DG107" s="23">
        <f>EXP(-LN(2)/25)*DG106+(1-EXP(-LN(2)/25))/(LN(2)/25)*Calculateur!DB107*Calculateur!DD107*VLOOKUP('Données projet'!$B$13,Paramètres!$A$1:$I$89,3,0)*0.475*44/12</f>
        <v>2.3276933017833645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20.948947581475018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-3.4106051316484809E-13</v>
      </c>
      <c r="DP107" s="18">
        <f>DO107*VLOOKUP('Données projet'!$B$14,Paramètres!$A$1:$I$89,3,0)*VLOOKUP('Données projet'!$B$14,Paramètres!$A$1:$I$89,5,0)</f>
        <v>-2.0395418687257919E-13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386.56102661082468</v>
      </c>
      <c r="DU107" s="62">
        <f t="shared" si="98"/>
        <v>410.28336627719011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4.4961980205907244</v>
      </c>
      <c r="EB107" s="23">
        <f>EXP(-LN(2)/25)*EB106+(1-EXP(-LN(2)/25))/(LN(2)/25)*Calculateur!DW107*Calculateur!DY107*VLOOKUP('Données projet'!$B$14,Paramètres!$A$1:$I$89,3,0)*0.475*44/12</f>
        <v>0.2864220219131407</v>
      </c>
      <c r="EC107" s="23">
        <f>EXP(-LN(2)/2)*EC106+(1-EXP(-LN(2)/2))/(LN(2)/2)*DW107*DZ107*VLOOKUP('Données projet'!$B$14,Paramètres!$A$1:$I$89,3,0)*0.475*44/12</f>
        <v>9.4780556774686366E-11</v>
      </c>
      <c r="ED107" s="24">
        <f t="shared" si="72"/>
        <v>4.7826200425986451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920.35038812303333</v>
      </c>
      <c r="S108" s="62">
        <f ca="1">AVERAGE(OFFSET($R$3,0,0,'Données projet'!$E$9+1,1))-AVERAGE(OFFSET($H$3,0,0,'Données projet'!$E$9+1,1))</f>
        <v>499.92116338695428</v>
      </c>
      <c r="T108" s="62">
        <f t="shared" si="88"/>
        <v>316.79403154855652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0.29988368561971546</v>
      </c>
      <c r="AB108" s="23">
        <f>EXP(-LN(2)/2)*AB107+(1-EXP(-LN(2)/2))/(LN(2)/2)*V108*Y108*VLOOKUP('Données projet'!$B$9,Paramètres!$A$1:$I$89,3,0)*0.475*44/12</f>
        <v>1.209490816396487E-10</v>
      </c>
      <c r="AC108" s="24">
        <f t="shared" si="57"/>
        <v>0.29988368574066454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271.14938134959277</v>
      </c>
      <c r="AN108" s="62">
        <f ca="1">AVERAGE(OFFSET($AM$3,0,0,'Données projet'!$E$10+1,1))-AVERAGE(OFFSET($H$3,0,0,'Données projet'!$E$10+1,1))</f>
        <v>225.71928466161592</v>
      </c>
      <c r="AO108" s="62">
        <f t="shared" si="90"/>
        <v>385.98818770742025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211.70619219850786</v>
      </c>
      <c r="BJ108" s="62">
        <f t="shared" si="92"/>
        <v>426.883837098247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22.371907626027923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1.3684603443078122E-9</v>
      </c>
      <c r="BS108" s="24">
        <f t="shared" si="63"/>
        <v>22.371907627396382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1.9895196601282805E-13</v>
      </c>
      <c r="BZ108" s="14">
        <f>BY108*VLOOKUP('Données projet'!$B$12,Paramètres!$A$1:$I$89,3,0)*VLOOKUP('Données projet'!$B$12,Paramètres!$A$1:$I$89,5,0)</f>
        <v>1.8001173884840681E-13</v>
      </c>
      <c r="CA108" s="14">
        <f t="shared" si="93"/>
        <v>2.5254331426407198E-12</v>
      </c>
      <c r="CB108" s="22">
        <f t="shared" si="64"/>
        <v>4.7119831685935622E-12</v>
      </c>
      <c r="CC108" s="62">
        <f t="shared" si="65"/>
        <v>271.14938134959641</v>
      </c>
      <c r="CD108" s="62">
        <f ca="1">AVERAGE(OFFSET($CC$3,0,0,'Données projet'!$E$12+1,1))-AVERAGE(OFFSET($H$3,0,0,'Données projet'!$E$12+1,1))</f>
        <v>327.07074355218322</v>
      </c>
      <c r="CE108" s="62">
        <f t="shared" si="94"/>
        <v>462.01668587029087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3.1097312440339606</v>
      </c>
      <c r="CL108" s="23">
        <f>EXP(-LN(2)/25)*CL107+(1-EXP(-LN(2)/25))/(LN(2)/25)*Calculateur!CG108*Calculateur!CI108*VLOOKUP('Données projet'!$B$12,Paramètres!$A$1:$I$89,3,0)*0.475*44/12</f>
        <v>0.39201489398897132</v>
      </c>
      <c r="CM108" s="23">
        <f>EXP(-LN(2)/2)*CM107+(1-EXP(-LN(2)/2))/(LN(2)/2)*CG108*CJ108*VLOOKUP('Données projet'!$B$12,Paramètres!$A$1:$I$89,3,0)*0.475*44/12</f>
        <v>3.0329628669355055E-15</v>
      </c>
      <c r="CN108" s="24">
        <f t="shared" si="66"/>
        <v>3.5017461380229351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>
        <f>CT108*VLOOKUP('Données projet'!$B$13,Paramètres!$A$1:$I$89,3,0)*VLOOKUP('Données projet'!$B$13,Paramètres!$A$1:$I$89,5,0)</f>
        <v>0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93.836028041880496</v>
      </c>
      <c r="CZ108" s="62">
        <f t="shared" si="96"/>
        <v>465.96044964631358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18.256102841110515</v>
      </c>
      <c r="DG108" s="23">
        <f>EXP(-LN(2)/25)*DG107+(1-EXP(-LN(2)/25))/(LN(2)/25)*Calculateur!DB108*Calculateur!DD108*VLOOKUP('Données projet'!$B$13,Paramètres!$A$1:$I$89,3,0)*0.475*44/12</f>
        <v>2.2640424060380275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20.520145247148541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-3.4106051316484809E-13</v>
      </c>
      <c r="DP108" s="18">
        <f>DO108*VLOOKUP('Données projet'!$B$14,Paramètres!$A$1:$I$89,3,0)*VLOOKUP('Données projet'!$B$14,Paramètres!$A$1:$I$89,5,0)</f>
        <v>-2.0395418687257919E-13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386.56102661082468</v>
      </c>
      <c r="DU108" s="62">
        <f t="shared" si="98"/>
        <v>410.28336627719011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4.4080303198169419</v>
      </c>
      <c r="EB108" s="23">
        <f>EXP(-LN(2)/25)*EB107+(1-EXP(-LN(2)/25))/(LN(2)/25)*Calculateur!DW108*Calculateur!DY108*VLOOKUP('Données projet'!$B$14,Paramètres!$A$1:$I$89,3,0)*0.475*44/12</f>
        <v>0.27858979666164635</v>
      </c>
      <c r="EC108" s="23">
        <f>EXP(-LN(2)/2)*EC107+(1-EXP(-LN(2)/2))/(LN(2)/2)*DW108*DZ108*VLOOKUP('Données projet'!$B$14,Paramètres!$A$1:$I$89,3,0)*0.475*44/12</f>
        <v>6.7019974420017296E-11</v>
      </c>
      <c r="ED108" s="24">
        <f t="shared" si="72"/>
        <v>4.6866201165456083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880.68201220028345</v>
      </c>
      <c r="S109" s="62">
        <f ca="1">AVERAGE(OFFSET($R$3,0,0,'Données projet'!$E$9+1,1))-AVERAGE(OFFSET($H$3,0,0,'Données projet'!$E$9+1,1))</f>
        <v>499.92116338695428</v>
      </c>
      <c r="T109" s="62">
        <f t="shared" si="88"/>
        <v>316.79403154855652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0.29168335046624672</v>
      </c>
      <c r="AB109" s="23">
        <f>EXP(-LN(2)/2)*AB108+(1-EXP(-LN(2)/2))/(LN(2)/2)*V109*Y109*VLOOKUP('Données projet'!$B$9,Paramètres!$A$1:$I$89,3,0)*0.475*44/12</f>
        <v>8.5523915805680945E-11</v>
      </c>
      <c r="AC109" s="24">
        <f t="shared" si="57"/>
        <v>0.29168335055177064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271.53422332062405</v>
      </c>
      <c r="AN109" s="62">
        <f ca="1">AVERAGE(OFFSET($AM$3,0,0,'Données projet'!$E$10+1,1))-AVERAGE(OFFSET($H$3,0,0,'Données projet'!$E$10+1,1))</f>
        <v>225.71928466161592</v>
      </c>
      <c r="AO109" s="62">
        <f t="shared" si="90"/>
        <v>385.98818770742025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211.70619219850786</v>
      </c>
      <c r="BJ109" s="62">
        <f t="shared" si="92"/>
        <v>426.883837098247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21.933208162997783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9.6764758924493163E-10</v>
      </c>
      <c r="BS109" s="24">
        <f t="shared" si="63"/>
        <v>21.933208163965432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1.9895196601282805E-13</v>
      </c>
      <c r="BZ109" s="14">
        <f>BY109*VLOOKUP('Données projet'!$B$12,Paramètres!$A$1:$I$89,3,0)*VLOOKUP('Données projet'!$B$12,Paramètres!$A$1:$I$89,5,0)</f>
        <v>1.8001173884840681E-13</v>
      </c>
      <c r="CA109" s="14">
        <f t="shared" si="93"/>
        <v>2.5254331426407198E-12</v>
      </c>
      <c r="CB109" s="22">
        <f t="shared" si="64"/>
        <v>4.7119831685935622E-12</v>
      </c>
      <c r="CC109" s="62">
        <f t="shared" si="65"/>
        <v>271.53422332062769</v>
      </c>
      <c r="CD109" s="62">
        <f ca="1">AVERAGE(OFFSET($CC$3,0,0,'Données projet'!$E$12+1,1))-AVERAGE(OFFSET($H$3,0,0,'Données projet'!$E$12+1,1))</f>
        <v>327.07074355218322</v>
      </c>
      <c r="CE109" s="62">
        <f t="shared" si="94"/>
        <v>462.01668587029087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3.0487513110872251</v>
      </c>
      <c r="CL109" s="23">
        <f>EXP(-LN(2)/25)*CL108+(1-EXP(-LN(2)/25))/(LN(2)/25)*Calculateur!CG109*Calculateur!CI109*VLOOKUP('Données projet'!$B$12,Paramètres!$A$1:$I$89,3,0)*0.475*44/12</f>
        <v>0.38129522609767558</v>
      </c>
      <c r="CM109" s="23">
        <f>EXP(-LN(2)/2)*CM108+(1-EXP(-LN(2)/2))/(LN(2)/2)*CG109*CJ109*VLOOKUP('Données projet'!$B$12,Paramètres!$A$1:$I$89,3,0)*0.475*44/12</f>
        <v>2.1446286102970883E-15</v>
      </c>
      <c r="CN109" s="24">
        <f t="shared" si="66"/>
        <v>3.4300465371849027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>
        <f>CT109*VLOOKUP('Données projet'!$B$13,Paramètres!$A$1:$I$89,3,0)*VLOOKUP('Données projet'!$B$13,Paramètres!$A$1:$I$89,5,0)</f>
        <v>0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93.836028041880496</v>
      </c>
      <c r="CZ109" s="62">
        <f t="shared" si="96"/>
        <v>465.96044964631358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17.898111799519569</v>
      </c>
      <c r="DG109" s="23">
        <f>EXP(-LN(2)/25)*DG108+(1-EXP(-LN(2)/25))/(LN(2)/25)*Calculateur!DB109*Calculateur!DD109*VLOOKUP('Données projet'!$B$13,Paramètres!$A$1:$I$89,3,0)*0.475*44/12</f>
        <v>2.2021320473841022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20.10024384690367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-3.4106051316484809E-13</v>
      </c>
      <c r="DP109" s="18">
        <f>DO109*VLOOKUP('Données projet'!$B$14,Paramètres!$A$1:$I$89,3,0)*VLOOKUP('Données projet'!$B$14,Paramètres!$A$1:$I$89,5,0)</f>
        <v>-2.0395418687257919E-13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386.56102661082468</v>
      </c>
      <c r="DU109" s="62">
        <f t="shared" si="98"/>
        <v>410.28336627719011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4.3215915338783466</v>
      </c>
      <c r="EB109" s="23">
        <f>EXP(-LN(2)/25)*EB108+(1-EXP(-LN(2)/25))/(LN(2)/25)*Calculateur!DW109*Calculateur!DY109*VLOOKUP('Données projet'!$B$14,Paramètres!$A$1:$I$89,3,0)*0.475*44/12</f>
        <v>0.27097174402153296</v>
      </c>
      <c r="EC109" s="23">
        <f>EXP(-LN(2)/2)*EC108+(1-EXP(-LN(2)/2))/(LN(2)/2)*DW109*DZ109*VLOOKUP('Données projet'!$B$14,Paramètres!$A$1:$I$89,3,0)*0.475*44/12</f>
        <v>4.7390278387343183E-11</v>
      </c>
      <c r="ED109" s="24">
        <f t="shared" si="72"/>
        <v>4.5925632779472698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890.60147503074643</v>
      </c>
      <c r="S110" s="62">
        <f ca="1">AVERAGE(OFFSET($R$3,0,0,'Données projet'!$E$9+1,1))-AVERAGE(OFFSET($H$3,0,0,'Données projet'!$E$9+1,1))</f>
        <v>499.92116338695428</v>
      </c>
      <c r="T110" s="62">
        <f t="shared" si="88"/>
        <v>316.79403154855652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0.28370725390878643</v>
      </c>
      <c r="AB110" s="23">
        <f>EXP(-LN(2)/2)*AB109+(1-EXP(-LN(2)/2))/(LN(2)/2)*V110*Y110*VLOOKUP('Données projet'!$B$9,Paramètres!$A$1:$I$89,3,0)*0.475*44/12</f>
        <v>6.0474540819824349E-11</v>
      </c>
      <c r="AC110" s="24">
        <f t="shared" si="57"/>
        <v>0.28370725396926094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271.9123891438357</v>
      </c>
      <c r="AN110" s="62">
        <f ca="1">AVERAGE(OFFSET($AM$3,0,0,'Données projet'!$E$10+1,1))-AVERAGE(OFFSET($H$3,0,0,'Données projet'!$E$10+1,1))</f>
        <v>225.71928466161592</v>
      </c>
      <c r="AO110" s="62">
        <f t="shared" si="90"/>
        <v>385.98818770742025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211.70619219850786</v>
      </c>
      <c r="BJ110" s="62">
        <f t="shared" si="92"/>
        <v>426.883837098247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21.503111328857415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6.842301721539061E-10</v>
      </c>
      <c r="BS110" s="24">
        <f t="shared" si="63"/>
        <v>21.503111329541646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1.9895196601282805E-13</v>
      </c>
      <c r="BZ110" s="14">
        <f>BY110*VLOOKUP('Données projet'!$B$12,Paramètres!$A$1:$I$89,3,0)*VLOOKUP('Données projet'!$B$12,Paramètres!$A$1:$I$89,5,0)</f>
        <v>1.8001173884840681E-13</v>
      </c>
      <c r="CA110" s="14">
        <f t="shared" si="93"/>
        <v>2.5254331426407198E-12</v>
      </c>
      <c r="CB110" s="22">
        <f t="shared" si="64"/>
        <v>4.7119831685935622E-12</v>
      </c>
      <c r="CC110" s="62">
        <f t="shared" si="65"/>
        <v>271.91238914383933</v>
      </c>
      <c r="CD110" s="62">
        <f ca="1">AVERAGE(OFFSET($CC$3,0,0,'Données projet'!$E$12+1,1))-AVERAGE(OFFSET($H$3,0,0,'Données projet'!$E$12+1,1))</f>
        <v>327.07074355218322</v>
      </c>
      <c r="CE110" s="62">
        <f t="shared" si="94"/>
        <v>462.01668587029087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2.9889671574314884</v>
      </c>
      <c r="CL110" s="23">
        <f>EXP(-LN(2)/25)*CL109+(1-EXP(-LN(2)/25))/(LN(2)/25)*Calculateur!CG110*Calculateur!CI110*VLOOKUP('Données projet'!$B$12,Paramètres!$A$1:$I$89,3,0)*0.475*44/12</f>
        <v>0.37086868808859014</v>
      </c>
      <c r="CM110" s="23">
        <f>EXP(-LN(2)/2)*CM109+(1-EXP(-LN(2)/2))/(LN(2)/2)*CG110*CJ110*VLOOKUP('Données projet'!$B$12,Paramètres!$A$1:$I$89,3,0)*0.475*44/12</f>
        <v>1.5164814334677527E-15</v>
      </c>
      <c r="CN110" s="24">
        <f t="shared" si="66"/>
        <v>3.3598358455200801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>
        <f>CT110*VLOOKUP('Données projet'!$B$13,Paramètres!$A$1:$I$89,3,0)*VLOOKUP('Données projet'!$B$13,Paramètres!$A$1:$I$89,5,0)</f>
        <v>0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93.836028041880496</v>
      </c>
      <c r="CZ110" s="62">
        <f t="shared" si="96"/>
        <v>465.96044964631358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17.547140743901245</v>
      </c>
      <c r="DG110" s="23">
        <f>EXP(-LN(2)/25)*DG109+(1-EXP(-LN(2)/25))/(LN(2)/25)*Calculateur!DB110*Calculateur!DD110*VLOOKUP('Données projet'!$B$13,Paramètres!$A$1:$I$89,3,0)*0.475*44/12</f>
        <v>2.1419146307432926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19.689055374644539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-3.4106051316484809E-13</v>
      </c>
      <c r="DP110" s="18">
        <f>DO110*VLOOKUP('Données projet'!$B$14,Paramètres!$A$1:$I$89,3,0)*VLOOKUP('Données projet'!$B$14,Paramètres!$A$1:$I$89,5,0)</f>
        <v>-2.0395418687257919E-13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386.56102661082468</v>
      </c>
      <c r="DU110" s="62">
        <f t="shared" si="98"/>
        <v>410.28336627719011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4.2368477598095531</v>
      </c>
      <c r="EB110" s="23">
        <f>EXP(-LN(2)/25)*EB109+(1-EXP(-LN(2)/25))/(LN(2)/25)*Calculateur!DW110*Calculateur!DY110*VLOOKUP('Données projet'!$B$14,Paramètres!$A$1:$I$89,3,0)*0.475*44/12</f>
        <v>0.26356200743147945</v>
      </c>
      <c r="EC110" s="23">
        <f>EXP(-LN(2)/2)*EC109+(1-EXP(-LN(2)/2))/(LN(2)/2)*DW110*DZ110*VLOOKUP('Données projet'!$B$14,Paramètres!$A$1:$I$89,3,0)*0.475*44/12</f>
        <v>3.3509987210008648E-11</v>
      </c>
      <c r="ED110" s="24">
        <f t="shared" si="72"/>
        <v>4.5004097672745429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900.51132883176592</v>
      </c>
      <c r="S111" s="62">
        <f ca="1">AVERAGE(OFFSET($R$3,0,0,'Données projet'!$E$9+1,1))-AVERAGE(OFFSET($H$3,0,0,'Données projet'!$E$9+1,1))</f>
        <v>499.92116338695428</v>
      </c>
      <c r="T111" s="62">
        <f t="shared" si="88"/>
        <v>316.79403154855652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0.27594926413113458</v>
      </c>
      <c r="AB111" s="23">
        <f>EXP(-LN(2)/2)*AB110+(1-EXP(-LN(2)/2))/(LN(2)/2)*V111*Y111*VLOOKUP('Données projet'!$B$9,Paramètres!$A$1:$I$89,3,0)*0.475*44/12</f>
        <v>4.2761957902840472E-11</v>
      </c>
      <c r="AC111" s="24">
        <f t="shared" si="57"/>
        <v>0.27594926417389654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272.2839946354668</v>
      </c>
      <c r="AN111" s="62">
        <f ca="1">AVERAGE(OFFSET($AM$3,0,0,'Données projet'!$E$10+1,1))-AVERAGE(OFFSET($H$3,0,0,'Données projet'!$E$10+1,1))</f>
        <v>225.71928466161592</v>
      </c>
      <c r="AO111" s="62">
        <f t="shared" si="90"/>
        <v>385.98818770742025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211.70619219850786</v>
      </c>
      <c r="BJ111" s="62">
        <f t="shared" si="92"/>
        <v>426.883837098247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21.081448431301371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4.8382379462246581E-10</v>
      </c>
      <c r="BS111" s="24">
        <f t="shared" si="63"/>
        <v>21.081448431785194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1.9895196601282805E-13</v>
      </c>
      <c r="BZ111" s="14">
        <f>BY111*VLOOKUP('Données projet'!$B$12,Paramètres!$A$1:$I$89,3,0)*VLOOKUP('Données projet'!$B$12,Paramètres!$A$1:$I$89,5,0)</f>
        <v>1.8001173884840681E-13</v>
      </c>
      <c r="CA111" s="14">
        <f t="shared" si="93"/>
        <v>2.5254331426407198E-12</v>
      </c>
      <c r="CB111" s="22">
        <f t="shared" si="64"/>
        <v>4.7119831685935622E-12</v>
      </c>
      <c r="CC111" s="62">
        <f t="shared" si="65"/>
        <v>272.28399463547044</v>
      </c>
      <c r="CD111" s="62">
        <f ca="1">AVERAGE(OFFSET($CC$3,0,0,'Données projet'!$E$12+1,1))-AVERAGE(OFFSET($H$3,0,0,'Données projet'!$E$12+1,1))</f>
        <v>327.07074355218322</v>
      </c>
      <c r="CE111" s="62">
        <f t="shared" si="94"/>
        <v>462.01668587029087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2.9303553345642079</v>
      </c>
      <c r="CL111" s="23">
        <f>EXP(-LN(2)/25)*CL110+(1-EXP(-LN(2)/25))/(LN(2)/25)*Calculateur!CG111*Calculateur!CI111*VLOOKUP('Données projet'!$B$12,Paramètres!$A$1:$I$89,3,0)*0.475*44/12</f>
        <v>0.36072726430967095</v>
      </c>
      <c r="CM111" s="23">
        <f>EXP(-LN(2)/2)*CM110+(1-EXP(-LN(2)/2))/(LN(2)/2)*CG111*CJ111*VLOOKUP('Données projet'!$B$12,Paramètres!$A$1:$I$89,3,0)*0.475*44/12</f>
        <v>1.0723143051485442E-15</v>
      </c>
      <c r="CN111" s="24">
        <f t="shared" si="66"/>
        <v>3.2910825988738797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>
        <f>CT111*VLOOKUP('Données projet'!$B$13,Paramètres!$A$1:$I$89,3,0)*VLOOKUP('Données projet'!$B$13,Paramètres!$A$1:$I$89,5,0)</f>
        <v>0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93.836028041880496</v>
      </c>
      <c r="CZ111" s="62">
        <f t="shared" si="96"/>
        <v>465.96044964631358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17.203052016612393</v>
      </c>
      <c r="DG111" s="23">
        <f>EXP(-LN(2)/25)*DG110+(1-EXP(-LN(2)/25))/(LN(2)/25)*Calculateur!DB111*Calculateur!DD111*VLOOKUP('Données projet'!$B$13,Paramètres!$A$1:$I$89,3,0)*0.475*44/12</f>
        <v>2.0833438625272223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19.286395879139615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-3.4106051316484809E-13</v>
      </c>
      <c r="DP111" s="18">
        <f>DO111*VLOOKUP('Données projet'!$B$14,Paramètres!$A$1:$I$89,3,0)*VLOOKUP('Données projet'!$B$14,Paramètres!$A$1:$I$89,5,0)</f>
        <v>-2.0395418687257919E-13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386.56102661082468</v>
      </c>
      <c r="DU111" s="62">
        <f t="shared" si="98"/>
        <v>410.28336627719011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4.1537657594616508</v>
      </c>
      <c r="EB111" s="23">
        <f>EXP(-LN(2)/25)*EB110+(1-EXP(-LN(2)/25))/(LN(2)/25)*Calculateur!DW111*Calculateur!DY111*VLOOKUP('Données projet'!$B$14,Paramètres!$A$1:$I$89,3,0)*0.475*44/12</f>
        <v>0.25635489047814203</v>
      </c>
      <c r="EC111" s="23">
        <f>EXP(-LN(2)/2)*EC110+(1-EXP(-LN(2)/2))/(LN(2)/2)*DW111*DZ111*VLOOKUP('Données projet'!$B$14,Paramètres!$A$1:$I$89,3,0)*0.475*44/12</f>
        <v>2.3695139193671592E-11</v>
      </c>
      <c r="ED111" s="24">
        <f t="shared" si="72"/>
        <v>4.4101206499634875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910.41174021737584</v>
      </c>
      <c r="S112" s="62">
        <f ca="1">AVERAGE(OFFSET($R$3,0,0,'Données projet'!$E$9+1,1))-AVERAGE(OFFSET($H$3,0,0,'Données projet'!$E$9+1,1))</f>
        <v>499.92116338695428</v>
      </c>
      <c r="T112" s="62">
        <f t="shared" si="88"/>
        <v>316.79403154855652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0.2684034169919276</v>
      </c>
      <c r="AB112" s="23">
        <f>EXP(-LN(2)/2)*AB111+(1-EXP(-LN(2)/2))/(LN(2)/2)*V112*Y112*VLOOKUP('Données projet'!$B$9,Paramètres!$A$1:$I$89,3,0)*0.475*44/12</f>
        <v>3.0237270409912175E-11</v>
      </c>
      <c r="AC112" s="24">
        <f t="shared" si="57"/>
        <v>0.26840341702216486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272.64915360260341</v>
      </c>
      <c r="AN112" s="62">
        <f ca="1">AVERAGE(OFFSET($AM$3,0,0,'Données projet'!$E$10+1,1))-AVERAGE(OFFSET($H$3,0,0,'Données projet'!$E$10+1,1))</f>
        <v>225.71928466161592</v>
      </c>
      <c r="AO112" s="62">
        <f t="shared" si="90"/>
        <v>385.98818770742025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211.70619219850786</v>
      </c>
      <c r="BJ112" s="62">
        <f t="shared" si="92"/>
        <v>426.883837098247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20.668054085977431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3.4211508607695305E-10</v>
      </c>
      <c r="BS112" s="24">
        <f t="shared" si="63"/>
        <v>20.668054086319547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1.9895196601282805E-13</v>
      </c>
      <c r="BZ112" s="14">
        <f>BY112*VLOOKUP('Données projet'!$B$12,Paramètres!$A$1:$I$89,3,0)*VLOOKUP('Données projet'!$B$12,Paramètres!$A$1:$I$89,5,0)</f>
        <v>1.8001173884840681E-13</v>
      </c>
      <c r="CA112" s="14">
        <f t="shared" si="93"/>
        <v>2.5254331426407198E-12</v>
      </c>
      <c r="CB112" s="22">
        <f t="shared" si="64"/>
        <v>4.7119831685935622E-12</v>
      </c>
      <c r="CC112" s="62">
        <f t="shared" si="65"/>
        <v>272.64915360260704</v>
      </c>
      <c r="CD112" s="62">
        <f ca="1">AVERAGE(OFFSET($CC$3,0,0,'Données projet'!$E$12+1,1))-AVERAGE(OFFSET($H$3,0,0,'Données projet'!$E$12+1,1))</f>
        <v>327.07074355218322</v>
      </c>
      <c r="CE112" s="62">
        <f t="shared" si="94"/>
        <v>462.01668587029087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2.8728928537936729</v>
      </c>
      <c r="CL112" s="23">
        <f>EXP(-LN(2)/25)*CL111+(1-EXP(-LN(2)/25))/(LN(2)/25)*Calculateur!CG112*Calculateur!CI112*VLOOKUP('Données projet'!$B$12,Paramètres!$A$1:$I$89,3,0)*0.475*44/12</f>
        <v>0.35086315829730064</v>
      </c>
      <c r="CM112" s="23">
        <f>EXP(-LN(2)/2)*CM111+(1-EXP(-LN(2)/2))/(LN(2)/2)*CG112*CJ112*VLOOKUP('Données projet'!$B$12,Paramètres!$A$1:$I$89,3,0)*0.475*44/12</f>
        <v>7.5824071673387637E-16</v>
      </c>
      <c r="CN112" s="24">
        <f t="shared" si="66"/>
        <v>3.2237560120909743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>
        <f>CT112*VLOOKUP('Données projet'!$B$13,Paramètres!$A$1:$I$89,3,0)*VLOOKUP('Données projet'!$B$13,Paramètres!$A$1:$I$89,5,0)</f>
        <v>0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93.836028041880496</v>
      </c>
      <c r="CZ112" s="62">
        <f t="shared" si="96"/>
        <v>465.96044964631358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16.865710659392274</v>
      </c>
      <c r="DG112" s="23">
        <f>EXP(-LN(2)/25)*DG111+(1-EXP(-LN(2)/25))/(LN(2)/25)*Calculateur!DB112*Calculateur!DD112*VLOOKUP('Données projet'!$B$13,Paramètres!$A$1:$I$89,3,0)*0.475*44/12</f>
        <v>2.0263747150481231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18.892085374440398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-3.4106051316484809E-13</v>
      </c>
      <c r="DP112" s="18">
        <f>DO112*VLOOKUP('Données projet'!$B$14,Paramètres!$A$1:$I$89,3,0)*VLOOKUP('Données projet'!$B$14,Paramètres!$A$1:$I$89,5,0)</f>
        <v>-2.0395418687257919E-13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386.56102661082468</v>
      </c>
      <c r="DU112" s="62">
        <f t="shared" si="98"/>
        <v>410.28336627719011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4.0723129464655541</v>
      </c>
      <c r="EB112" s="23">
        <f>EXP(-LN(2)/25)*EB111+(1-EXP(-LN(2)/25))/(LN(2)/25)*Calculateur!DW112*Calculateur!DY112*VLOOKUP('Données projet'!$B$14,Paramètres!$A$1:$I$89,3,0)*0.475*44/12</f>
        <v>0.24934485251689945</v>
      </c>
      <c r="EC112" s="23">
        <f>EXP(-LN(2)/2)*EC111+(1-EXP(-LN(2)/2))/(LN(2)/2)*DW112*DZ112*VLOOKUP('Données projet'!$B$14,Paramètres!$A$1:$I$89,3,0)*0.475*44/12</f>
        <v>1.6754993605004324E-11</v>
      </c>
      <c r="ED112" s="24">
        <f t="shared" si="72"/>
        <v>4.3216577989992082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920.30287211975701</v>
      </c>
      <c r="S113" s="62">
        <f ca="1">AVERAGE(OFFSET($R$3,0,0,'Données projet'!$E$9+1,1))-AVERAGE(OFFSET($H$3,0,0,'Données projet'!$E$9+1,1))</f>
        <v>499.92116338695428</v>
      </c>
      <c r="T113" s="62">
        <f t="shared" si="88"/>
        <v>316.79403154855652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0.26106391143956109</v>
      </c>
      <c r="AB113" s="23">
        <f>EXP(-LN(2)/2)*AB112+(1-EXP(-LN(2)/2))/(LN(2)/2)*V113*Y113*VLOOKUP('Données projet'!$B$9,Paramètres!$A$1:$I$89,3,0)*0.475*44/12</f>
        <v>2.1380978951420236E-11</v>
      </c>
      <c r="AC113" s="24">
        <f t="shared" si="57"/>
        <v>0.26106391146094204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273.00797787803344</v>
      </c>
      <c r="AN113" s="62">
        <f ca="1">AVERAGE(OFFSET($AM$3,0,0,'Données projet'!$E$10+1,1))-AVERAGE(OFFSET($H$3,0,0,'Données projet'!$E$10+1,1))</f>
        <v>225.71928466161592</v>
      </c>
      <c r="AO113" s="62">
        <f t="shared" si="90"/>
        <v>385.98818770742025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211.70619219850786</v>
      </c>
      <c r="BJ113" s="62">
        <f t="shared" si="92"/>
        <v>426.883837098247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20.26276615161964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2.4191189731123291E-10</v>
      </c>
      <c r="BS113" s="24">
        <f t="shared" si="63"/>
        <v>20.262766151861552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1.9895196601282805E-13</v>
      </c>
      <c r="BZ113" s="14">
        <f>BY113*VLOOKUP('Données projet'!$B$12,Paramètres!$A$1:$I$89,3,0)*VLOOKUP('Données projet'!$B$12,Paramètres!$A$1:$I$89,5,0)</f>
        <v>1.8001173884840681E-13</v>
      </c>
      <c r="CA113" s="14">
        <f t="shared" si="93"/>
        <v>2.5254331426407198E-12</v>
      </c>
      <c r="CB113" s="22">
        <f t="shared" si="64"/>
        <v>4.7119831685935622E-12</v>
      </c>
      <c r="CC113" s="62">
        <f t="shared" si="65"/>
        <v>273.00797787803708</v>
      </c>
      <c r="CD113" s="62">
        <f ca="1">AVERAGE(OFFSET($CC$3,0,0,'Données projet'!$E$12+1,1))-AVERAGE(OFFSET($H$3,0,0,'Données projet'!$E$12+1,1))</f>
        <v>327.07074355218322</v>
      </c>
      <c r="CE113" s="62">
        <f t="shared" si="94"/>
        <v>462.01668587029087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2.8165571772223954</v>
      </c>
      <c r="CL113" s="23">
        <f>EXP(-LN(2)/25)*CL112+(1-EXP(-LN(2)/25))/(LN(2)/25)*Calculateur!CG113*Calculateur!CI113*VLOOKUP('Données projet'!$B$12,Paramètres!$A$1:$I$89,3,0)*0.475*44/12</f>
        <v>0.34126878678256939</v>
      </c>
      <c r="CM113" s="23">
        <f>EXP(-LN(2)/2)*CM112+(1-EXP(-LN(2)/2))/(LN(2)/2)*CG113*CJ113*VLOOKUP('Données projet'!$B$12,Paramètres!$A$1:$I$89,3,0)*0.475*44/12</f>
        <v>5.3615715257427208E-16</v>
      </c>
      <c r="CN113" s="24">
        <f t="shared" si="66"/>
        <v>3.1578259640049651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>
        <f>CT113*VLOOKUP('Données projet'!$B$13,Paramètres!$A$1:$I$89,3,0)*VLOOKUP('Données projet'!$B$13,Paramètres!$A$1:$I$89,5,0)</f>
        <v>0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93.836028041880496</v>
      </c>
      <c r="CZ113" s="62">
        <f t="shared" si="96"/>
        <v>465.96044964631358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16.534984360429331</v>
      </c>
      <c r="DG113" s="23">
        <f>EXP(-LN(2)/25)*DG112+(1-EXP(-LN(2)/25))/(LN(2)/25)*Calculateur!DB113*Calculateur!DD113*VLOOKUP('Données projet'!$B$13,Paramètres!$A$1:$I$89,3,0)*0.475*44/12</f>
        <v>1.9709633919027172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18.505947752332048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-3.4106051316484809E-13</v>
      </c>
      <c r="DP113" s="18">
        <f>DO113*VLOOKUP('Données projet'!$B$14,Paramètres!$A$1:$I$89,3,0)*VLOOKUP('Données projet'!$B$14,Paramètres!$A$1:$I$89,5,0)</f>
        <v>-2.0395418687257919E-13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386.56102661082468</v>
      </c>
      <c r="DU113" s="62">
        <f t="shared" si="98"/>
        <v>410.28336627719011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3.9924573734510007</v>
      </c>
      <c r="EB113" s="23">
        <f>EXP(-LN(2)/25)*EB112+(1-EXP(-LN(2)/25))/(LN(2)/25)*Calculateur!DW113*Calculateur!DY113*VLOOKUP('Données projet'!$B$14,Paramètres!$A$1:$I$89,3,0)*0.475*44/12</f>
        <v>0.24252650441234891</v>
      </c>
      <c r="EC113" s="23">
        <f>EXP(-LN(2)/2)*EC112+(1-EXP(-LN(2)/2))/(LN(2)/2)*DW113*DZ113*VLOOKUP('Données projet'!$B$14,Paramètres!$A$1:$I$89,3,0)*0.475*44/12</f>
        <v>1.1847569596835796E-11</v>
      </c>
      <c r="ED113" s="24">
        <f t="shared" si="72"/>
        <v>4.2349838778751971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881.74492914718121</v>
      </c>
      <c r="S114" s="62">
        <f ca="1">AVERAGE(OFFSET($R$3,0,0,'Données projet'!$E$9+1,1))-AVERAGE(OFFSET($H$3,0,0,'Données projet'!$E$9+1,1))</f>
        <v>499.92116338695428</v>
      </c>
      <c r="T114" s="62">
        <f t="shared" si="88"/>
        <v>316.79403154855652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0.25392510505249188</v>
      </c>
      <c r="AB114" s="23">
        <f>EXP(-LN(2)/2)*AB113+(1-EXP(-LN(2)/2))/(LN(2)/2)*V114*Y114*VLOOKUP('Données projet'!$B$9,Paramètres!$A$1:$I$89,3,0)*0.475*44/12</f>
        <v>1.5118635204956087E-11</v>
      </c>
      <c r="AC114" s="24">
        <f t="shared" si="57"/>
        <v>0.25392510506761051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273.3605773544956</v>
      </c>
      <c r="AN114" s="62">
        <f ca="1">AVERAGE(OFFSET($AM$3,0,0,'Données projet'!$E$10+1,1))-AVERAGE(OFFSET($H$3,0,0,'Données projet'!$E$10+1,1))</f>
        <v>225.71928466161592</v>
      </c>
      <c r="AO114" s="62">
        <f t="shared" si="90"/>
        <v>385.98818770742025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211.70619219850786</v>
      </c>
      <c r="BJ114" s="62">
        <f t="shared" si="92"/>
        <v>426.883837098247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19.865425666453376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1.7105754303847652E-10</v>
      </c>
      <c r="BS114" s="24">
        <f t="shared" si="63"/>
        <v>19.865425666624432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1.9895196601282805E-13</v>
      </c>
      <c r="BZ114" s="14">
        <f>BY114*VLOOKUP('Données projet'!$B$12,Paramètres!$A$1:$I$89,3,0)*VLOOKUP('Données projet'!$B$12,Paramètres!$A$1:$I$89,5,0)</f>
        <v>1.8001173884840681E-13</v>
      </c>
      <c r="CA114" s="14">
        <f t="shared" si="93"/>
        <v>2.5254331426407198E-12</v>
      </c>
      <c r="CB114" s="22">
        <f t="shared" si="64"/>
        <v>4.7119831685935622E-12</v>
      </c>
      <c r="CC114" s="62">
        <f t="shared" si="65"/>
        <v>273.36057735449924</v>
      </c>
      <c r="CD114" s="62">
        <f ca="1">AVERAGE(OFFSET($CC$3,0,0,'Données projet'!$E$12+1,1))-AVERAGE(OFFSET($H$3,0,0,'Données projet'!$E$12+1,1))</f>
        <v>327.07074355218322</v>
      </c>
      <c r="CE114" s="62">
        <f t="shared" si="94"/>
        <v>462.01668587029087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2.761326208907311</v>
      </c>
      <c r="CL114" s="23">
        <f>EXP(-LN(2)/25)*CL113+(1-EXP(-LN(2)/25))/(LN(2)/25)*Calculateur!CG114*Calculateur!CI114*VLOOKUP('Données projet'!$B$12,Paramètres!$A$1:$I$89,3,0)*0.475*44/12</f>
        <v>0.33193677386145454</v>
      </c>
      <c r="CM114" s="23">
        <f>EXP(-LN(2)/2)*CM113+(1-EXP(-LN(2)/2))/(LN(2)/2)*CG114*CJ114*VLOOKUP('Données projet'!$B$12,Paramètres!$A$1:$I$89,3,0)*0.475*44/12</f>
        <v>3.7912035836693819E-16</v>
      </c>
      <c r="CN114" s="24">
        <f t="shared" si="66"/>
        <v>3.0932629827687661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>
        <f>CT114*VLOOKUP('Données projet'!$B$13,Paramètres!$A$1:$I$89,3,0)*VLOOKUP('Données projet'!$B$13,Paramètres!$A$1:$I$89,5,0)</f>
        <v>0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93.836028041880496</v>
      </c>
      <c r="CZ114" s="62">
        <f t="shared" si="96"/>
        <v>465.96044964631358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16.210743402465926</v>
      </c>
      <c r="DG114" s="23">
        <f>EXP(-LN(2)/25)*DG113+(1-EXP(-LN(2)/25))/(LN(2)/25)*Calculateur!DB114*Calculateur!DD114*VLOOKUP('Données projet'!$B$13,Paramètres!$A$1:$I$89,3,0)*0.475*44/12</f>
        <v>1.9170672943026772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18.127810696768602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-3.4106051316484809E-13</v>
      </c>
      <c r="DP114" s="18">
        <f>DO114*VLOOKUP('Données projet'!$B$14,Paramètres!$A$1:$I$89,3,0)*VLOOKUP('Données projet'!$B$14,Paramètres!$A$1:$I$89,5,0)</f>
        <v>-2.0395418687257919E-13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386.56102661082468</v>
      </c>
      <c r="DU114" s="62">
        <f t="shared" si="98"/>
        <v>410.28336627719011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3.9141677195161724</v>
      </c>
      <c r="EB114" s="23">
        <f>EXP(-LN(2)/25)*EB113+(1-EXP(-LN(2)/25))/(LN(2)/25)*Calculateur!DW114*Calculateur!DY114*VLOOKUP('Données projet'!$B$14,Paramètres!$A$1:$I$89,3,0)*0.475*44/12</f>
        <v>0.23589460439527865</v>
      </c>
      <c r="EC114" s="23">
        <f>EXP(-LN(2)/2)*EC113+(1-EXP(-LN(2)/2))/(LN(2)/2)*DW114*DZ114*VLOOKUP('Données projet'!$B$14,Paramètres!$A$1:$I$89,3,0)*0.475*44/12</f>
        <v>8.3774968025021619E-12</v>
      </c>
      <c r="ED114" s="24">
        <f t="shared" si="72"/>
        <v>4.150062323919828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890.86974465341973</v>
      </c>
      <c r="S115" s="62">
        <f ca="1">AVERAGE(OFFSET($R$3,0,0,'Données projet'!$E$9+1,1))-AVERAGE(OFFSET($H$3,0,0,'Données projet'!$E$9+1,1))</f>
        <v>499.92116338695428</v>
      </c>
      <c r="T115" s="62">
        <f t="shared" si="88"/>
        <v>316.79403154855652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0.24698150970149058</v>
      </c>
      <c r="AB115" s="23">
        <f>EXP(-LN(2)/2)*AB114+(1-EXP(-LN(2)/2))/(LN(2)/2)*V115*Y115*VLOOKUP('Données projet'!$B$9,Paramètres!$A$1:$I$89,3,0)*0.475*44/12</f>
        <v>1.0690489475710118E-11</v>
      </c>
      <c r="AC115" s="24">
        <f t="shared" si="57"/>
        <v>0.24698150971218105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273.70706001833548</v>
      </c>
      <c r="AN115" s="62">
        <f ca="1">AVERAGE(OFFSET($AM$3,0,0,'Données projet'!$E$10+1,1))-AVERAGE(OFFSET($H$3,0,0,'Données projet'!$E$10+1,1))</f>
        <v>225.71928466161592</v>
      </c>
      <c r="AO115" s="62">
        <f t="shared" si="90"/>
        <v>385.98818770742025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211.70619219850786</v>
      </c>
      <c r="BJ115" s="62">
        <f t="shared" si="92"/>
        <v>426.883837098247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19.475876785847454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1.2095594865561645E-10</v>
      </c>
      <c r="BS115" s="24">
        <f t="shared" si="63"/>
        <v>19.47587678596841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1.9895196601282805E-13</v>
      </c>
      <c r="BZ115" s="14">
        <f>BY115*VLOOKUP('Données projet'!$B$12,Paramètres!$A$1:$I$89,3,0)*VLOOKUP('Données projet'!$B$12,Paramètres!$A$1:$I$89,5,0)</f>
        <v>1.8001173884840681E-13</v>
      </c>
      <c r="CA115" s="14">
        <f t="shared" si="93"/>
        <v>2.5254331426407198E-12</v>
      </c>
      <c r="CB115" s="22">
        <f t="shared" si="64"/>
        <v>4.7119831685935622E-12</v>
      </c>
      <c r="CC115" s="62">
        <f t="shared" si="65"/>
        <v>273.70706001833912</v>
      </c>
      <c r="CD115" s="62">
        <f ca="1">AVERAGE(OFFSET($CC$3,0,0,'Données projet'!$E$12+1,1))-AVERAGE(OFFSET($H$3,0,0,'Données projet'!$E$12+1,1))</f>
        <v>327.07074355218322</v>
      </c>
      <c r="CE115" s="62">
        <f t="shared" si="94"/>
        <v>462.01668587029087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2.7071782861933209</v>
      </c>
      <c r="CL115" s="23">
        <f>EXP(-LN(2)/25)*CL114+(1-EXP(-LN(2)/25))/(LN(2)/25)*Calculateur!CG115*Calculateur!CI115*VLOOKUP('Données projet'!$B$12,Paramètres!$A$1:$I$89,3,0)*0.475*44/12</f>
        <v>0.32285994532441675</v>
      </c>
      <c r="CM115" s="23">
        <f>EXP(-LN(2)/2)*CM114+(1-EXP(-LN(2)/2))/(LN(2)/2)*CG115*CJ115*VLOOKUP('Données projet'!$B$12,Paramètres!$A$1:$I$89,3,0)*0.475*44/12</f>
        <v>2.6807857628713604E-16</v>
      </c>
      <c r="CN115" s="24">
        <f t="shared" si="66"/>
        <v>3.0300382315177381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>
        <f>CT115*VLOOKUP('Données projet'!$B$13,Paramètres!$A$1:$I$89,3,0)*VLOOKUP('Données projet'!$B$13,Paramètres!$A$1:$I$89,5,0)</f>
        <v>0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93.836028041880496</v>
      </c>
      <c r="CZ115" s="62">
        <f t="shared" si="96"/>
        <v>465.96044964631358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15.892860611920728</v>
      </c>
      <c r="DG115" s="23">
        <f>EXP(-LN(2)/25)*DG114+(1-EXP(-LN(2)/25))/(LN(2)/25)*Calculateur!DB115*Calculateur!DD115*VLOOKUP('Données projet'!$B$13,Paramètres!$A$1:$I$89,3,0)*0.475*44/12</f>
        <v>1.864644988325783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17.75750560024651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-3.4106051316484809E-13</v>
      </c>
      <c r="DP115" s="18">
        <f>DO115*VLOOKUP('Données projet'!$B$14,Paramètres!$A$1:$I$89,3,0)*VLOOKUP('Données projet'!$B$14,Paramètres!$A$1:$I$89,5,0)</f>
        <v>-2.0395418687257919E-13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386.56102661082468</v>
      </c>
      <c r="DU115" s="62">
        <f t="shared" si="98"/>
        <v>410.28336627719011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3.8374132779430323</v>
      </c>
      <c r="EB115" s="23">
        <f>EXP(-LN(2)/25)*EB114+(1-EXP(-LN(2)/25))/(LN(2)/25)*Calculateur!DW115*Calculateur!DY115*VLOOKUP('Données projet'!$B$14,Paramètres!$A$1:$I$89,3,0)*0.475*44/12</f>
        <v>0.22944405403293167</v>
      </c>
      <c r="EC115" s="23">
        <f>EXP(-LN(2)/2)*EC114+(1-EXP(-LN(2)/2))/(LN(2)/2)*DW115*DZ115*VLOOKUP('Données projet'!$B$14,Paramètres!$A$1:$I$89,3,0)*0.475*44/12</f>
        <v>5.9237847984178979E-12</v>
      </c>
      <c r="ED115" s="24">
        <f t="shared" si="72"/>
        <v>4.0668573319818879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899.9859617715473</v>
      </c>
      <c r="S116" s="62">
        <f ca="1">AVERAGE(OFFSET($R$3,0,0,'Données projet'!$E$9+1,1))-AVERAGE(OFFSET($H$3,0,0,'Données projet'!$E$9+1,1))</f>
        <v>499.92116338695428</v>
      </c>
      <c r="T116" s="62">
        <f t="shared" si="88"/>
        <v>316.79403154855652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0.2402277873305102</v>
      </c>
      <c r="AB116" s="23">
        <f>EXP(-LN(2)/2)*AB115+(1-EXP(-LN(2)/2))/(LN(2)/2)*V116*Y116*VLOOKUP('Données projet'!$B$9,Paramètres!$A$1:$I$89,3,0)*0.475*44/12</f>
        <v>7.5593176024780437E-12</v>
      </c>
      <c r="AC116" s="24">
        <f t="shared" si="57"/>
        <v>0.24022778733806952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274.04753198257691</v>
      </c>
      <c r="AN116" s="62">
        <f ca="1">AVERAGE(OFFSET($AM$3,0,0,'Données projet'!$E$10+1,1))-AVERAGE(OFFSET($H$3,0,0,'Données projet'!$E$10+1,1))</f>
        <v>225.71928466161592</v>
      </c>
      <c r="AO116" s="62">
        <f t="shared" si="90"/>
        <v>385.98818770742025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211.70619219850786</v>
      </c>
      <c r="BJ116" s="62">
        <f t="shared" si="92"/>
        <v>426.883837098247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19.09396672118886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8.5528771519238262E-11</v>
      </c>
      <c r="BS116" s="24">
        <f t="shared" si="63"/>
        <v>19.093966721274388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1.9895196601282805E-13</v>
      </c>
      <c r="BZ116" s="14">
        <f>BY116*VLOOKUP('Données projet'!$B$12,Paramètres!$A$1:$I$89,3,0)*VLOOKUP('Données projet'!$B$12,Paramètres!$A$1:$I$89,5,0)</f>
        <v>1.8001173884840681E-13</v>
      </c>
      <c r="CA116" s="14">
        <f t="shared" si="93"/>
        <v>2.5254331426407198E-12</v>
      </c>
      <c r="CB116" s="22">
        <f t="shared" si="64"/>
        <v>4.7119831685935622E-12</v>
      </c>
      <c r="CC116" s="62">
        <f t="shared" si="65"/>
        <v>274.04753198258055</v>
      </c>
      <c r="CD116" s="62">
        <f ca="1">AVERAGE(OFFSET($CC$3,0,0,'Données projet'!$E$12+1,1))-AVERAGE(OFFSET($H$3,0,0,'Données projet'!$E$12+1,1))</f>
        <v>327.07074355218322</v>
      </c>
      <c r="CE116" s="62">
        <f t="shared" si="94"/>
        <v>462.01668587029087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2.6540921712167806</v>
      </c>
      <c r="CL116" s="23">
        <f>EXP(-LN(2)/25)*CL115+(1-EXP(-LN(2)/25))/(LN(2)/25)*Calculateur!CG116*Calculateur!CI116*VLOOKUP('Données projet'!$B$12,Paramètres!$A$1:$I$89,3,0)*0.475*44/12</f>
        <v>0.31403132314105398</v>
      </c>
      <c r="CM116" s="23">
        <f>EXP(-LN(2)/2)*CM115+(1-EXP(-LN(2)/2))/(LN(2)/2)*CG116*CJ116*VLOOKUP('Données projet'!$B$12,Paramètres!$A$1:$I$89,3,0)*0.475*44/12</f>
        <v>1.8956017918346909E-16</v>
      </c>
      <c r="CN116" s="24">
        <f t="shared" si="66"/>
        <v>2.9681234943578345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>
        <f>CT116*VLOOKUP('Données projet'!$B$13,Paramètres!$A$1:$I$89,3,0)*VLOOKUP('Données projet'!$B$13,Paramètres!$A$1:$I$89,5,0)</f>
        <v>0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93.836028041880496</v>
      </c>
      <c r="CZ116" s="62">
        <f t="shared" si="96"/>
        <v>465.96044964631358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15.581211309008763</v>
      </c>
      <c r="DG116" s="23">
        <f>EXP(-LN(2)/25)*DG115+(1-EXP(-LN(2)/25))/(LN(2)/25)*Calculateur!DB116*Calculateur!DD116*VLOOKUP('Données projet'!$B$13,Paramètres!$A$1:$I$89,3,0)*0.475*44/12</f>
        <v>1.8136561730625962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17.394867482071358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-3.4106051316484809E-13</v>
      </c>
      <c r="DP116" s="18">
        <f>DO116*VLOOKUP('Données projet'!$B$14,Paramètres!$A$1:$I$89,3,0)*VLOOKUP('Données projet'!$B$14,Paramètres!$A$1:$I$89,5,0)</f>
        <v>-2.0395418687257919E-13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386.56102661082468</v>
      </c>
      <c r="DU116" s="62">
        <f t="shared" si="98"/>
        <v>410.28336627719011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3.762163944153555</v>
      </c>
      <c r="EB116" s="23">
        <f>EXP(-LN(2)/25)*EB115+(1-EXP(-LN(2)/25))/(LN(2)/25)*Calculateur!DW116*Calculateur!DY116*VLOOKUP('Données projet'!$B$14,Paramètres!$A$1:$I$89,3,0)*0.475*44/12</f>
        <v>0.22316989430946274</v>
      </c>
      <c r="EC116" s="23">
        <f>EXP(-LN(2)/2)*EC115+(1-EXP(-LN(2)/2))/(LN(2)/2)*DW116*DZ116*VLOOKUP('Données projet'!$B$14,Paramètres!$A$1:$I$89,3,0)*0.475*44/12</f>
        <v>4.188748401251081E-12</v>
      </c>
      <c r="ED116" s="24">
        <f t="shared" si="72"/>
        <v>3.9853338384672066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909.09372616638052</v>
      </c>
      <c r="S117" s="62">
        <f ca="1">AVERAGE(OFFSET($R$3,0,0,'Données projet'!$E$9+1,1))-AVERAGE(OFFSET($H$3,0,0,'Données projet'!$E$9+1,1))</f>
        <v>499.92116338695428</v>
      </c>
      <c r="T117" s="62">
        <f t="shared" si="88"/>
        <v>316.79403154855652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0.23365874585292712</v>
      </c>
      <c r="AB117" s="23">
        <f>EXP(-LN(2)/2)*AB116+(1-EXP(-LN(2)/2))/(LN(2)/2)*V117*Y117*VLOOKUP('Données projet'!$B$9,Paramètres!$A$1:$I$89,3,0)*0.475*44/12</f>
        <v>5.3452447378550591E-12</v>
      </c>
      <c r="AC117" s="24">
        <f t="shared" si="57"/>
        <v>0.23365874585827237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274.38209751942009</v>
      </c>
      <c r="AN117" s="62">
        <f ca="1">AVERAGE(OFFSET($AM$3,0,0,'Données projet'!$E$10+1,1))-AVERAGE(OFFSET($H$3,0,0,'Données projet'!$E$10+1,1))</f>
        <v>225.71928466161592</v>
      </c>
      <c r="AO117" s="62">
        <f t="shared" si="90"/>
        <v>385.98818770742025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211.70619219850786</v>
      </c>
      <c r="BJ117" s="62">
        <f t="shared" si="92"/>
        <v>426.883837098247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18.719545679956081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6.0477974327808227E-11</v>
      </c>
      <c r="BS117" s="24">
        <f t="shared" si="63"/>
        <v>18.719545680016559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1.9895196601282805E-13</v>
      </c>
      <c r="BZ117" s="14">
        <f>BY117*VLOOKUP('Données projet'!$B$12,Paramètres!$A$1:$I$89,3,0)*VLOOKUP('Données projet'!$B$12,Paramètres!$A$1:$I$89,5,0)</f>
        <v>1.8001173884840681E-13</v>
      </c>
      <c r="CA117" s="14">
        <f t="shared" si="93"/>
        <v>2.5254331426407198E-12</v>
      </c>
      <c r="CB117" s="22">
        <f t="shared" si="64"/>
        <v>4.7119831685935622E-12</v>
      </c>
      <c r="CC117" s="62">
        <f t="shared" si="65"/>
        <v>274.38209751942372</v>
      </c>
      <c r="CD117" s="62">
        <f ca="1">AVERAGE(OFFSET($CC$3,0,0,'Données projet'!$E$12+1,1))-AVERAGE(OFFSET($H$3,0,0,'Données projet'!$E$12+1,1))</f>
        <v>327.07074355218322</v>
      </c>
      <c r="CE117" s="62">
        <f t="shared" si="94"/>
        <v>462.01668587029087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2.602047042575597</v>
      </c>
      <c r="CL117" s="23">
        <f>EXP(-LN(2)/25)*CL116+(1-EXP(-LN(2)/25))/(LN(2)/25)*Calculateur!CG117*Calculateur!CI117*VLOOKUP('Données projet'!$B$12,Paramètres!$A$1:$I$89,3,0)*0.475*44/12</f>
        <v>0.30544412009557231</v>
      </c>
      <c r="CM117" s="23">
        <f>EXP(-LN(2)/2)*CM116+(1-EXP(-LN(2)/2))/(LN(2)/2)*CG117*CJ117*VLOOKUP('Données projet'!$B$12,Paramètres!$A$1:$I$89,3,0)*0.475*44/12</f>
        <v>1.3403928814356802E-16</v>
      </c>
      <c r="CN117" s="24">
        <f t="shared" si="66"/>
        <v>2.9074911626711692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>
        <f>CT117*VLOOKUP('Données projet'!$B$13,Paramètres!$A$1:$I$89,3,0)*VLOOKUP('Données projet'!$B$13,Paramètres!$A$1:$I$89,5,0)</f>
        <v>0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93.836028041880496</v>
      </c>
      <c r="CZ117" s="62">
        <f t="shared" si="96"/>
        <v>465.96044964631358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15.275673258839598</v>
      </c>
      <c r="DG117" s="23">
        <f>EXP(-LN(2)/25)*DG116+(1-EXP(-LN(2)/25))/(LN(2)/25)*Calculateur!DB117*Calculateur!DD117*VLOOKUP('Données projet'!$B$13,Paramètres!$A$1:$I$89,3,0)*0.475*44/12</f>
        <v>1.7640616496341666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17.039734908473765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-3.4106051316484809E-13</v>
      </c>
      <c r="DP117" s="18">
        <f>DO117*VLOOKUP('Données projet'!$B$14,Paramètres!$A$1:$I$89,3,0)*VLOOKUP('Données projet'!$B$14,Paramètres!$A$1:$I$89,5,0)</f>
        <v>-2.0395418687257919E-13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386.56102661082468</v>
      </c>
      <c r="DU117" s="62">
        <f t="shared" si="98"/>
        <v>410.28336627719011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3.6883902039021277</v>
      </c>
      <c r="EB117" s="23">
        <f>EXP(-LN(2)/25)*EB116+(1-EXP(-LN(2)/25))/(LN(2)/25)*Calculateur!DW117*Calculateur!DY117*VLOOKUP('Données projet'!$B$14,Paramètres!$A$1:$I$89,3,0)*0.475*44/12</f>
        <v>0.21706730181357581</v>
      </c>
      <c r="EC117" s="23">
        <f>EXP(-LN(2)/2)*EC116+(1-EXP(-LN(2)/2))/(LN(2)/2)*DW117*DZ117*VLOOKUP('Données projet'!$B$14,Paramètres!$A$1:$I$89,3,0)*0.475*44/12</f>
        <v>2.961892399208949E-12</v>
      </c>
      <c r="ED117" s="24">
        <f t="shared" si="72"/>
        <v>3.9054575057186653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918.193180456341</v>
      </c>
      <c r="S118" s="62">
        <f ca="1">AVERAGE(OFFSET($R$3,0,0,'Données projet'!$E$9+1,1))-AVERAGE(OFFSET($H$3,0,0,'Données projet'!$E$9+1,1))</f>
        <v>499.92116338695428</v>
      </c>
      <c r="T118" s="62">
        <f t="shared" si="88"/>
        <v>316.79403154855652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0.22726933515999942</v>
      </c>
      <c r="AB118" s="23">
        <f>EXP(-LN(2)/2)*AB117+(1-EXP(-LN(2)/2))/(LN(2)/2)*V118*Y118*VLOOKUP('Données projet'!$B$9,Paramètres!$A$1:$I$89,3,0)*0.475*44/12</f>
        <v>3.7796588012390218E-12</v>
      </c>
      <c r="AC118" s="24">
        <f t="shared" si="57"/>
        <v>0.22726933516377909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274.7108590921755</v>
      </c>
      <c r="AN118" s="62">
        <f ca="1">AVERAGE(OFFSET($AM$3,0,0,'Données projet'!$E$10+1,1))-AVERAGE(OFFSET($H$3,0,0,'Données projet'!$E$10+1,1))</f>
        <v>225.71928466161592</v>
      </c>
      <c r="AO118" s="62">
        <f t="shared" si="90"/>
        <v>385.98818770742025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211.70619219850786</v>
      </c>
      <c r="BJ118" s="62">
        <f t="shared" si="92"/>
        <v>426.883837098247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18.352466806967595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4.2764385759619131E-11</v>
      </c>
      <c r="BS118" s="24">
        <f t="shared" si="63"/>
        <v>18.352466807010359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1.9895196601282805E-13</v>
      </c>
      <c r="BZ118" s="14">
        <f>BY118*VLOOKUP('Données projet'!$B$12,Paramètres!$A$1:$I$89,3,0)*VLOOKUP('Données projet'!$B$12,Paramètres!$A$1:$I$89,5,0)</f>
        <v>1.8001173884840681E-13</v>
      </c>
      <c r="CA118" s="14">
        <f t="shared" si="93"/>
        <v>2.5254331426407198E-12</v>
      </c>
      <c r="CB118" s="22">
        <f t="shared" si="64"/>
        <v>4.7119831685935622E-12</v>
      </c>
      <c r="CC118" s="62">
        <f t="shared" si="65"/>
        <v>274.71085909217913</v>
      </c>
      <c r="CD118" s="62">
        <f ca="1">AVERAGE(OFFSET($CC$3,0,0,'Données projet'!$E$12+1,1))-AVERAGE(OFFSET($H$3,0,0,'Données projet'!$E$12+1,1))</f>
        <v>327.07074355218322</v>
      </c>
      <c r="CE118" s="62">
        <f t="shared" si="94"/>
        <v>462.01668587029087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2.5510224871626734</v>
      </c>
      <c r="CL118" s="23">
        <f>EXP(-LN(2)/25)*CL117+(1-EXP(-LN(2)/25))/(LN(2)/25)*Calculateur!CG118*Calculateur!CI118*VLOOKUP('Données projet'!$B$12,Paramètres!$A$1:$I$89,3,0)*0.475*44/12</f>
        <v>0.29709173456895072</v>
      </c>
      <c r="CM118" s="23">
        <f>EXP(-LN(2)/2)*CM117+(1-EXP(-LN(2)/2))/(LN(2)/2)*CG118*CJ118*VLOOKUP('Données projet'!$B$12,Paramètres!$A$1:$I$89,3,0)*0.475*44/12</f>
        <v>9.4780089591734547E-17</v>
      </c>
      <c r="CN118" s="24">
        <f t="shared" si="66"/>
        <v>2.848114221731624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>
        <f>CT118*VLOOKUP('Données projet'!$B$13,Paramètres!$A$1:$I$89,3,0)*VLOOKUP('Données projet'!$B$13,Paramètres!$A$1:$I$89,5,0)</f>
        <v>0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93.836028041880496</v>
      </c>
      <c r="CZ118" s="62">
        <f t="shared" si="96"/>
        <v>465.96044964631358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14.976126623474441</v>
      </c>
      <c r="DG118" s="23">
        <f>EXP(-LN(2)/25)*DG117+(1-EXP(-LN(2)/25))/(LN(2)/25)*Calculateur!DB118*Calculateur!DD118*VLOOKUP('Données projet'!$B$13,Paramètres!$A$1:$I$89,3,0)*0.475*44/12</f>
        <v>1.71582329105695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16.691949914531392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-3.4106051316484809E-13</v>
      </c>
      <c r="DP118" s="18">
        <f>DO118*VLOOKUP('Données projet'!$B$14,Paramètres!$A$1:$I$89,3,0)*VLOOKUP('Données projet'!$B$14,Paramètres!$A$1:$I$89,5,0)</f>
        <v>-2.0395418687257919E-13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386.56102661082468</v>
      </c>
      <c r="DU118" s="62">
        <f t="shared" si="98"/>
        <v>410.28336627719011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3.6160631216994923</v>
      </c>
      <c r="EB118" s="23">
        <f>EXP(-LN(2)/25)*EB117+(1-EXP(-LN(2)/25))/(LN(2)/25)*Calculateur!DW118*Calculateur!DY118*VLOOKUP('Données projet'!$B$14,Paramètres!$A$1:$I$89,3,0)*0.475*44/12</f>
        <v>0.2111315850304103</v>
      </c>
      <c r="EC118" s="23">
        <f>EXP(-LN(2)/2)*EC117+(1-EXP(-LN(2)/2))/(LN(2)/2)*DW118*DZ118*VLOOKUP('Données projet'!$B$14,Paramètres!$A$1:$I$89,3,0)*0.475*44/12</f>
        <v>2.0943742006255405E-12</v>
      </c>
      <c r="ED118" s="24">
        <f t="shared" si="72"/>
        <v>3.8271947067319969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499.92116338695428</v>
      </c>
      <c r="T119" s="62">
        <f t="shared" si="88"/>
        <v>316.79403154855652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0.22105464323847432</v>
      </c>
      <c r="AB119" s="23">
        <f>EXP(-LN(2)/2)*AB118+(1-EXP(-LN(2)/2))/(LN(2)/2)*V119*Y119*VLOOKUP('Données projet'!$B$9,Paramètres!$A$1:$I$89,3,0)*0.475*44/12</f>
        <v>2.6726223689275295E-12</v>
      </c>
      <c r="AC119" s="24">
        <f t="shared" si="57"/>
        <v>0.22105464324114693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275.03391738664442</v>
      </c>
      <c r="AN119" s="62">
        <f ca="1">AVERAGE(OFFSET($AM$3,0,0,'Données projet'!$E$10+1,1))-AVERAGE(OFFSET($H$3,0,0,'Données projet'!$E$10+1,1))</f>
        <v>225.71928466161592</v>
      </c>
      <c r="AO119" s="62">
        <f t="shared" si="90"/>
        <v>385.98818770742025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211.70619219850786</v>
      </c>
      <c r="BJ119" s="62">
        <f t="shared" si="92"/>
        <v>426.883837098247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17.992586126782406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3.0238987163904113E-11</v>
      </c>
      <c r="BS119" s="24">
        <f t="shared" si="63"/>
        <v>17.992586126812647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1.9895196601282805E-13</v>
      </c>
      <c r="BZ119" s="14">
        <f>BY119*VLOOKUP('Données projet'!$B$12,Paramètres!$A$1:$I$89,3,0)*VLOOKUP('Données projet'!$B$12,Paramètres!$A$1:$I$89,5,0)</f>
        <v>1.8001173884840681E-13</v>
      </c>
      <c r="CA119" s="14">
        <f t="shared" si="93"/>
        <v>2.5254331426407198E-12</v>
      </c>
      <c r="CB119" s="22">
        <f t="shared" si="64"/>
        <v>4.7119831685935622E-12</v>
      </c>
      <c r="CC119" s="62">
        <f t="shared" si="65"/>
        <v>275.03391738664806</v>
      </c>
      <c r="CD119" s="62">
        <f ca="1">AVERAGE(OFFSET($CC$3,0,0,'Données projet'!$E$12+1,1))-AVERAGE(OFFSET($H$3,0,0,'Données projet'!$E$12+1,1))</f>
        <v>327.07074355218322</v>
      </c>
      <c r="CE119" s="62">
        <f t="shared" si="94"/>
        <v>462.01668587029087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2.5009984921594914</v>
      </c>
      <c r="CL119" s="23">
        <f>EXP(-LN(2)/25)*CL118+(1-EXP(-LN(2)/25))/(LN(2)/25)*Calculateur!CG119*Calculateur!CI119*VLOOKUP('Données projet'!$B$12,Paramètres!$A$1:$I$89,3,0)*0.475*44/12</f>
        <v>0.28896774546378745</v>
      </c>
      <c r="CM119" s="23">
        <f>EXP(-LN(2)/2)*CM118+(1-EXP(-LN(2)/2))/(LN(2)/2)*CG119*CJ119*VLOOKUP('Données projet'!$B$12,Paramètres!$A$1:$I$89,3,0)*0.475*44/12</f>
        <v>6.701964407178401E-17</v>
      </c>
      <c r="CN119" s="24">
        <f t="shared" si="66"/>
        <v>2.789966237623279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93.836028041880496</v>
      </c>
      <c r="CZ119" s="62">
        <f t="shared" si="96"/>
        <v>465.96044964631358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14.682453914923387</v>
      </c>
      <c r="DG119" s="23">
        <f>EXP(-LN(2)/25)*DG118+(1-EXP(-LN(2)/25))/(LN(2)/25)*Calculateur!DB119*Calculateur!DD119*VLOOKUP('Données projet'!$B$13,Paramètres!$A$1:$I$89,3,0)*0.475*44/12</f>
        <v>1.6689040129317723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16.351357927855158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-3.4106051316484809E-13</v>
      </c>
      <c r="DP119" s="18">
        <f>DO119*VLOOKUP('Données projet'!$B$14,Paramètres!$A$1:$I$89,3,0)*VLOOKUP('Données projet'!$B$14,Paramètres!$A$1:$I$89,5,0)</f>
        <v>-2.0395418687257919E-13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386.56102661082468</v>
      </c>
      <c r="DU119" s="62">
        <f t="shared" si="98"/>
        <v>410.28336627719011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3.5451543294636867</v>
      </c>
      <c r="EB119" s="23">
        <f>EXP(-LN(2)/25)*EB118+(1-EXP(-LN(2)/25))/(LN(2)/25)*Calculateur!DW119*Calculateur!DY119*VLOOKUP('Données projet'!$B$14,Paramètres!$A$1:$I$89,3,0)*0.475*44/12</f>
        <v>0.20535818073482623</v>
      </c>
      <c r="EC119" s="23">
        <f>EXP(-LN(2)/2)*EC118+(1-EXP(-LN(2)/2))/(LN(2)/2)*DW119*DZ119*VLOOKUP('Données projet'!$B$14,Paramètres!$A$1:$I$89,3,0)*0.475*44/12</f>
        <v>1.4809461996044745E-12</v>
      </c>
      <c r="ED119" s="24">
        <f t="shared" si="72"/>
        <v>3.7505125101999939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499.92116338695428</v>
      </c>
      <c r="T120" s="62">
        <f t="shared" si="88"/>
        <v>316.79403154855652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0.21500989239435978</v>
      </c>
      <c r="AB120" s="23">
        <f>EXP(-LN(2)/2)*AB119+(1-EXP(-LN(2)/2))/(LN(2)/2)*V120*Y120*VLOOKUP('Données projet'!$B$9,Paramètres!$A$1:$I$89,3,0)*0.475*44/12</f>
        <v>1.8898294006195109E-12</v>
      </c>
      <c r="AC120" s="24">
        <f t="shared" si="57"/>
        <v>0.2150098923962496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275.35137134195435</v>
      </c>
      <c r="AN120" s="62">
        <f ca="1">AVERAGE(OFFSET($AM$3,0,0,'Données projet'!$E$10+1,1))-AVERAGE(OFFSET($H$3,0,0,'Données projet'!$E$10+1,1))</f>
        <v>225.71928466161592</v>
      </c>
      <c r="AO120" s="62">
        <f t="shared" si="90"/>
        <v>385.98818770742025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211.70619219850786</v>
      </c>
      <c r="BJ120" s="62">
        <f t="shared" si="92"/>
        <v>426.883837098247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17.639762487230108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2.1382192879809566E-11</v>
      </c>
      <c r="BS120" s="24">
        <f t="shared" si="63"/>
        <v>17.639762487251492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1.9895196601282805E-13</v>
      </c>
      <c r="BZ120" s="14">
        <f>BY120*VLOOKUP('Données projet'!$B$12,Paramètres!$A$1:$I$89,3,0)*VLOOKUP('Données projet'!$B$12,Paramètres!$A$1:$I$89,5,0)</f>
        <v>1.8001173884840681E-13</v>
      </c>
      <c r="CA120" s="14">
        <f t="shared" si="93"/>
        <v>2.5254331426407198E-12</v>
      </c>
      <c r="CB120" s="22">
        <f t="shared" si="64"/>
        <v>4.7119831685935622E-12</v>
      </c>
      <c r="CC120" s="62">
        <f t="shared" si="65"/>
        <v>275.35137134195799</v>
      </c>
      <c r="CD120" s="62">
        <f ca="1">AVERAGE(OFFSET($CC$3,0,0,'Données projet'!$E$12+1,1))-AVERAGE(OFFSET($H$3,0,0,'Données projet'!$E$12+1,1))</f>
        <v>327.07074355218322</v>
      </c>
      <c r="CE120" s="62">
        <f t="shared" si="94"/>
        <v>462.01668587029087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2.4519554371866974</v>
      </c>
      <c r="CL120" s="23">
        <f>EXP(-LN(2)/25)*CL119+(1-EXP(-LN(2)/25))/(LN(2)/25)*Calculateur!CG120*Calculateur!CI120*VLOOKUP('Données projet'!$B$12,Paramètres!$A$1:$I$89,3,0)*0.475*44/12</f>
        <v>0.28106590726792691</v>
      </c>
      <c r="CM120" s="23">
        <f>EXP(-LN(2)/2)*CM119+(1-EXP(-LN(2)/2))/(LN(2)/2)*CG120*CJ120*VLOOKUP('Données projet'!$B$12,Paramètres!$A$1:$I$89,3,0)*0.475*44/12</f>
        <v>4.7390044795867273E-17</v>
      </c>
      <c r="CN120" s="24">
        <f t="shared" si="66"/>
        <v>2.7330213444546243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93.836028041880496</v>
      </c>
      <c r="CZ120" s="62">
        <f t="shared" si="96"/>
        <v>465.96044964631358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14.394539949064354</v>
      </c>
      <c r="DG120" s="23">
        <f>EXP(-LN(2)/25)*DG119+(1-EXP(-LN(2)/25))/(LN(2)/25)*Calculateur!DB120*Calculateur!DD120*VLOOKUP('Données projet'!$B$13,Paramètres!$A$1:$I$89,3,0)*0.475*44/12</f>
        <v>1.6232677449343051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16.017807693998659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-3.4106051316484809E-13</v>
      </c>
      <c r="DP120" s="18">
        <f>DO120*VLOOKUP('Données projet'!$B$14,Paramètres!$A$1:$I$89,3,0)*VLOOKUP('Données projet'!$B$14,Paramètres!$A$1:$I$89,5,0)</f>
        <v>-2.0395418687257919E-13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386.56102661082468</v>
      </c>
      <c r="DU120" s="62">
        <f t="shared" si="98"/>
        <v>410.28336627719011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3.4756360153935324</v>
      </c>
      <c r="EB120" s="23">
        <f>EXP(-LN(2)/25)*EB119+(1-EXP(-LN(2)/25))/(LN(2)/25)*Calculateur!DW120*Calculateur!DY120*VLOOKUP('Données projet'!$B$14,Paramètres!$A$1:$I$89,3,0)*0.475*44/12</f>
        <v>0.19974265048331502</v>
      </c>
      <c r="EC120" s="23">
        <f>EXP(-LN(2)/2)*EC119+(1-EXP(-LN(2)/2))/(LN(2)/2)*DW120*DZ120*VLOOKUP('Données projet'!$B$14,Paramètres!$A$1:$I$89,3,0)*0.475*44/12</f>
        <v>1.0471871003127702E-12</v>
      </c>
      <c r="ED120" s="24">
        <f t="shared" si="72"/>
        <v>3.6753786658778944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499.92116338695428</v>
      </c>
      <c r="T121" s="62">
        <f t="shared" si="88"/>
        <v>316.79403154855652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0.20913043557995717</v>
      </c>
      <c r="AB121" s="23">
        <f>EXP(-LN(2)/2)*AB120+(1-EXP(-LN(2)/2))/(LN(2)/2)*V121*Y121*VLOOKUP('Données projet'!$B$9,Paramètres!$A$1:$I$89,3,0)*0.475*44/12</f>
        <v>1.3363111844637648E-12</v>
      </c>
      <c r="AC121" s="24">
        <f t="shared" si="57"/>
        <v>0.20913043558129349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275.66331818086041</v>
      </c>
      <c r="AN121" s="62">
        <f ca="1">AVERAGE(OFFSET($AM$3,0,0,'Données projet'!$E$10+1,1))-AVERAGE(OFFSET($H$3,0,0,'Données projet'!$E$10+1,1))</f>
        <v>225.71928466161592</v>
      </c>
      <c r="AO121" s="62">
        <f t="shared" si="90"/>
        <v>385.98818770742025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211.70619219850786</v>
      </c>
      <c r="BJ121" s="62">
        <f t="shared" si="92"/>
        <v>426.883837098247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17.293857504048262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1.5119493581952057E-11</v>
      </c>
      <c r="BS121" s="24">
        <f t="shared" si="63"/>
        <v>17.293857504063382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1.9895196601282805E-13</v>
      </c>
      <c r="BZ121" s="14">
        <f>BY121*VLOOKUP('Données projet'!$B$12,Paramètres!$A$1:$I$89,3,0)*VLOOKUP('Données projet'!$B$12,Paramètres!$A$1:$I$89,5,0)</f>
        <v>1.8001173884840681E-13</v>
      </c>
      <c r="CA121" s="14">
        <f t="shared" si="93"/>
        <v>2.5254331426407198E-12</v>
      </c>
      <c r="CB121" s="22">
        <f t="shared" si="64"/>
        <v>4.7119831685935622E-12</v>
      </c>
      <c r="CC121" s="62">
        <f t="shared" si="65"/>
        <v>275.66331818086405</v>
      </c>
      <c r="CD121" s="62">
        <f ca="1">AVERAGE(OFFSET($CC$3,0,0,'Données projet'!$E$12+1,1))-AVERAGE(OFFSET($H$3,0,0,'Données projet'!$E$12+1,1))</f>
        <v>327.07074355218322</v>
      </c>
      <c r="CE121" s="62">
        <f t="shared" si="94"/>
        <v>462.01668587029087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2.4038740866086101</v>
      </c>
      <c r="CL121" s="23">
        <f>EXP(-LN(2)/25)*CL120+(1-EXP(-LN(2)/25))/(LN(2)/25)*Calculateur!CG121*Calculateur!CI121*VLOOKUP('Données projet'!$B$12,Paramètres!$A$1:$I$89,3,0)*0.475*44/12</f>
        <v>0.27338014525307175</v>
      </c>
      <c r="CM121" s="23">
        <f>EXP(-LN(2)/2)*CM120+(1-EXP(-LN(2)/2))/(LN(2)/2)*CG121*CJ121*VLOOKUP('Données projet'!$B$12,Paramètres!$A$1:$I$89,3,0)*0.475*44/12</f>
        <v>3.3509822035892005E-17</v>
      </c>
      <c r="CN121" s="24">
        <f t="shared" si="66"/>
        <v>2.6772542318616819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93.836028041880496</v>
      </c>
      <c r="CZ121" s="62">
        <f t="shared" si="96"/>
        <v>465.96044964631358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14.112271800465638</v>
      </c>
      <c r="DG121" s="23">
        <f>EXP(-LN(2)/25)*DG120+(1-EXP(-LN(2)/25))/(LN(2)/25)*Calculateur!DB121*Calculateur!DD121*VLOOKUP('Données projet'!$B$13,Paramètres!$A$1:$I$89,3,0)*0.475*44/12</f>
        <v>1.5788794030851359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15.691151203550774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-3.4106051316484809E-13</v>
      </c>
      <c r="DP121" s="18">
        <f>DO121*VLOOKUP('Données projet'!$B$14,Paramètres!$A$1:$I$89,3,0)*VLOOKUP('Données projet'!$B$14,Paramètres!$A$1:$I$89,5,0)</f>
        <v>-2.0395418687257919E-13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386.56102661082468</v>
      </c>
      <c r="DU121" s="62">
        <f t="shared" si="98"/>
        <v>410.28336627719011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3.4074809130603092</v>
      </c>
      <c r="EB121" s="23">
        <f>EXP(-LN(2)/25)*EB120+(1-EXP(-LN(2)/25))/(LN(2)/25)*Calculateur!DW121*Calculateur!DY121*VLOOKUP('Données projet'!$B$14,Paramètres!$A$1:$I$89,3,0)*0.475*44/12</f>
        <v>0.19428067720183931</v>
      </c>
      <c r="EC121" s="23">
        <f>EXP(-LN(2)/2)*EC120+(1-EXP(-LN(2)/2))/(LN(2)/2)*DW121*DZ121*VLOOKUP('Données projet'!$B$14,Paramètres!$A$1:$I$89,3,0)*0.475*44/12</f>
        <v>7.4047309980223724E-13</v>
      </c>
      <c r="ED121" s="24">
        <f t="shared" si="72"/>
        <v>3.601761590262889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499.92116338695428</v>
      </c>
      <c r="T122" s="62">
        <f t="shared" si="88"/>
        <v>316.79403154855652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0.20341175282133162</v>
      </c>
      <c r="AB122" s="23">
        <f>EXP(-LN(2)/2)*AB121+(1-EXP(-LN(2)/2))/(LN(2)/2)*V122*Y122*VLOOKUP('Données projet'!$B$9,Paramètres!$A$1:$I$89,3,0)*0.475*44/12</f>
        <v>9.4491470030975546E-13</v>
      </c>
      <c r="AC122" s="24">
        <f t="shared" si="57"/>
        <v>0.20341175282227653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275.96985343952008</v>
      </c>
      <c r="AN122" s="62">
        <f ca="1">AVERAGE(OFFSET($AM$3,0,0,'Données projet'!$E$10+1,1))-AVERAGE(OFFSET($H$3,0,0,'Données projet'!$E$10+1,1))</f>
        <v>225.71928466161592</v>
      </c>
      <c r="AO122" s="62">
        <f t="shared" si="90"/>
        <v>385.98818770742025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211.70619219850786</v>
      </c>
      <c r="BJ122" s="62">
        <f t="shared" si="92"/>
        <v>426.883837098247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16.954735506605402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1.0691096439904783E-11</v>
      </c>
      <c r="BS122" s="24">
        <f t="shared" si="63"/>
        <v>16.954735506616093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1.9895196601282805E-13</v>
      </c>
      <c r="BZ122" s="14">
        <f>BY122*VLOOKUP('Données projet'!$B$12,Paramètres!$A$1:$I$89,3,0)*VLOOKUP('Données projet'!$B$12,Paramètres!$A$1:$I$89,5,0)</f>
        <v>1.8001173884840681E-13</v>
      </c>
      <c r="CA122" s="14">
        <f t="shared" si="93"/>
        <v>2.5254331426407198E-12</v>
      </c>
      <c r="CB122" s="22">
        <f t="shared" si="64"/>
        <v>4.7119831685935622E-12</v>
      </c>
      <c r="CC122" s="62">
        <f t="shared" si="65"/>
        <v>275.96985343952372</v>
      </c>
      <c r="CD122" s="62">
        <f ca="1">AVERAGE(OFFSET($CC$3,0,0,'Données projet'!$E$12+1,1))-AVERAGE(OFFSET($H$3,0,0,'Données projet'!$E$12+1,1))</f>
        <v>327.07074355218322</v>
      </c>
      <c r="CE122" s="62">
        <f t="shared" si="94"/>
        <v>462.01668587029087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2.3567355819886311</v>
      </c>
      <c r="CL122" s="23">
        <f>EXP(-LN(2)/25)*CL121+(1-EXP(-LN(2)/25))/(LN(2)/25)*Calculateur!CG122*Calculateur!CI122*VLOOKUP('Données projet'!$B$12,Paramètres!$A$1:$I$89,3,0)*0.475*44/12</f>
        <v>0.2659045508046895</v>
      </c>
      <c r="CM122" s="23">
        <f>EXP(-LN(2)/2)*CM121+(1-EXP(-LN(2)/2))/(LN(2)/2)*CG122*CJ122*VLOOKUP('Données projet'!$B$12,Paramètres!$A$1:$I$89,3,0)*0.475*44/12</f>
        <v>2.3695022397933637E-17</v>
      </c>
      <c r="CN122" s="24">
        <f t="shared" si="66"/>
        <v>2.6226401327933204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93.836028041880496</v>
      </c>
      <c r="CZ122" s="62">
        <f t="shared" si="96"/>
        <v>465.96044964631358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13.835538758094373</v>
      </c>
      <c r="DG122" s="23">
        <f>EXP(-LN(2)/25)*DG121+(1-EXP(-LN(2)/25))/(LN(2)/25)*Calculateur!DB122*Calculateur!DD122*VLOOKUP('Données projet'!$B$13,Paramètres!$A$1:$I$89,3,0)*0.475*44/12</f>
        <v>1.5357048627781136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15.371243620872486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-3.4106051316484809E-13</v>
      </c>
      <c r="DP122" s="18">
        <f>DO122*VLOOKUP('Données projet'!$B$14,Paramètres!$A$1:$I$89,3,0)*VLOOKUP('Données projet'!$B$14,Paramètres!$A$1:$I$89,5,0)</f>
        <v>-2.0395418687257919E-13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386.56102661082468</v>
      </c>
      <c r="DU122" s="62">
        <f t="shared" si="98"/>
        <v>410.28336627719011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3.3406622907133325</v>
      </c>
      <c r="EB122" s="23">
        <f>EXP(-LN(2)/25)*EB121+(1-EXP(-LN(2)/25))/(LN(2)/25)*Calculateur!DW122*Calculateur!DY122*VLOOKUP('Données projet'!$B$14,Paramètres!$A$1:$I$89,3,0)*0.475*44/12</f>
        <v>0.18896806186697823</v>
      </c>
      <c r="EC122" s="23">
        <f>EXP(-LN(2)/2)*EC121+(1-EXP(-LN(2)/2))/(LN(2)/2)*DW122*DZ122*VLOOKUP('Données projet'!$B$14,Paramètres!$A$1:$I$89,3,0)*0.475*44/12</f>
        <v>5.2359355015638512E-13</v>
      </c>
      <c r="ED122" s="24">
        <f t="shared" si="72"/>
        <v>3.5296303525808344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499.92116338695428</v>
      </c>
      <c r="T123" s="62">
        <f t="shared" si="88"/>
        <v>316.79403154855652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0.19784944774347313</v>
      </c>
      <c r="AB123" s="23">
        <f>EXP(-LN(2)/2)*AB122+(1-EXP(-LN(2)/2))/(LN(2)/2)*V123*Y123*VLOOKUP('Données projet'!$B$9,Paramètres!$A$1:$I$89,3,0)*0.475*44/12</f>
        <v>6.6815559223188238E-13</v>
      </c>
      <c r="AC123" s="24">
        <f t="shared" si="57"/>
        <v>0.19784944774414129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276.27107099675226</v>
      </c>
      <c r="AN123" s="62">
        <f ca="1">AVERAGE(OFFSET($AM$3,0,0,'Données projet'!$E$10+1,1))-AVERAGE(OFFSET($H$3,0,0,'Données projet'!$E$10+1,1))</f>
        <v>225.71928466161592</v>
      </c>
      <c r="AO123" s="62">
        <f t="shared" si="90"/>
        <v>385.98818770742025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211.70619219850786</v>
      </c>
      <c r="BJ123" s="62">
        <f t="shared" si="92"/>
        <v>426.883837098247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16.622263484688403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7.5597467909760283E-12</v>
      </c>
      <c r="BS123" s="24">
        <f t="shared" si="63"/>
        <v>16.622263484695964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1.9895196601282805E-13</v>
      </c>
      <c r="BZ123" s="14">
        <f>BY123*VLOOKUP('Données projet'!$B$12,Paramètres!$A$1:$I$89,3,0)*VLOOKUP('Données projet'!$B$12,Paramètres!$A$1:$I$89,5,0)</f>
        <v>1.8001173884840681E-13</v>
      </c>
      <c r="CA123" s="14">
        <f t="shared" si="93"/>
        <v>2.5254331426407198E-12</v>
      </c>
      <c r="CB123" s="22">
        <f t="shared" si="64"/>
        <v>4.7119831685935622E-12</v>
      </c>
      <c r="CC123" s="62">
        <f t="shared" si="65"/>
        <v>276.2710709967559</v>
      </c>
      <c r="CD123" s="62">
        <f ca="1">AVERAGE(OFFSET($CC$3,0,0,'Données projet'!$E$12+1,1))-AVERAGE(OFFSET($H$3,0,0,'Données projet'!$E$12+1,1))</f>
        <v>327.07074355218322</v>
      </c>
      <c r="CE123" s="62">
        <f t="shared" si="94"/>
        <v>462.01668587029087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2.3105214346926011</v>
      </c>
      <c r="CL123" s="23">
        <f>EXP(-LN(2)/25)*CL122+(1-EXP(-LN(2)/25))/(LN(2)/25)*Calculateur!CG123*Calculateur!CI123*VLOOKUP('Données projet'!$B$12,Paramètres!$A$1:$I$89,3,0)*0.475*44/12</f>
        <v>0.25863337687962268</v>
      </c>
      <c r="CM123" s="23">
        <f>EXP(-LN(2)/2)*CM122+(1-EXP(-LN(2)/2))/(LN(2)/2)*CG123*CJ123*VLOOKUP('Données projet'!$B$12,Paramètres!$A$1:$I$89,3,0)*0.475*44/12</f>
        <v>1.6754911017946003E-17</v>
      </c>
      <c r="CN123" s="24">
        <f t="shared" si="66"/>
        <v>2.5691548115722238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93.836028041880496</v>
      </c>
      <c r="CZ123" s="62">
        <f t="shared" si="96"/>
        <v>465.96044964631358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13.564232281893517</v>
      </c>
      <c r="DG123" s="23">
        <f>EXP(-LN(2)/25)*DG122+(1-EXP(-LN(2)/25))/(LN(2)/25)*Calculateur!DB123*Calculateur!DD123*VLOOKUP('Données projet'!$B$13,Paramètres!$A$1:$I$89,3,0)*0.475*44/12</f>
        <v>1.4937109325462372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15.057943214439755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-3.4106051316484809E-13</v>
      </c>
      <c r="DP123" s="18">
        <f>DO123*VLOOKUP('Données projet'!$B$14,Paramètres!$A$1:$I$89,3,0)*VLOOKUP('Données projet'!$B$14,Paramètres!$A$1:$I$89,5,0)</f>
        <v>-2.0395418687257919E-13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386.56102661082468</v>
      </c>
      <c r="DU123" s="62">
        <f t="shared" si="98"/>
        <v>410.28336627719011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3.2751539407952448</v>
      </c>
      <c r="EB123" s="23">
        <f>EXP(-LN(2)/25)*EB122+(1-EXP(-LN(2)/25))/(LN(2)/25)*Calculateur!DW123*Calculateur!DY123*VLOOKUP('Données projet'!$B$14,Paramètres!$A$1:$I$89,3,0)*0.475*44/12</f>
        <v>0.18380072027782723</v>
      </c>
      <c r="EC123" s="23">
        <f>EXP(-LN(2)/2)*EC122+(1-EXP(-LN(2)/2))/(LN(2)/2)*DW123*DZ123*VLOOKUP('Données projet'!$B$14,Paramètres!$A$1:$I$89,3,0)*0.475*44/12</f>
        <v>3.7023654990111862E-13</v>
      </c>
      <c r="ED123" s="24">
        <f t="shared" si="72"/>
        <v>3.4589546610734425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499.92116338695428</v>
      </c>
      <c r="T124" s="62">
        <f t="shared" si="88"/>
        <v>316.79403154855652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0.19243924419047759</v>
      </c>
      <c r="AB124" s="23">
        <f>EXP(-LN(2)/2)*AB123+(1-EXP(-LN(2)/2))/(LN(2)/2)*V124*Y124*VLOOKUP('Données projet'!$B$9,Paramètres!$A$1:$I$89,3,0)*0.475*44/12</f>
        <v>4.7245735015487773E-13</v>
      </c>
      <c r="AC124" s="24">
        <f t="shared" si="57"/>
        <v>0.19243924419095004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276.56706310278798</v>
      </c>
      <c r="AN124" s="62">
        <f ca="1">AVERAGE(OFFSET($AM$3,0,0,'Données projet'!$E$10+1,1))-AVERAGE(OFFSET($H$3,0,0,'Données projet'!$E$10+1,1))</f>
        <v>225.71928466161592</v>
      </c>
      <c r="AO124" s="62">
        <f t="shared" si="90"/>
        <v>385.98818770742025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211.70619219850786</v>
      </c>
      <c r="BJ124" s="62">
        <f t="shared" si="92"/>
        <v>426.883837098247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16.296311036333289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5.3455482199523914E-12</v>
      </c>
      <c r="BS124" s="24">
        <f t="shared" si="63"/>
        <v>16.296311036338636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1.9895196601282805E-13</v>
      </c>
      <c r="BZ124" s="14">
        <f>BY124*VLOOKUP('Données projet'!$B$12,Paramètres!$A$1:$I$89,3,0)*VLOOKUP('Données projet'!$B$12,Paramètres!$A$1:$I$89,5,0)</f>
        <v>1.8001173884840681E-13</v>
      </c>
      <c r="CA124" s="14">
        <f t="shared" si="93"/>
        <v>2.5254331426407198E-12</v>
      </c>
      <c r="CB124" s="22">
        <f t="shared" si="64"/>
        <v>4.7119831685935622E-12</v>
      </c>
      <c r="CC124" s="62">
        <f t="shared" si="65"/>
        <v>276.56706310279162</v>
      </c>
      <c r="CD124" s="62">
        <f ca="1">AVERAGE(OFFSET($CC$3,0,0,'Données projet'!$E$12+1,1))-AVERAGE(OFFSET($H$3,0,0,'Données projet'!$E$12+1,1))</f>
        <v>327.07074355218322</v>
      </c>
      <c r="CE124" s="62">
        <f t="shared" si="94"/>
        <v>462.01668587029087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2.2652135186371996</v>
      </c>
      <c r="CL124" s="23">
        <f>EXP(-LN(2)/25)*CL123+(1-EXP(-LN(2)/25))/(LN(2)/25)*Calculateur!CG124*Calculateur!CI124*VLOOKUP('Données projet'!$B$12,Paramètres!$A$1:$I$89,3,0)*0.475*44/12</f>
        <v>0.25156103358791121</v>
      </c>
      <c r="CM124" s="23">
        <f>EXP(-LN(2)/2)*CM123+(1-EXP(-LN(2)/2))/(LN(2)/2)*CG124*CJ124*VLOOKUP('Données projet'!$B$12,Paramètres!$A$1:$I$89,3,0)*0.475*44/12</f>
        <v>1.1847511198966818E-17</v>
      </c>
      <c r="CN124" s="24">
        <f t="shared" si="66"/>
        <v>2.5167745522251108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93.836028041880496</v>
      </c>
      <c r="CZ124" s="62">
        <f t="shared" si="96"/>
        <v>465.96044964631358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13.29824596021035</v>
      </c>
      <c r="DG124" s="23">
        <f>EXP(-LN(2)/25)*DG123+(1-EXP(-LN(2)/25))/(LN(2)/25)*Calculateur!DB124*Calculateur!DD124*VLOOKUP('Données projet'!$B$13,Paramètres!$A$1:$I$89,3,0)*0.475*44/12</f>
        <v>1.4528653285449162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14.751111288755267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-3.4106051316484809E-13</v>
      </c>
      <c r="DP124" s="18">
        <f>DO124*VLOOKUP('Données projet'!$B$14,Paramètres!$A$1:$I$89,3,0)*VLOOKUP('Données projet'!$B$14,Paramètres!$A$1:$I$89,5,0)</f>
        <v>-2.0395418687257919E-13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386.56102661082468</v>
      </c>
      <c r="DU124" s="62">
        <f t="shared" si="98"/>
        <v>410.28336627719011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3.2109301696629027</v>
      </c>
      <c r="EB124" s="23">
        <f>EXP(-LN(2)/25)*EB123+(1-EXP(-LN(2)/25))/(LN(2)/25)*Calculateur!DW124*Calculateur!DY124*VLOOKUP('Données projet'!$B$14,Paramètres!$A$1:$I$89,3,0)*0.475*44/12</f>
        <v>0.17877467991617024</v>
      </c>
      <c r="EC124" s="23">
        <f>EXP(-LN(2)/2)*EC123+(1-EXP(-LN(2)/2))/(LN(2)/2)*DW124*DZ124*VLOOKUP('Données projet'!$B$14,Paramètres!$A$1:$I$89,3,0)*0.475*44/12</f>
        <v>2.6179677507819256E-13</v>
      </c>
      <c r="ED124" s="24">
        <f t="shared" si="72"/>
        <v>3.3897048495793349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499.92116338695428</v>
      </c>
      <c r="T125" s="62">
        <f t="shared" si="88"/>
        <v>316.79403154855652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0.18717698293814894</v>
      </c>
      <c r="AB125" s="23">
        <f>EXP(-LN(2)/2)*AB124+(1-EXP(-LN(2)/2))/(LN(2)/2)*V125*Y125*VLOOKUP('Données projet'!$B$9,Paramètres!$A$1:$I$89,3,0)*0.475*44/12</f>
        <v>3.3407779611594119E-13</v>
      </c>
      <c r="AC125" s="24">
        <f t="shared" si="57"/>
        <v>0.18717698293848301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276.85792040752324</v>
      </c>
      <c r="AN125" s="62">
        <f ca="1">AVERAGE(OFFSET($AM$3,0,0,'Données projet'!$E$10+1,1))-AVERAGE(OFFSET($H$3,0,0,'Données projet'!$E$10+1,1))</f>
        <v>225.71928466161592</v>
      </c>
      <c r="AO125" s="62">
        <f t="shared" si="90"/>
        <v>385.98818770742025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211.70619219850786</v>
      </c>
      <c r="BJ125" s="62">
        <f t="shared" si="92"/>
        <v>426.883837098247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15.976750316679055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3.7798733954880142E-12</v>
      </c>
      <c r="BS125" s="24">
        <f t="shared" si="63"/>
        <v>15.976750316682836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1.9895196601282805E-13</v>
      </c>
      <c r="BZ125" s="14">
        <f>BY125*VLOOKUP('Données projet'!$B$12,Paramètres!$A$1:$I$89,3,0)*VLOOKUP('Données projet'!$B$12,Paramètres!$A$1:$I$89,5,0)</f>
        <v>1.8001173884840681E-13</v>
      </c>
      <c r="CA125" s="14">
        <f t="shared" si="93"/>
        <v>2.5254331426407198E-12</v>
      </c>
      <c r="CB125" s="22">
        <f t="shared" si="64"/>
        <v>4.7119831685935622E-12</v>
      </c>
      <c r="CC125" s="62">
        <f t="shared" si="65"/>
        <v>276.85792040752688</v>
      </c>
      <c r="CD125" s="62">
        <f ca="1">AVERAGE(OFFSET($CC$3,0,0,'Données projet'!$E$12+1,1))-AVERAGE(OFFSET($H$3,0,0,'Données projet'!$E$12+1,1))</f>
        <v>327.07074355218322</v>
      </c>
      <c r="CE125" s="62">
        <f t="shared" si="94"/>
        <v>462.01668587029087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2.2207940631805445</v>
      </c>
      <c r="CL125" s="23">
        <f>EXP(-LN(2)/25)*CL124+(1-EXP(-LN(2)/25))/(LN(2)/25)*Calculateur!CG125*Calculateur!CI125*VLOOKUP('Données projet'!$B$12,Paramètres!$A$1:$I$89,3,0)*0.475*44/12</f>
        <v>0.24468208389542997</v>
      </c>
      <c r="CM125" s="23">
        <f>EXP(-LN(2)/2)*CM124+(1-EXP(-LN(2)/2))/(LN(2)/2)*CG125*CJ125*VLOOKUP('Données projet'!$B$12,Paramètres!$A$1:$I$89,3,0)*0.475*44/12</f>
        <v>8.3774555089730013E-18</v>
      </c>
      <c r="CN125" s="24">
        <f t="shared" si="66"/>
        <v>2.4654761470759743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93.836028041880496</v>
      </c>
      <c r="CZ125" s="62">
        <f t="shared" si="96"/>
        <v>465.96044964631358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13.037475468059753</v>
      </c>
      <c r="DG125" s="23">
        <f>EXP(-LN(2)/25)*DG124+(1-EXP(-LN(2)/25))/(LN(2)/25)*Calculateur!DB125*Calculateur!DD125*VLOOKUP('Données projet'!$B$13,Paramètres!$A$1:$I$89,3,0)*0.475*44/12</f>
        <v>1.4131366497329885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14.450612117792742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-3.4106051316484809E-13</v>
      </c>
      <c r="DP125" s="18">
        <f>DO125*VLOOKUP('Données projet'!$B$14,Paramètres!$A$1:$I$89,3,0)*VLOOKUP('Données projet'!$B$14,Paramètres!$A$1:$I$89,5,0)</f>
        <v>-2.0395418687257919E-13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386.56102661082468</v>
      </c>
      <c r="DU125" s="62">
        <f t="shared" si="98"/>
        <v>410.28336627719011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3.1479657875098335</v>
      </c>
      <c r="EB125" s="23">
        <f>EXP(-LN(2)/25)*EB124+(1-EXP(-LN(2)/25))/(LN(2)/25)*Calculateur!DW125*Calculateur!DY125*VLOOKUP('Données projet'!$B$14,Paramètres!$A$1:$I$89,3,0)*0.475*44/12</f>
        <v>0.17388607689251073</v>
      </c>
      <c r="EC125" s="23">
        <f>EXP(-LN(2)/2)*EC124+(1-EXP(-LN(2)/2))/(LN(2)/2)*DW125*DZ125*VLOOKUP('Données projet'!$B$14,Paramètres!$A$1:$I$89,3,0)*0.475*44/12</f>
        <v>1.8511827495055931E-13</v>
      </c>
      <c r="ED125" s="24">
        <f t="shared" si="72"/>
        <v>3.3218518644025292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499.92116338695428</v>
      </c>
      <c r="T126" s="62">
        <f t="shared" si="88"/>
        <v>316.79403154855652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0.18205861849649552</v>
      </c>
      <c r="AB126" s="23">
        <f>EXP(-LN(2)/2)*AB125+(1-EXP(-LN(2)/2))/(LN(2)/2)*V126*Y126*VLOOKUP('Données projet'!$B$9,Paramètres!$A$1:$I$89,3,0)*0.475*44/12</f>
        <v>2.3622867507743886E-13</v>
      </c>
      <c r="AC126" s="24">
        <f t="shared" si="57"/>
        <v>0.18205861849673174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277.14373198828082</v>
      </c>
      <c r="AN126" s="62">
        <f ca="1">AVERAGE(OFFSET($AM$3,0,0,'Données projet'!$E$10+1,1))-AVERAGE(OFFSET($H$3,0,0,'Données projet'!$E$10+1,1))</f>
        <v>225.71928466161592</v>
      </c>
      <c r="AO126" s="62">
        <f t="shared" si="90"/>
        <v>385.98818770742025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211.70619219850786</v>
      </c>
      <c r="BJ126" s="62">
        <f t="shared" si="92"/>
        <v>426.883837098247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15.663455987824447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2.6727741099761957E-12</v>
      </c>
      <c r="BS126" s="24">
        <f t="shared" si="63"/>
        <v>15.66345598782712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1.9895196601282805E-13</v>
      </c>
      <c r="BZ126" s="14">
        <f>BY126*VLOOKUP('Données projet'!$B$12,Paramètres!$A$1:$I$89,3,0)*VLOOKUP('Données projet'!$B$12,Paramètres!$A$1:$I$89,5,0)</f>
        <v>1.8001173884840681E-13</v>
      </c>
      <c r="CA126" s="14">
        <f t="shared" si="93"/>
        <v>2.5254331426407198E-12</v>
      </c>
      <c r="CB126" s="22">
        <f t="shared" si="64"/>
        <v>4.7119831685935622E-12</v>
      </c>
      <c r="CC126" s="62">
        <f t="shared" si="65"/>
        <v>277.14373198828446</v>
      </c>
      <c r="CD126" s="62">
        <f ca="1">AVERAGE(OFFSET($CC$3,0,0,'Données projet'!$E$12+1,1))-AVERAGE(OFFSET($H$3,0,0,'Données projet'!$E$12+1,1))</f>
        <v>327.07074355218322</v>
      </c>
      <c r="CE126" s="62">
        <f t="shared" si="94"/>
        <v>462.01668587029087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2.1772456461522016</v>
      </c>
      <c r="CL126" s="23">
        <f>EXP(-LN(2)/25)*CL125+(1-EXP(-LN(2)/25))/(LN(2)/25)*Calculateur!CG126*Calculateur!CI126*VLOOKUP('Données projet'!$B$12,Paramètres!$A$1:$I$89,3,0)*0.475*44/12</f>
        <v>0.23799123944403788</v>
      </c>
      <c r="CM126" s="23">
        <f>EXP(-LN(2)/2)*CM125+(1-EXP(-LN(2)/2))/(LN(2)/2)*CG126*CJ126*VLOOKUP('Données projet'!$B$12,Paramètres!$A$1:$I$89,3,0)*0.475*44/12</f>
        <v>5.9237555994834092E-18</v>
      </c>
      <c r="CN126" s="24">
        <f t="shared" si="66"/>
        <v>2.4152368855962396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93.836028041880496</v>
      </c>
      <c r="CZ126" s="62">
        <f t="shared" si="96"/>
        <v>465.96044964631358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12.781818526205935</v>
      </c>
      <c r="DG126" s="23">
        <f>EXP(-LN(2)/25)*DG125+(1-EXP(-LN(2)/25))/(LN(2)/25)*Calculateur!DB126*Calculateur!DD126*VLOOKUP('Données projet'!$B$13,Paramètres!$A$1:$I$89,3,0)*0.475*44/12</f>
        <v>1.3744943537324132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14.156312879938348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-3.4106051316484809E-13</v>
      </c>
      <c r="DP126" s="18">
        <f>DO126*VLOOKUP('Données projet'!$B$14,Paramètres!$A$1:$I$89,3,0)*VLOOKUP('Données projet'!$B$14,Paramètres!$A$1:$I$89,5,0)</f>
        <v>-2.0395418687257919E-13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386.56102661082468</v>
      </c>
      <c r="DU126" s="62">
        <f t="shared" si="98"/>
        <v>410.28336627719011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3.0862360984863049</v>
      </c>
      <c r="EB126" s="23">
        <f>EXP(-LN(2)/25)*EB125+(1-EXP(-LN(2)/25))/(LN(2)/25)*Calculateur!DW126*Calculateur!DY126*VLOOKUP('Données projet'!$B$14,Paramètres!$A$1:$I$89,3,0)*0.475*44/12</f>
        <v>0.16913115297561365</v>
      </c>
      <c r="EC126" s="23">
        <f>EXP(-LN(2)/2)*EC125+(1-EXP(-LN(2)/2))/(LN(2)/2)*DW126*DZ126*VLOOKUP('Données projet'!$B$14,Paramètres!$A$1:$I$89,3,0)*0.475*44/12</f>
        <v>1.3089838753909628E-13</v>
      </c>
      <c r="ED126" s="24">
        <f t="shared" si="72"/>
        <v>3.2553672514620495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499.92116338695428</v>
      </c>
      <c r="T127" s="62">
        <f t="shared" si="88"/>
        <v>316.79403154855652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0.1770802159996622</v>
      </c>
      <c r="AB127" s="23">
        <f>EXP(-LN(2)/2)*AB126+(1-EXP(-LN(2)/2))/(LN(2)/2)*V127*Y127*VLOOKUP('Données projet'!$B$9,Paramètres!$A$1:$I$89,3,0)*0.475*44/12</f>
        <v>1.670388980579706E-13</v>
      </c>
      <c r="AC127" s="24">
        <f t="shared" si="57"/>
        <v>0.17708021599982923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277.4245853770912</v>
      </c>
      <c r="AN127" s="62">
        <f ca="1">AVERAGE(OFFSET($AM$3,0,0,'Données projet'!$E$10+1,1))-AVERAGE(OFFSET($H$3,0,0,'Données projet'!$E$10+1,1))</f>
        <v>225.71928466161592</v>
      </c>
      <c r="AO127" s="62">
        <f t="shared" si="90"/>
        <v>385.98818770742025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211.70619219850786</v>
      </c>
      <c r="BJ127" s="62">
        <f t="shared" si="92"/>
        <v>426.883837098247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15.356305169668007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1.8899366977440071E-12</v>
      </c>
      <c r="BS127" s="24">
        <f t="shared" si="63"/>
        <v>15.356305169669897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1.9895196601282805E-13</v>
      </c>
      <c r="BZ127" s="14">
        <f>BY127*VLOOKUP('Données projet'!$B$12,Paramètres!$A$1:$I$89,3,0)*VLOOKUP('Données projet'!$B$12,Paramètres!$A$1:$I$89,5,0)</f>
        <v>1.8001173884840681E-13</v>
      </c>
      <c r="CA127" s="14">
        <f t="shared" si="93"/>
        <v>2.5254331426407198E-12</v>
      </c>
      <c r="CB127" s="22">
        <f t="shared" si="64"/>
        <v>4.7119831685935622E-12</v>
      </c>
      <c r="CC127" s="62">
        <f t="shared" si="65"/>
        <v>277.42458537709484</v>
      </c>
      <c r="CD127" s="62">
        <f ca="1">AVERAGE(OFFSET($CC$3,0,0,'Données projet'!$E$12+1,1))-AVERAGE(OFFSET($H$3,0,0,'Données projet'!$E$12+1,1))</f>
        <v>327.07074355218322</v>
      </c>
      <c r="CE127" s="62">
        <f t="shared" si="94"/>
        <v>462.01668587029087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2.134551187019873</v>
      </c>
      <c r="CL127" s="23">
        <f>EXP(-LN(2)/25)*CL126+(1-EXP(-LN(2)/25))/(LN(2)/25)*Calculateur!CG127*Calculateur!CI127*VLOOKUP('Données projet'!$B$12,Paramètres!$A$1:$I$89,3,0)*0.475*44/12</f>
        <v>0.23148335648602533</v>
      </c>
      <c r="CM127" s="23">
        <f>EXP(-LN(2)/2)*CM126+(1-EXP(-LN(2)/2))/(LN(2)/2)*CG127*CJ127*VLOOKUP('Données projet'!$B$12,Paramètres!$A$1:$I$89,3,0)*0.475*44/12</f>
        <v>4.1887277544865006E-18</v>
      </c>
      <c r="CN127" s="24">
        <f t="shared" si="66"/>
        <v>2.3660345435058985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93.836028041880496</v>
      </c>
      <c r="CZ127" s="62">
        <f t="shared" si="96"/>
        <v>465.96044964631358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12.531174861046534</v>
      </c>
      <c r="DG127" s="23">
        <f>EXP(-LN(2)/25)*DG126+(1-EXP(-LN(2)/25))/(LN(2)/25)*Calculateur!DB127*Calculateur!DD127*VLOOKUP('Données projet'!$B$13,Paramètres!$A$1:$I$89,3,0)*0.475*44/12</f>
        <v>1.3369087333480838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13.868083594394617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-3.4106051316484809E-13</v>
      </c>
      <c r="DP127" s="18">
        <f>DO127*VLOOKUP('Données projet'!$B$14,Paramètres!$A$1:$I$89,3,0)*VLOOKUP('Données projet'!$B$14,Paramètres!$A$1:$I$89,5,0)</f>
        <v>-2.0395418687257919E-13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386.56102661082468</v>
      </c>
      <c r="DU127" s="62">
        <f t="shared" si="98"/>
        <v>410.28336627719011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3.0257168910131353</v>
      </c>
      <c r="EB127" s="23">
        <f>EXP(-LN(2)/25)*EB126+(1-EXP(-LN(2)/25))/(LN(2)/25)*Calculateur!DW127*Calculateur!DY127*VLOOKUP('Données projet'!$B$14,Paramètres!$A$1:$I$89,3,0)*0.475*44/12</f>
        <v>0.16450625270327471</v>
      </c>
      <c r="EC127" s="23">
        <f>EXP(-LN(2)/2)*EC126+(1-EXP(-LN(2)/2))/(LN(2)/2)*DW127*DZ127*VLOOKUP('Données projet'!$B$14,Paramètres!$A$1:$I$89,3,0)*0.475*44/12</f>
        <v>9.2559137475279655E-14</v>
      </c>
      <c r="ED127" s="24">
        <f t="shared" si="72"/>
        <v>3.1902231437165023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499.92116338695428</v>
      </c>
      <c r="T128" s="62">
        <f t="shared" si="88"/>
        <v>316.79403154855652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0.1722379481809076</v>
      </c>
      <c r="AB128" s="23">
        <f>EXP(-LN(2)/2)*AB127+(1-EXP(-LN(2)/2))/(LN(2)/2)*V128*Y128*VLOOKUP('Données projet'!$B$9,Paramètres!$A$1:$I$89,3,0)*0.475*44/12</f>
        <v>1.1811433753871943E-13</v>
      </c>
      <c r="AC128" s="24">
        <f t="shared" si="57"/>
        <v>0.17223794818102572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277.70056658749985</v>
      </c>
      <c r="AN128" s="62">
        <f ca="1">AVERAGE(OFFSET($AM$3,0,0,'Données projet'!$E$10+1,1))-AVERAGE(OFFSET($H$3,0,0,'Données projet'!$E$10+1,1))</f>
        <v>225.71928466161592</v>
      </c>
      <c r="AO128" s="62">
        <f t="shared" si="90"/>
        <v>385.98818770742025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211.70619219850786</v>
      </c>
      <c r="BJ128" s="62">
        <f t="shared" si="92"/>
        <v>426.883837098247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15.055177391712114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1.3363870549880978E-12</v>
      </c>
      <c r="BS128" s="24">
        <f t="shared" si="63"/>
        <v>15.05517739171345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1.9895196601282805E-13</v>
      </c>
      <c r="BZ128" s="14">
        <f>BY128*VLOOKUP('Données projet'!$B$12,Paramètres!$A$1:$I$89,3,0)*VLOOKUP('Données projet'!$B$12,Paramètres!$A$1:$I$89,5,0)</f>
        <v>1.8001173884840681E-13</v>
      </c>
      <c r="CA128" s="14">
        <f t="shared" si="93"/>
        <v>2.5254331426407198E-12</v>
      </c>
      <c r="CB128" s="22">
        <f t="shared" si="64"/>
        <v>4.7119831685935622E-12</v>
      </c>
      <c r="CC128" s="62">
        <f t="shared" si="65"/>
        <v>277.70056658750349</v>
      </c>
      <c r="CD128" s="62">
        <f ca="1">AVERAGE(OFFSET($CC$3,0,0,'Données projet'!$E$12+1,1))-AVERAGE(OFFSET($H$3,0,0,'Données projet'!$E$12+1,1))</f>
        <v>327.07074355218322</v>
      </c>
      <c r="CE128" s="62">
        <f t="shared" si="94"/>
        <v>462.01668587029087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2.0926939401900806</v>
      </c>
      <c r="CL128" s="23">
        <f>EXP(-LN(2)/25)*CL127+(1-EXP(-LN(2)/25))/(LN(2)/25)*Calculateur!CG128*Calculateur!CI128*VLOOKUP('Données projet'!$B$12,Paramètres!$A$1:$I$89,3,0)*0.475*44/12</f>
        <v>0.2251534319297343</v>
      </c>
      <c r="CM128" s="23">
        <f>EXP(-LN(2)/2)*CM127+(1-EXP(-LN(2)/2))/(LN(2)/2)*CG128*CJ128*VLOOKUP('Données projet'!$B$12,Paramètres!$A$1:$I$89,3,0)*0.475*44/12</f>
        <v>2.9618777997417046E-18</v>
      </c>
      <c r="CN128" s="24">
        <f t="shared" si="66"/>
        <v>2.317847372119815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93.836028041880496</v>
      </c>
      <c r="CZ128" s="62">
        <f t="shared" si="96"/>
        <v>465.96044964631358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12.285446165283368</v>
      </c>
      <c r="DG128" s="23">
        <f>EXP(-LN(2)/25)*DG127+(1-EXP(-LN(2)/25))/(LN(2)/25)*Calculateur!DB128*Calculateur!DD128*VLOOKUP('Données projet'!$B$13,Paramètres!$A$1:$I$89,3,0)*0.475*44/12</f>
        <v>1.3003508937297057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13.585797059013073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-3.4106051316484809E-13</v>
      </c>
      <c r="DP128" s="18">
        <f>DO128*VLOOKUP('Données projet'!$B$14,Paramètres!$A$1:$I$89,3,0)*VLOOKUP('Données projet'!$B$14,Paramètres!$A$1:$I$89,5,0)</f>
        <v>-2.0395418687257919E-13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386.56102661082468</v>
      </c>
      <c r="DU128" s="62">
        <f t="shared" si="98"/>
        <v>410.28336627719011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2.9663844282854428</v>
      </c>
      <c r="EB128" s="23">
        <f>EXP(-LN(2)/25)*EB127+(1-EXP(-LN(2)/25))/(LN(2)/25)*Calculateur!DW128*Calculateur!DY128*VLOOKUP('Données projet'!$B$14,Paramètres!$A$1:$I$89,3,0)*0.475*44/12</f>
        <v>0.16000782057209581</v>
      </c>
      <c r="EC128" s="23">
        <f>EXP(-LN(2)/2)*EC127+(1-EXP(-LN(2)/2))/(LN(2)/2)*DW128*DZ128*VLOOKUP('Données projet'!$B$14,Paramètres!$A$1:$I$89,3,0)*0.475*44/12</f>
        <v>6.544919376954814E-14</v>
      </c>
      <c r="ED128" s="24">
        <f t="shared" si="72"/>
        <v>3.1263922488576039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499.92116338695428</v>
      </c>
      <c r="T129" s="62">
        <f t="shared" si="88"/>
        <v>316.79403154855652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0.16752809243030065</v>
      </c>
      <c r="AB129" s="23">
        <f>EXP(-LN(2)/2)*AB128+(1-EXP(-LN(2)/2))/(LN(2)/2)*V129*Y129*VLOOKUP('Données projet'!$B$9,Paramètres!$A$1:$I$89,3,0)*0.475*44/12</f>
        <v>8.3519449028985298E-14</v>
      </c>
      <c r="AC129" s="24">
        <f t="shared" si="57"/>
        <v>0.16752809243038416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277.97176014090945</v>
      </c>
      <c r="AN129" s="62">
        <f ca="1">AVERAGE(OFFSET($AM$3,0,0,'Données projet'!$E$10+1,1))-AVERAGE(OFFSET($H$3,0,0,'Données projet'!$E$10+1,1))</f>
        <v>225.71928466161592</v>
      </c>
      <c r="AO129" s="62">
        <f t="shared" si="90"/>
        <v>385.98818770742025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211.70619219850786</v>
      </c>
      <c r="BJ129" s="62">
        <f t="shared" si="92"/>
        <v>426.883837098247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14.759954545812127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9.4496834887200354E-13</v>
      </c>
      <c r="BS129" s="24">
        <f t="shared" si="63"/>
        <v>14.759954545813072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1.9895196601282805E-13</v>
      </c>
      <c r="BZ129" s="14">
        <f>BY129*VLOOKUP('Données projet'!$B$12,Paramètres!$A$1:$I$89,3,0)*VLOOKUP('Données projet'!$B$12,Paramètres!$A$1:$I$89,5,0)</f>
        <v>1.8001173884840681E-13</v>
      </c>
      <c r="CA129" s="14">
        <f t="shared" si="93"/>
        <v>2.5254331426407198E-12</v>
      </c>
      <c r="CB129" s="22">
        <f t="shared" si="64"/>
        <v>4.7119831685935622E-12</v>
      </c>
      <c r="CC129" s="62">
        <f t="shared" si="65"/>
        <v>277.97176014091309</v>
      </c>
      <c r="CD129" s="62">
        <f ca="1">AVERAGE(OFFSET($CC$3,0,0,'Données projet'!$E$12+1,1))-AVERAGE(OFFSET($H$3,0,0,'Données projet'!$E$12+1,1))</f>
        <v>327.07074355218322</v>
      </c>
      <c r="CE129" s="62">
        <f t="shared" si="94"/>
        <v>462.01668587029087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2.0516574884402208</v>
      </c>
      <c r="CL129" s="23">
        <f>EXP(-LN(2)/25)*CL128+(1-EXP(-LN(2)/25))/(LN(2)/25)*Calculateur!CG129*Calculateur!CI129*VLOOKUP('Données projet'!$B$12,Paramètres!$A$1:$I$89,3,0)*0.475*44/12</f>
        <v>0.21899659949331132</v>
      </c>
      <c r="CM129" s="23">
        <f>EXP(-LN(2)/2)*CM128+(1-EXP(-LN(2)/2))/(LN(2)/2)*CG129*CJ129*VLOOKUP('Données projet'!$B$12,Paramètres!$A$1:$I$89,3,0)*0.475*44/12</f>
        <v>2.0943638772432503E-18</v>
      </c>
      <c r="CN129" s="24">
        <f t="shared" si="66"/>
        <v>2.270654087933532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93.836028041880496</v>
      </c>
      <c r="CZ129" s="62">
        <f t="shared" si="96"/>
        <v>465.96044964631358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12.044536059364411</v>
      </c>
      <c r="DG129" s="23">
        <f>EXP(-LN(2)/25)*DG128+(1-EXP(-LN(2)/25))/(LN(2)/25)*Calculateur!DB129*Calculateur!DD129*VLOOKUP('Données projet'!$B$13,Paramètres!$A$1:$I$89,3,0)*0.475*44/12</f>
        <v>1.2647927301581854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13.309328789522596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-3.4106051316484809E-13</v>
      </c>
      <c r="DP129" s="18">
        <f>DO129*VLOOKUP('Données projet'!$B$14,Paramètres!$A$1:$I$89,3,0)*VLOOKUP('Données projet'!$B$14,Paramètres!$A$1:$I$89,5,0)</f>
        <v>-2.0395418687257919E-13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386.56102661082468</v>
      </c>
      <c r="DU129" s="62">
        <f t="shared" si="98"/>
        <v>410.28336627719011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2.9082154389626114</v>
      </c>
      <c r="EB129" s="23">
        <f>EXP(-LN(2)/25)*EB128+(1-EXP(-LN(2)/25))/(LN(2)/25)*Calculateur!DW129*Calculateur!DY129*VLOOKUP('Données projet'!$B$14,Paramètres!$A$1:$I$89,3,0)*0.475*44/12</f>
        <v>0.15563239830410627</v>
      </c>
      <c r="EC129" s="23">
        <f>EXP(-LN(2)/2)*EC128+(1-EXP(-LN(2)/2))/(LN(2)/2)*DW129*DZ129*VLOOKUP('Données projet'!$B$14,Paramètres!$A$1:$I$89,3,0)*0.475*44/12</f>
        <v>4.6279568737639827E-14</v>
      </c>
      <c r="ED129" s="24">
        <f t="shared" si="72"/>
        <v>3.0638478372667639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499.92116338695428</v>
      </c>
      <c r="T130" s="62">
        <f t="shared" si="88"/>
        <v>316.79403154855652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0.16294702793287458</v>
      </c>
      <c r="AB130" s="23">
        <f>EXP(-LN(2)/2)*AB129+(1-EXP(-LN(2)/2))/(LN(2)/2)*V130*Y130*VLOOKUP('Données projet'!$B$9,Paramètres!$A$1:$I$89,3,0)*0.475*44/12</f>
        <v>5.9057168769359716E-14</v>
      </c>
      <c r="AC130" s="24">
        <f t="shared" si="57"/>
        <v>0.16294702793293364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278.23824909246537</v>
      </c>
      <c r="AN130" s="62">
        <f ca="1">AVERAGE(OFFSET($AM$3,0,0,'Données projet'!$E$10+1,1))-AVERAGE(OFFSET($H$3,0,0,'Données projet'!$E$10+1,1))</f>
        <v>225.71928466161592</v>
      </c>
      <c r="AO130" s="62">
        <f t="shared" si="90"/>
        <v>385.98818770742025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211.70619219850786</v>
      </c>
      <c r="BJ130" s="62">
        <f t="shared" si="92"/>
        <v>426.883837098247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14.470520839852083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6.6819352749404892E-13</v>
      </c>
      <c r="BS130" s="24">
        <f t="shared" si="63"/>
        <v>14.470520839852751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1.9895196601282805E-13</v>
      </c>
      <c r="BZ130" s="14">
        <f>BY130*VLOOKUP('Données projet'!$B$12,Paramètres!$A$1:$I$89,3,0)*VLOOKUP('Données projet'!$B$12,Paramètres!$A$1:$I$89,5,0)</f>
        <v>1.8001173884840681E-13</v>
      </c>
      <c r="CA130" s="14">
        <f t="shared" si="93"/>
        <v>2.5254331426407198E-12</v>
      </c>
      <c r="CB130" s="22">
        <f t="shared" si="64"/>
        <v>4.7119831685935622E-12</v>
      </c>
      <c r="CC130" s="62">
        <f t="shared" si="65"/>
        <v>278.238249092469</v>
      </c>
      <c r="CD130" s="62">
        <f ca="1">AVERAGE(OFFSET($CC$3,0,0,'Données projet'!$E$12+1,1))-AVERAGE(OFFSET($H$3,0,0,'Données projet'!$E$12+1,1))</f>
        <v>327.07074355218322</v>
      </c>
      <c r="CE130" s="62">
        <f t="shared" si="94"/>
        <v>462.01668587029087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2.0114257364794117</v>
      </c>
      <c r="CL130" s="23">
        <f>EXP(-LN(2)/25)*CL129+(1-EXP(-LN(2)/25))/(LN(2)/25)*Calculateur!CG130*Calculateur!CI130*VLOOKUP('Données projet'!$B$12,Paramètres!$A$1:$I$89,3,0)*0.475*44/12</f>
        <v>0.21300812596363608</v>
      </c>
      <c r="CM130" s="23">
        <f>EXP(-LN(2)/2)*CM129+(1-EXP(-LN(2)/2))/(LN(2)/2)*CG130*CJ130*VLOOKUP('Données projet'!$B$12,Paramètres!$A$1:$I$89,3,0)*0.475*44/12</f>
        <v>1.4809388998708523E-18</v>
      </c>
      <c r="CN130" s="24">
        <f t="shared" si="66"/>
        <v>2.224433862443048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93.836028041880496</v>
      </c>
      <c r="CZ130" s="62">
        <f t="shared" si="96"/>
        <v>465.96044964631358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11.80835005368187</v>
      </c>
      <c r="DG130" s="23">
        <f>EXP(-LN(2)/25)*DG129+(1-EXP(-LN(2)/25))/(LN(2)/25)*Calculateur!DB130*Calculateur!DD130*VLOOKUP('Données projet'!$B$13,Paramètres!$A$1:$I$89,3,0)*0.475*44/12</f>
        <v>1.2302069064394507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13.038556960121321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-3.4106051316484809E-13</v>
      </c>
      <c r="DP130" s="18">
        <f>DO130*VLOOKUP('Données projet'!$B$14,Paramètres!$A$1:$I$89,3,0)*VLOOKUP('Données projet'!$B$14,Paramètres!$A$1:$I$89,5,0)</f>
        <v>-2.0395418687257919E-13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386.56102661082468</v>
      </c>
      <c r="DU130" s="62">
        <f t="shared" si="98"/>
        <v>410.28336627719011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2.8511871080408207</v>
      </c>
      <c r="EB130" s="23">
        <f>EXP(-LN(2)/25)*EB129+(1-EXP(-LN(2)/25))/(LN(2)/25)*Calculateur!DW130*Calculateur!DY130*VLOOKUP('Données projet'!$B$14,Paramètres!$A$1:$I$89,3,0)*0.475*44/12</f>
        <v>0.15137662218812836</v>
      </c>
      <c r="EC130" s="23">
        <f>EXP(-LN(2)/2)*EC129+(1-EXP(-LN(2)/2))/(LN(2)/2)*DW130*DZ130*VLOOKUP('Données projet'!$B$14,Paramètres!$A$1:$I$89,3,0)*0.475*44/12</f>
        <v>3.272459688477407E-14</v>
      </c>
      <c r="ED130" s="24">
        <f t="shared" si="72"/>
        <v>3.002563730228982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499.92116338695428</v>
      </c>
      <c r="T131" s="62">
        <f t="shared" si="88"/>
        <v>316.79403154855652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0.15849123288503833</v>
      </c>
      <c r="AB131" s="23">
        <f>EXP(-LN(2)/2)*AB130+(1-EXP(-LN(2)/2))/(LN(2)/2)*V131*Y131*VLOOKUP('Données projet'!$B$9,Paramètres!$A$1:$I$89,3,0)*0.475*44/12</f>
        <v>4.1759724514492649E-14</v>
      </c>
      <c r="AC131" s="24">
        <f t="shared" si="57"/>
        <v>0.1584912328850801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278.50011505649184</v>
      </c>
      <c r="AN131" s="62">
        <f ca="1">AVERAGE(OFFSET($AM$3,0,0,'Données projet'!$E$10+1,1))-AVERAGE(OFFSET($H$3,0,0,'Données projet'!$E$10+1,1))</f>
        <v>225.71928466161592</v>
      </c>
      <c r="AO131" s="62">
        <f t="shared" si="90"/>
        <v>385.98818770742025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211.70619219850786</v>
      </c>
      <c r="BJ131" s="62">
        <f t="shared" si="92"/>
        <v>426.883837098247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14.186762752328788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4.7248417443600177E-13</v>
      </c>
      <c r="BS131" s="24">
        <f t="shared" si="63"/>
        <v>14.18676275232926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1.9895196601282805E-13</v>
      </c>
      <c r="BZ131" s="14">
        <f>BY131*VLOOKUP('Données projet'!$B$12,Paramètres!$A$1:$I$89,3,0)*VLOOKUP('Données projet'!$B$12,Paramètres!$A$1:$I$89,5,0)</f>
        <v>1.8001173884840681E-13</v>
      </c>
      <c r="CA131" s="14">
        <f t="shared" si="93"/>
        <v>2.5254331426407198E-12</v>
      </c>
      <c r="CB131" s="22">
        <f t="shared" si="64"/>
        <v>4.7119831685935622E-12</v>
      </c>
      <c r="CC131" s="62">
        <f t="shared" si="65"/>
        <v>278.50011505649547</v>
      </c>
      <c r="CD131" s="62">
        <f ca="1">AVERAGE(OFFSET($CC$3,0,0,'Données projet'!$E$12+1,1))-AVERAGE(OFFSET($H$3,0,0,'Données projet'!$E$12+1,1))</f>
        <v>327.07074355218322</v>
      </c>
      <c r="CE131" s="62">
        <f t="shared" si="94"/>
        <v>462.01668587029087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1.9719829046356085</v>
      </c>
      <c r="CL131" s="23">
        <f>EXP(-LN(2)/25)*CL130+(1-EXP(-LN(2)/25))/(LN(2)/25)*Calculateur!CG131*Calculateur!CI131*VLOOKUP('Données projet'!$B$12,Paramètres!$A$1:$I$89,3,0)*0.475*44/12</f>
        <v>0.20718340755754994</v>
      </c>
      <c r="CM131" s="23">
        <f>EXP(-LN(2)/2)*CM130+(1-EXP(-LN(2)/2))/(LN(2)/2)*CG131*CJ131*VLOOKUP('Données projet'!$B$12,Paramètres!$A$1:$I$89,3,0)*0.475*44/12</f>
        <v>1.0471819386216252E-18</v>
      </c>
      <c r="CN131" s="24">
        <f t="shared" si="66"/>
        <v>2.1791663121931584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93.836028041880496</v>
      </c>
      <c r="CZ131" s="62">
        <f t="shared" si="96"/>
        <v>465.96044964631358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11.576795511511525</v>
      </c>
      <c r="DG131" s="23">
        <f>EXP(-LN(2)/25)*DG130+(1-EXP(-LN(2)/25))/(LN(2)/25)*Calculateur!DB131*Calculateur!DD131*VLOOKUP('Données projet'!$B$13,Paramètres!$A$1:$I$89,3,0)*0.475*44/12</f>
        <v>1.1965668338890945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12.773362345400621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-3.4106051316484809E-13</v>
      </c>
      <c r="DP131" s="18">
        <f>DO131*VLOOKUP('Données projet'!$B$14,Paramètres!$A$1:$I$89,3,0)*VLOOKUP('Données projet'!$B$14,Paramètres!$A$1:$I$89,5,0)</f>
        <v>-2.0395418687257919E-13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386.56102661082468</v>
      </c>
      <c r="DU131" s="62">
        <f t="shared" si="98"/>
        <v>410.28336627719011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2.7952770679045589</v>
      </c>
      <c r="EB131" s="23">
        <f>EXP(-LN(2)/25)*EB130+(1-EXP(-LN(2)/25))/(LN(2)/25)*Calculateur!DW131*Calculateur!DY131*VLOOKUP('Données projet'!$B$14,Paramètres!$A$1:$I$89,3,0)*0.475*44/12</f>
        <v>0.14723722049384341</v>
      </c>
      <c r="EC131" s="23">
        <f>EXP(-LN(2)/2)*EC130+(1-EXP(-LN(2)/2))/(LN(2)/2)*DW131*DZ131*VLOOKUP('Données projet'!$B$14,Paramètres!$A$1:$I$89,3,0)*0.475*44/12</f>
        <v>2.3139784368819914E-14</v>
      </c>
      <c r="ED131" s="24">
        <f t="shared" si="72"/>
        <v>2.9425142883984252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499.92116338695428</v>
      </c>
      <c r="T132" s="62">
        <f t="shared" si="88"/>
        <v>316.79403154855652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0.15415728178710525</v>
      </c>
      <c r="AB132" s="23">
        <f>EXP(-LN(2)/2)*AB131+(1-EXP(-LN(2)/2))/(LN(2)/2)*V132*Y132*VLOOKUP('Données projet'!$B$9,Paramètres!$A$1:$I$89,3,0)*0.475*44/12</f>
        <v>2.9528584384679858E-14</v>
      </c>
      <c r="AC132" s="24">
        <f t="shared" ref="AC132:AC153" si="111">SUM(Z132:AB132)</f>
        <v>0.15415728178713478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278.75743823148701</v>
      </c>
      <c r="AN132" s="62">
        <f ca="1">AVERAGE(OFFSET($AM$3,0,0,'Données projet'!$E$10+1,1))-AVERAGE(OFFSET($H$3,0,0,'Données projet'!$E$10+1,1))</f>
        <v>225.71928466161592</v>
      </c>
      <c r="AO132" s="62">
        <f t="shared" si="90"/>
        <v>385.98818770742025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211.70619219850786</v>
      </c>
      <c r="BJ132" s="62">
        <f t="shared" si="92"/>
        <v>426.883837098247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13.908568987826479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3.3409676374702446E-13</v>
      </c>
      <c r="BS132" s="24">
        <f t="shared" ref="BS132:BS153" si="117">SUM(BP132:BR132)</f>
        <v>13.908568987826813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1.9895196601282805E-13</v>
      </c>
      <c r="BZ132" s="14">
        <f>BY132*VLOOKUP('Données projet'!$B$12,Paramètres!$A$1:$I$89,3,0)*VLOOKUP('Données projet'!$B$12,Paramètres!$A$1:$I$89,5,0)</f>
        <v>1.8001173884840681E-13</v>
      </c>
      <c r="CA132" s="14">
        <f t="shared" si="93"/>
        <v>2.5254331426407198E-12</v>
      </c>
      <c r="CB132" s="22">
        <f t="shared" ref="CB132:CB153" si="118">(BZ132+CA132)*0.475*44/12</f>
        <v>4.7119831685935622E-12</v>
      </c>
      <c r="CC132" s="62">
        <f t="shared" ref="CC132:CC195" si="119">CB132+(BT132+BU132)*44/12</f>
        <v>278.75743823149065</v>
      </c>
      <c r="CD132" s="62">
        <f ca="1">AVERAGE(OFFSET($CC$3,0,0,'Données projet'!$E$12+1,1))-AVERAGE(OFFSET($H$3,0,0,'Données projet'!$E$12+1,1))</f>
        <v>327.07074355218322</v>
      </c>
      <c r="CE132" s="62">
        <f t="shared" si="94"/>
        <v>462.01668587029087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1.9333135226665104</v>
      </c>
      <c r="CL132" s="23">
        <f>EXP(-LN(2)/25)*CL131+(1-EXP(-LN(2)/25))/(LN(2)/25)*Calculateur!CG132*Calculateur!CI132*VLOOKUP('Données projet'!$B$12,Paramètres!$A$1:$I$89,3,0)*0.475*44/12</f>
        <v>0.20151796638258684</v>
      </c>
      <c r="CM132" s="23">
        <f>EXP(-LN(2)/2)*CM131+(1-EXP(-LN(2)/2))/(LN(2)/2)*CG132*CJ132*VLOOKUP('Données projet'!$B$12,Paramètres!$A$1:$I$89,3,0)*0.475*44/12</f>
        <v>7.4046944993542615E-19</v>
      </c>
      <c r="CN132" s="24">
        <f t="shared" ref="CN132:CN153" si="120">SUM(CK132:CM132)</f>
        <v>2.1348314890490974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93.836028041880496</v>
      </c>
      <c r="CZ132" s="62">
        <f t="shared" si="96"/>
        <v>465.96044964631358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11.349781612678816</v>
      </c>
      <c r="DG132" s="23">
        <f>EXP(-LN(2)/25)*DG131+(1-EXP(-LN(2)/25))/(LN(2)/25)*Calculateur!DB132*Calculateur!DD132*VLOOKUP('Données projet'!$B$13,Paramètres!$A$1:$I$89,3,0)*0.475*44/12</f>
        <v>1.1638466508916823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12.513628263570499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-3.4106051316484809E-13</v>
      </c>
      <c r="DP132" s="18">
        <f>DO132*VLOOKUP('Données projet'!$B$14,Paramètres!$A$1:$I$89,3,0)*VLOOKUP('Données projet'!$B$14,Paramètres!$A$1:$I$89,5,0)</f>
        <v>-2.0395418687257919E-13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386.56102661082468</v>
      </c>
      <c r="DU132" s="62">
        <f t="shared" si="98"/>
        <v>410.28336627719011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2.7404633895536121</v>
      </c>
      <c r="EB132" s="23">
        <f>EXP(-LN(2)/25)*EB131+(1-EXP(-LN(2)/25))/(LN(2)/25)*Calculateur!DW132*Calculateur!DY132*VLOOKUP('Données projet'!$B$14,Paramètres!$A$1:$I$89,3,0)*0.475*44/12</f>
        <v>0.14321101095657035</v>
      </c>
      <c r="EC132" s="23">
        <f>EXP(-LN(2)/2)*EC131+(1-EXP(-LN(2)/2))/(LN(2)/2)*DW132*DZ132*VLOOKUP('Données projet'!$B$14,Paramètres!$A$1:$I$89,3,0)*0.475*44/12</f>
        <v>1.6362298442387035E-14</v>
      </c>
      <c r="ED132" s="24">
        <f t="shared" ref="ED132:ED153" si="126">SUM(EA132:EC132)</f>
        <v>2.8836744005101989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499.92116338695428</v>
      </c>
      <c r="T133" s="62">
        <f t="shared" ref="T133:T196" si="142">$T$3</f>
        <v>316.79403154855652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0.14994184280985773</v>
      </c>
      <c r="AB133" s="23">
        <f>EXP(-LN(2)/2)*AB132+(1-EXP(-LN(2)/2))/(LN(2)/2)*V133*Y133*VLOOKUP('Données projet'!$B$9,Paramètres!$A$1:$I$89,3,0)*0.475*44/12</f>
        <v>2.0879862257246324E-14</v>
      </c>
      <c r="AC133" s="24">
        <f t="shared" si="111"/>
        <v>0.1499418428098786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279.0102974246845</v>
      </c>
      <c r="AN133" s="62">
        <f ca="1">AVERAGE(OFFSET($AM$3,0,0,'Données projet'!$E$10+1,1))-AVERAGE(OFFSET($H$3,0,0,'Données projet'!$E$10+1,1))</f>
        <v>225.71928466161592</v>
      </c>
      <c r="AO133" s="62">
        <f t="shared" ref="AO133:AO196" si="144">$AO$3</f>
        <v>385.98818770742025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211.70619219850786</v>
      </c>
      <c r="BJ133" s="62">
        <f t="shared" ref="BJ133:BJ196" si="146">$BJ$3</f>
        <v>426.883837098247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13.635830433364619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2.3624208721800089E-13</v>
      </c>
      <c r="BS133" s="24">
        <f t="shared" si="117"/>
        <v>13.635830433364855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1.9895196601282805E-13</v>
      </c>
      <c r="BZ133" s="14">
        <f>BY133*VLOOKUP('Données projet'!$B$12,Paramètres!$A$1:$I$89,3,0)*VLOOKUP('Données projet'!$B$12,Paramètres!$A$1:$I$89,5,0)</f>
        <v>1.8001173884840681E-13</v>
      </c>
      <c r="CA133" s="14">
        <f t="shared" ref="CA133:CA153" si="147">EXP(-1.0587+0.8836*LN(BZ133)+0.284)</f>
        <v>2.5254331426407198E-12</v>
      </c>
      <c r="CB133" s="22">
        <f t="shared" si="118"/>
        <v>4.7119831685935622E-12</v>
      </c>
      <c r="CC133" s="62">
        <f t="shared" si="119"/>
        <v>279.01029742468813</v>
      </c>
      <c r="CD133" s="62">
        <f ca="1">AVERAGE(OFFSET($CC$3,0,0,'Données projet'!$E$12+1,1))-AVERAGE(OFFSET($H$3,0,0,'Données projet'!$E$12+1,1))</f>
        <v>327.07074355218322</v>
      </c>
      <c r="CE133" s="62">
        <f t="shared" ref="CE133:CE196" si="148">$CE$3</f>
        <v>462.01668587029087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1.8954024236918321</v>
      </c>
      <c r="CL133" s="23">
        <f>EXP(-LN(2)/25)*CL132+(1-EXP(-LN(2)/25))/(LN(2)/25)*Calculateur!CG133*Calculateur!CI133*VLOOKUP('Données projet'!$B$12,Paramètres!$A$1:$I$89,3,0)*0.475*44/12</f>
        <v>0.19600744699448572</v>
      </c>
      <c r="CM133" s="23">
        <f>EXP(-LN(2)/2)*CM132+(1-EXP(-LN(2)/2))/(LN(2)/2)*CG133*CJ133*VLOOKUP('Données projet'!$B$12,Paramètres!$A$1:$I$89,3,0)*0.475*44/12</f>
        <v>5.2359096931081258E-19</v>
      </c>
      <c r="CN133" s="24">
        <f t="shared" si="120"/>
        <v>2.0914098706863178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93.836028041880496</v>
      </c>
      <c r="CZ133" s="62">
        <f t="shared" ref="CZ133:CZ196" si="150">$CZ$3</f>
        <v>465.96044964631358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11.12721931793741</v>
      </c>
      <c r="DG133" s="23">
        <f>EXP(-LN(2)/25)*DG132+(1-EXP(-LN(2)/25))/(LN(2)/25)*Calculateur!DB133*Calculateur!DD133*VLOOKUP('Données projet'!$B$13,Paramètres!$A$1:$I$89,3,0)*0.475*44/12</f>
        <v>1.1320212030190138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12.259240520956423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-3.4106051316484809E-13</v>
      </c>
      <c r="DP133" s="18">
        <f>DO133*VLOOKUP('Données projet'!$B$14,Paramètres!$A$1:$I$89,3,0)*VLOOKUP('Données projet'!$B$14,Paramètres!$A$1:$I$89,5,0)</f>
        <v>-2.0395418687257919E-13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386.56102661082468</v>
      </c>
      <c r="DU133" s="62">
        <f t="shared" ref="DU133:DU196" si="152">$DU$3</f>
        <v>410.28336627719011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2.6867245740020849</v>
      </c>
      <c r="EB133" s="23">
        <f>EXP(-LN(2)/25)*EB132+(1-EXP(-LN(2)/25))/(LN(2)/25)*Calculateur!DW133*Calculateur!DY133*VLOOKUP('Données projet'!$B$14,Paramètres!$A$1:$I$89,3,0)*0.475*44/12</f>
        <v>0.13929489833082317</v>
      </c>
      <c r="EC133" s="23">
        <f>EXP(-LN(2)/2)*EC132+(1-EXP(-LN(2)/2))/(LN(2)/2)*DW133*DZ133*VLOOKUP('Données projet'!$B$14,Paramètres!$A$1:$I$89,3,0)*0.475*44/12</f>
        <v>1.1569892184409957E-14</v>
      </c>
      <c r="ED133" s="24">
        <f t="shared" si="126"/>
        <v>2.8260194723329195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499.92116338695428</v>
      </c>
      <c r="T134" s="62">
        <f t="shared" si="142"/>
        <v>316.79403154855652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0.14584167523312336</v>
      </c>
      <c r="AB134" s="23">
        <f>EXP(-LN(2)/2)*AB133+(1-EXP(-LN(2)/2))/(LN(2)/2)*V134*Y134*VLOOKUP('Données projet'!$B$9,Paramètres!$A$1:$I$89,3,0)*0.475*44/12</f>
        <v>1.4764292192339929E-14</v>
      </c>
      <c r="AC134" s="24">
        <f t="shared" si="111"/>
        <v>0.14584167523313812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279.25877007618845</v>
      </c>
      <c r="AN134" s="62">
        <f ca="1">AVERAGE(OFFSET($AM$3,0,0,'Données projet'!$E$10+1,1))-AVERAGE(OFFSET($H$3,0,0,'Données projet'!$E$10+1,1))</f>
        <v>225.71928466161592</v>
      </c>
      <c r="AO134" s="62">
        <f t="shared" si="144"/>
        <v>385.98818770742025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211.70619219850786</v>
      </c>
      <c r="BJ134" s="62">
        <f t="shared" si="146"/>
        <v>426.883837098247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13.368440115601665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1.6704838187351223E-13</v>
      </c>
      <c r="BS134" s="24">
        <f t="shared" si="117"/>
        <v>13.368440115601832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1.9895196601282805E-13</v>
      </c>
      <c r="BZ134" s="14">
        <f>BY134*VLOOKUP('Données projet'!$B$12,Paramètres!$A$1:$I$89,3,0)*VLOOKUP('Données projet'!$B$12,Paramètres!$A$1:$I$89,5,0)</f>
        <v>1.8001173884840681E-13</v>
      </c>
      <c r="CA134" s="14">
        <f t="shared" si="147"/>
        <v>2.5254331426407198E-12</v>
      </c>
      <c r="CB134" s="22">
        <f t="shared" si="118"/>
        <v>4.7119831685935622E-12</v>
      </c>
      <c r="CC134" s="62">
        <f t="shared" si="119"/>
        <v>279.25877007619209</v>
      </c>
      <c r="CD134" s="62">
        <f ca="1">AVERAGE(OFFSET($CC$3,0,0,'Données projet'!$E$12+1,1))-AVERAGE(OFFSET($H$3,0,0,'Données projet'!$E$12+1,1))</f>
        <v>327.07074355218322</v>
      </c>
      <c r="CE134" s="62">
        <f t="shared" si="148"/>
        <v>462.01668587029087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1.8582347382445601</v>
      </c>
      <c r="CL134" s="23">
        <f>EXP(-LN(2)/25)*CL133+(1-EXP(-LN(2)/25))/(LN(2)/25)*Calculateur!CG134*Calculateur!CI134*VLOOKUP('Données projet'!$B$12,Paramètres!$A$1:$I$89,3,0)*0.475*44/12</f>
        <v>0.19064761304883784</v>
      </c>
      <c r="CM134" s="23">
        <f>EXP(-LN(2)/2)*CM133+(1-EXP(-LN(2)/2))/(LN(2)/2)*CG134*CJ134*VLOOKUP('Données projet'!$B$12,Paramètres!$A$1:$I$89,3,0)*0.475*44/12</f>
        <v>3.7023472496771307E-19</v>
      </c>
      <c r="CN134" s="24">
        <f t="shared" si="120"/>
        <v>2.0488823512933978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93.836028041880496</v>
      </c>
      <c r="CZ134" s="62">
        <f t="shared" si="150"/>
        <v>465.96044964631358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10.909021334046287</v>
      </c>
      <c r="DG134" s="23">
        <f>EXP(-LN(2)/25)*DG133+(1-EXP(-LN(2)/25))/(LN(2)/25)*Calculateur!DB134*Calculateur!DD134*VLOOKUP('Données projet'!$B$13,Paramètres!$A$1:$I$89,3,0)*0.475*44/12</f>
        <v>1.1010660236920511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12.010087357738337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-3.4106051316484809E-13</v>
      </c>
      <c r="DP134" s="18">
        <f>DO134*VLOOKUP('Données projet'!$B$14,Paramètres!$A$1:$I$89,3,0)*VLOOKUP('Données projet'!$B$14,Paramètres!$A$1:$I$89,5,0)</f>
        <v>-2.0395418687257919E-13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386.56102661082468</v>
      </c>
      <c r="DU134" s="62">
        <f t="shared" si="152"/>
        <v>410.28336627719011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2.634039543846082</v>
      </c>
      <c r="EB134" s="23">
        <f>EXP(-LN(2)/25)*EB133+(1-EXP(-LN(2)/25))/(LN(2)/25)*Calculateur!DW134*Calculateur!DY134*VLOOKUP('Données projet'!$B$14,Paramètres!$A$1:$I$89,3,0)*0.475*44/12</f>
        <v>0.13548587201076648</v>
      </c>
      <c r="EC134" s="23">
        <f>EXP(-LN(2)/2)*EC133+(1-EXP(-LN(2)/2))/(LN(2)/2)*DW134*DZ134*VLOOKUP('Données projet'!$B$14,Paramètres!$A$1:$I$89,3,0)*0.475*44/12</f>
        <v>8.1811492211935175E-15</v>
      </c>
      <c r="ED134" s="24">
        <f t="shared" si="126"/>
        <v>2.7695254158568563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499.92116338695428</v>
      </c>
      <c r="T135" s="62">
        <f t="shared" si="142"/>
        <v>316.79403154855652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0.14185362695439321</v>
      </c>
      <c r="AB135" s="23">
        <f>EXP(-LN(2)/2)*AB134+(1-EXP(-LN(2)/2))/(LN(2)/2)*V135*Y135*VLOOKUP('Données projet'!$B$9,Paramètres!$A$1:$I$89,3,0)*0.475*44/12</f>
        <v>1.0439931128623162E-14</v>
      </c>
      <c r="AC135" s="24">
        <f t="shared" si="111"/>
        <v>0.14185362695440365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279.50293228269049</v>
      </c>
      <c r="AN135" s="62">
        <f ca="1">AVERAGE(OFFSET($AM$3,0,0,'Données projet'!$E$10+1,1))-AVERAGE(OFFSET($H$3,0,0,'Données projet'!$E$10+1,1))</f>
        <v>225.71928466161592</v>
      </c>
      <c r="AO135" s="62">
        <f t="shared" si="144"/>
        <v>385.98818770742025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211.70619219850786</v>
      </c>
      <c r="BJ135" s="62">
        <f t="shared" si="146"/>
        <v>426.883837098247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13.106293158878051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1.1812104360900044E-13</v>
      </c>
      <c r="BS135" s="24">
        <f t="shared" si="117"/>
        <v>13.106293158878168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1.9895196601282805E-13</v>
      </c>
      <c r="BZ135" s="14">
        <f>BY135*VLOOKUP('Données projet'!$B$12,Paramètres!$A$1:$I$89,3,0)*VLOOKUP('Données projet'!$B$12,Paramètres!$A$1:$I$89,5,0)</f>
        <v>1.8001173884840681E-13</v>
      </c>
      <c r="CA135" s="14">
        <f t="shared" si="147"/>
        <v>2.5254331426407198E-12</v>
      </c>
      <c r="CB135" s="22">
        <f t="shared" si="118"/>
        <v>4.7119831685935622E-12</v>
      </c>
      <c r="CC135" s="62">
        <f t="shared" si="119"/>
        <v>279.50293228269413</v>
      </c>
      <c r="CD135" s="62">
        <f ca="1">AVERAGE(OFFSET($CC$3,0,0,'Données projet'!$E$12+1,1))-AVERAGE(OFFSET($H$3,0,0,'Données projet'!$E$12+1,1))</f>
        <v>327.07074355218322</v>
      </c>
      <c r="CE135" s="62">
        <f t="shared" si="148"/>
        <v>462.01668587029087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1.8217958884388594</v>
      </c>
      <c r="CL135" s="23">
        <f>EXP(-LN(2)/25)*CL134+(1-EXP(-LN(2)/25))/(LN(2)/25)*Calculateur!CG135*Calculateur!CI135*VLOOKUP('Données projet'!$B$12,Paramètres!$A$1:$I$89,3,0)*0.475*44/12</f>
        <v>0.18543434404429512</v>
      </c>
      <c r="CM135" s="23">
        <f>EXP(-LN(2)/2)*CM134+(1-EXP(-LN(2)/2))/(LN(2)/2)*CG135*CJ135*VLOOKUP('Données projet'!$B$12,Paramètres!$A$1:$I$89,3,0)*0.475*44/12</f>
        <v>2.6179548465540629E-19</v>
      </c>
      <c r="CN135" s="24">
        <f t="shared" si="120"/>
        <v>2.0072302324831544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93.836028041880496</v>
      </c>
      <c r="CZ135" s="62">
        <f t="shared" si="150"/>
        <v>465.96044964631358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10.69510207953164</v>
      </c>
      <c r="DG135" s="23">
        <f>EXP(-LN(2)/25)*DG134+(1-EXP(-LN(2)/25))/(LN(2)/25)*Calculateur!DB135*Calculateur!DD135*VLOOKUP('Données projet'!$B$13,Paramètres!$A$1:$I$89,3,0)*0.475*44/12</f>
        <v>1.0709573153716463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11.766059394903287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-3.4106051316484809E-13</v>
      </c>
      <c r="DP135" s="18">
        <f>DO135*VLOOKUP('Données projet'!$B$14,Paramètres!$A$1:$I$89,3,0)*VLOOKUP('Données projet'!$B$14,Paramètres!$A$1:$I$89,5,0)</f>
        <v>-2.0395418687257919E-13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386.56102661082468</v>
      </c>
      <c r="DU135" s="62">
        <f t="shared" si="152"/>
        <v>410.28336627719011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2.582387634996743</v>
      </c>
      <c r="EB135" s="23">
        <f>EXP(-LN(2)/25)*EB134+(1-EXP(-LN(2)/25))/(LN(2)/25)*Calculateur!DW135*Calculateur!DY135*VLOOKUP('Données projet'!$B$14,Paramètres!$A$1:$I$89,3,0)*0.475*44/12</f>
        <v>0.13178100371573973</v>
      </c>
      <c r="EC135" s="23">
        <f>EXP(-LN(2)/2)*EC134+(1-EXP(-LN(2)/2))/(LN(2)/2)*DW135*DZ135*VLOOKUP('Données projet'!$B$14,Paramètres!$A$1:$I$89,3,0)*0.475*44/12</f>
        <v>5.7849460922049784E-15</v>
      </c>
      <c r="ED135" s="24">
        <f t="shared" si="126"/>
        <v>2.7141686387124886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499.92116338695428</v>
      </c>
      <c r="T136" s="62">
        <f t="shared" si="142"/>
        <v>316.79403154855652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0.13797463206556729</v>
      </c>
      <c r="AB136" s="23">
        <f>EXP(-LN(2)/2)*AB135+(1-EXP(-LN(2)/2))/(LN(2)/2)*V136*Y136*VLOOKUP('Données projet'!$B$9,Paramètres!$A$1:$I$89,3,0)*0.475*44/12</f>
        <v>7.3821460961699645E-15</v>
      </c>
      <c r="AC136" s="24">
        <f t="shared" si="111"/>
        <v>0.13797463206557467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279.74285882077459</v>
      </c>
      <c r="AN136" s="62">
        <f ca="1">AVERAGE(OFFSET($AM$3,0,0,'Données projet'!$E$10+1,1))-AVERAGE(OFFSET($H$3,0,0,'Données projet'!$E$10+1,1))</f>
        <v>225.71928466161592</v>
      </c>
      <c r="AO136" s="62">
        <f t="shared" si="144"/>
        <v>385.98818770742025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211.70619219850786</v>
      </c>
      <c r="BJ136" s="62">
        <f t="shared" si="146"/>
        <v>426.883837098247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12.849286744081933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8.3524190936756116E-14</v>
      </c>
      <c r="BS136" s="24">
        <f t="shared" si="117"/>
        <v>12.849286744082017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1.9895196601282805E-13</v>
      </c>
      <c r="BZ136" s="14">
        <f>BY136*VLOOKUP('Données projet'!$B$12,Paramètres!$A$1:$I$89,3,0)*VLOOKUP('Données projet'!$B$12,Paramètres!$A$1:$I$89,5,0)</f>
        <v>1.8001173884840681E-13</v>
      </c>
      <c r="CA136" s="14">
        <f t="shared" si="147"/>
        <v>2.5254331426407198E-12</v>
      </c>
      <c r="CB136" s="22">
        <f t="shared" si="118"/>
        <v>4.7119831685935622E-12</v>
      </c>
      <c r="CC136" s="62">
        <f t="shared" si="119"/>
        <v>279.74285882077822</v>
      </c>
      <c r="CD136" s="62">
        <f ca="1">AVERAGE(OFFSET($CC$3,0,0,'Données projet'!$E$12+1,1))-AVERAGE(OFFSET($H$3,0,0,'Données projet'!$E$12+1,1))</f>
        <v>327.07074355218322</v>
      </c>
      <c r="CE136" s="62">
        <f t="shared" si="148"/>
        <v>462.01668587029087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1.7860715822523447</v>
      </c>
      <c r="CL136" s="23">
        <f>EXP(-LN(2)/25)*CL135+(1-EXP(-LN(2)/25))/(LN(2)/25)*Calculateur!CG136*Calculateur!CI136*VLOOKUP('Données projet'!$B$12,Paramètres!$A$1:$I$89,3,0)*0.475*44/12</f>
        <v>0.18036363215483553</v>
      </c>
      <c r="CM136" s="23">
        <f>EXP(-LN(2)/2)*CM135+(1-EXP(-LN(2)/2))/(LN(2)/2)*CG136*CJ136*VLOOKUP('Données projet'!$B$12,Paramètres!$A$1:$I$89,3,0)*0.475*44/12</f>
        <v>1.8511736248385654E-19</v>
      </c>
      <c r="CN136" s="24">
        <f t="shared" si="120"/>
        <v>1.9664352144071802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93.836028041880496</v>
      </c>
      <c r="CZ136" s="62">
        <f t="shared" si="150"/>
        <v>465.96044964631358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10.485377651120164</v>
      </c>
      <c r="DG136" s="23">
        <f>EXP(-LN(2)/25)*DG135+(1-EXP(-LN(2)/25))/(LN(2)/25)*Calculateur!DB136*Calculateur!DD136*VLOOKUP('Données projet'!$B$13,Paramètres!$A$1:$I$89,3,0)*0.475*44/12</f>
        <v>1.0416719312636111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11.527049582383775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-3.4106051316484809E-13</v>
      </c>
      <c r="DP136" s="18">
        <f>DO136*VLOOKUP('Données projet'!$B$14,Paramètres!$A$1:$I$89,3,0)*VLOOKUP('Données projet'!$B$14,Paramètres!$A$1:$I$89,5,0)</f>
        <v>-2.0395418687257919E-13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386.56102661082468</v>
      </c>
      <c r="DU136" s="62">
        <f t="shared" si="152"/>
        <v>410.28336627719011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2.5317485885753861</v>
      </c>
      <c r="EB136" s="23">
        <f>EXP(-LN(2)/25)*EB135+(1-EXP(-LN(2)/25))/(LN(2)/25)*Calculateur!DW136*Calculateur!DY136*VLOOKUP('Données projet'!$B$14,Paramètres!$A$1:$I$89,3,0)*0.475*44/12</f>
        <v>0.12817744523907101</v>
      </c>
      <c r="EC136" s="23">
        <f>EXP(-LN(2)/2)*EC135+(1-EXP(-LN(2)/2))/(LN(2)/2)*DW136*DZ136*VLOOKUP('Données projet'!$B$14,Paramètres!$A$1:$I$89,3,0)*0.475*44/12</f>
        <v>4.0905746105967588E-15</v>
      </c>
      <c r="ED136" s="24">
        <f t="shared" si="126"/>
        <v>2.659926033814461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499.92116338695428</v>
      </c>
      <c r="T137" s="62">
        <f t="shared" si="142"/>
        <v>316.79403154855652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0.1342017084959638</v>
      </c>
      <c r="AB137" s="23">
        <f>EXP(-LN(2)/2)*AB136+(1-EXP(-LN(2)/2))/(LN(2)/2)*V137*Y137*VLOOKUP('Données projet'!$B$9,Paramètres!$A$1:$I$89,3,0)*0.475*44/12</f>
        <v>5.2199655643115811E-15</v>
      </c>
      <c r="AC137" s="24">
        <f t="shared" si="111"/>
        <v>0.13420170849596902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279.97862316981832</v>
      </c>
      <c r="AN137" s="62">
        <f ca="1">AVERAGE(OFFSET($AM$3,0,0,'Données projet'!$E$10+1,1))-AVERAGE(OFFSET($H$3,0,0,'Données projet'!$E$10+1,1))</f>
        <v>225.71928466161592</v>
      </c>
      <c r="AO137" s="62">
        <f t="shared" si="144"/>
        <v>385.98818770742025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211.70619219850786</v>
      </c>
      <c r="BJ137" s="62">
        <f t="shared" si="146"/>
        <v>426.883837098247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12.597320068321531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5.9060521804500221E-14</v>
      </c>
      <c r="BS137" s="24">
        <f t="shared" si="117"/>
        <v>12.59732006832159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1.9895196601282805E-13</v>
      </c>
      <c r="BZ137" s="14">
        <f>BY137*VLOOKUP('Données projet'!$B$12,Paramètres!$A$1:$I$89,3,0)*VLOOKUP('Données projet'!$B$12,Paramètres!$A$1:$I$89,5,0)</f>
        <v>1.8001173884840681E-13</v>
      </c>
      <c r="CA137" s="14">
        <f t="shared" si="147"/>
        <v>2.5254331426407198E-12</v>
      </c>
      <c r="CB137" s="22">
        <f t="shared" si="118"/>
        <v>4.7119831685935622E-12</v>
      </c>
      <c r="CC137" s="62">
        <f t="shared" si="119"/>
        <v>279.97862316982196</v>
      </c>
      <c r="CD137" s="62">
        <f ca="1">AVERAGE(OFFSET($CC$3,0,0,'Données projet'!$E$12+1,1))-AVERAGE(OFFSET($H$3,0,0,'Données projet'!$E$12+1,1))</f>
        <v>327.07074355218322</v>
      </c>
      <c r="CE137" s="62">
        <f t="shared" si="148"/>
        <v>462.01668587029087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1.7510478079204725</v>
      </c>
      <c r="CL137" s="23">
        <f>EXP(-LN(2)/25)*CL136+(1-EXP(-LN(2)/25))/(LN(2)/25)*Calculateur!CG137*Calculateur!CI137*VLOOKUP('Données projet'!$B$12,Paramètres!$A$1:$I$89,3,0)*0.475*44/12</f>
        <v>0.17543157914865037</v>
      </c>
      <c r="CM137" s="23">
        <f>EXP(-LN(2)/2)*CM136+(1-EXP(-LN(2)/2))/(LN(2)/2)*CG137*CJ137*VLOOKUP('Données projet'!$B$12,Paramètres!$A$1:$I$89,3,0)*0.475*44/12</f>
        <v>1.3089774232770314E-19</v>
      </c>
      <c r="CN137" s="24">
        <f t="shared" si="120"/>
        <v>1.926479387069123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93.836028041880496</v>
      </c>
      <c r="CZ137" s="62">
        <f t="shared" si="150"/>
        <v>465.96044964631358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10.279765790830567</v>
      </c>
      <c r="DG137" s="23">
        <f>EXP(-LN(2)/25)*DG136+(1-EXP(-LN(2)/25))/(LN(2)/25)*Calculateur!DB137*Calculateur!DD137*VLOOKUP('Données projet'!$B$13,Paramètres!$A$1:$I$89,3,0)*0.475*44/12</f>
        <v>1.0131873575240615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11.292953148354629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-3.4106051316484809E-13</v>
      </c>
      <c r="DP137" s="18">
        <f>DO137*VLOOKUP('Données projet'!$B$14,Paramètres!$A$1:$I$89,3,0)*VLOOKUP('Données projet'!$B$14,Paramètres!$A$1:$I$89,5,0)</f>
        <v>-2.0395418687257919E-13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386.56102661082468</v>
      </c>
      <c r="DU137" s="62">
        <f t="shared" si="152"/>
        <v>410.28336627719011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2.4821025429675831</v>
      </c>
      <c r="EB137" s="23">
        <f>EXP(-LN(2)/25)*EB136+(1-EXP(-LN(2)/25))/(LN(2)/25)*Calculateur!DW137*Calculateur!DY137*VLOOKUP('Données projet'!$B$14,Paramètres!$A$1:$I$89,3,0)*0.475*44/12</f>
        <v>0.12467242625844972</v>
      </c>
      <c r="EC137" s="23">
        <f>EXP(-LN(2)/2)*EC136+(1-EXP(-LN(2)/2))/(LN(2)/2)*DW137*DZ137*VLOOKUP('Données projet'!$B$14,Paramètres!$A$1:$I$89,3,0)*0.475*44/12</f>
        <v>2.8924730461024892E-15</v>
      </c>
      <c r="ED137" s="24">
        <f t="shared" si="126"/>
        <v>2.606774969226036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499.92116338695428</v>
      </c>
      <c r="T138" s="62">
        <f t="shared" si="142"/>
        <v>316.79403154855652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0.13053195571978055</v>
      </c>
      <c r="AB138" s="23">
        <f>EXP(-LN(2)/2)*AB137+(1-EXP(-LN(2)/2))/(LN(2)/2)*V138*Y138*VLOOKUP('Données projet'!$B$9,Paramètres!$A$1:$I$89,3,0)*0.475*44/12</f>
        <v>3.6910730480849823E-15</v>
      </c>
      <c r="AC138" s="24">
        <f t="shared" si="111"/>
        <v>0.13053195571978424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280.21029753449625</v>
      </c>
      <c r="AN138" s="62">
        <f ca="1">AVERAGE(OFFSET($AM$3,0,0,'Données projet'!$E$10+1,1))-AVERAGE(OFFSET($H$3,0,0,'Données projet'!$E$10+1,1))</f>
        <v>225.71928466161592</v>
      </c>
      <c r="AO138" s="62">
        <f t="shared" si="144"/>
        <v>385.98818770742025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211.70619219850786</v>
      </c>
      <c r="BJ138" s="62">
        <f t="shared" si="146"/>
        <v>426.883837098247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12.350294305388294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4.1762095468378058E-14</v>
      </c>
      <c r="BS138" s="24">
        <f t="shared" si="117"/>
        <v>12.350294305388337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1.9895196601282805E-13</v>
      </c>
      <c r="BZ138" s="14">
        <f>BY138*VLOOKUP('Données projet'!$B$12,Paramètres!$A$1:$I$89,3,0)*VLOOKUP('Données projet'!$B$12,Paramètres!$A$1:$I$89,5,0)</f>
        <v>1.8001173884840681E-13</v>
      </c>
      <c r="CA138" s="14">
        <f t="shared" si="147"/>
        <v>2.5254331426407198E-12</v>
      </c>
      <c r="CB138" s="22">
        <f t="shared" si="118"/>
        <v>4.7119831685935622E-12</v>
      </c>
      <c r="CC138" s="62">
        <f t="shared" si="119"/>
        <v>280.21029753449989</v>
      </c>
      <c r="CD138" s="62">
        <f ca="1">AVERAGE(OFFSET($CC$3,0,0,'Données projet'!$E$12+1,1))-AVERAGE(OFFSET($H$3,0,0,'Données projet'!$E$12+1,1))</f>
        <v>327.07074355218322</v>
      </c>
      <c r="CE138" s="62">
        <f t="shared" si="148"/>
        <v>462.01668587029087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1.7167108284408554</v>
      </c>
      <c r="CL138" s="23">
        <f>EXP(-LN(2)/25)*CL137+(1-EXP(-LN(2)/25))/(LN(2)/25)*Calculateur!CG138*Calculateur!CI138*VLOOKUP('Données projet'!$B$12,Paramètres!$A$1:$I$89,3,0)*0.475*44/12</f>
        <v>0.17063439339128475</v>
      </c>
      <c r="CM138" s="23">
        <f>EXP(-LN(2)/2)*CM137+(1-EXP(-LN(2)/2))/(LN(2)/2)*CG138*CJ138*VLOOKUP('Données projet'!$B$12,Paramètres!$A$1:$I$89,3,0)*0.475*44/12</f>
        <v>9.2558681241928268E-20</v>
      </c>
      <c r="CN138" s="24">
        <f t="shared" si="120"/>
        <v>1.8873452218321403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93.836028041880496</v>
      </c>
      <c r="CZ138" s="62">
        <f t="shared" si="150"/>
        <v>465.96044964631358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10.078185853710396</v>
      </c>
      <c r="DG138" s="23">
        <f>EXP(-LN(2)/25)*DG137+(1-EXP(-LN(2)/25))/(LN(2)/25)*Calculateur!DB138*Calculateur!DD138*VLOOKUP('Données projet'!$B$13,Paramètres!$A$1:$I$89,3,0)*0.475*44/12</f>
        <v>0.98548169595135859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11.063667549661755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-3.4106051316484809E-13</v>
      </c>
      <c r="DP138" s="18">
        <f>DO138*VLOOKUP('Données projet'!$B$14,Paramètres!$A$1:$I$89,3,0)*VLOOKUP('Données projet'!$B$14,Paramètres!$A$1:$I$89,5,0)</f>
        <v>-2.0395418687257919E-13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386.56102661082468</v>
      </c>
      <c r="DU138" s="62">
        <f t="shared" si="152"/>
        <v>410.28336627719011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2.4334300260330517</v>
      </c>
      <c r="EB138" s="23">
        <f>EXP(-LN(2)/25)*EB137+(1-EXP(-LN(2)/25))/(LN(2)/25)*Calculateur!DW138*Calculateur!DY138*VLOOKUP('Données projet'!$B$14,Paramètres!$A$1:$I$89,3,0)*0.475*44/12</f>
        <v>0.12126325220617445</v>
      </c>
      <c r="EC138" s="23">
        <f>EXP(-LN(2)/2)*EC137+(1-EXP(-LN(2)/2))/(LN(2)/2)*DW138*DZ138*VLOOKUP('Données projet'!$B$14,Paramètres!$A$1:$I$89,3,0)*0.475*44/12</f>
        <v>2.0452873052983794E-15</v>
      </c>
      <c r="ED138" s="24">
        <f t="shared" si="126"/>
        <v>2.5546932782392284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499.92116338695428</v>
      </c>
      <c r="T139" s="62">
        <f t="shared" si="142"/>
        <v>316.79403154855652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0.12696255252624594</v>
      </c>
      <c r="AB139" s="23">
        <f>EXP(-LN(2)/2)*AB138+(1-EXP(-LN(2)/2))/(LN(2)/2)*V139*Y139*VLOOKUP('Données projet'!$B$9,Paramètres!$A$1:$I$89,3,0)*0.475*44/12</f>
        <v>2.6099827821557906E-15</v>
      </c>
      <c r="AC139" s="24">
        <f t="shared" si="111"/>
        <v>0.12696255252624855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280.43795286689323</v>
      </c>
      <c r="AN139" s="62">
        <f ca="1">AVERAGE(OFFSET($AM$3,0,0,'Données projet'!$E$10+1,1))-AVERAGE(OFFSET($H$3,0,0,'Données projet'!$E$10+1,1))</f>
        <v>225.71928466161592</v>
      </c>
      <c r="AO139" s="62">
        <f t="shared" si="144"/>
        <v>385.98818770742025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211.70619219850786</v>
      </c>
      <c r="BJ139" s="62">
        <f t="shared" si="146"/>
        <v>426.883837098247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12.10811256699534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2.9530260902250111E-14</v>
      </c>
      <c r="BS139" s="24">
        <f t="shared" si="117"/>
        <v>12.10811256699537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1.9895196601282805E-13</v>
      </c>
      <c r="BZ139" s="14">
        <f>BY139*VLOOKUP('Données projet'!$B$12,Paramètres!$A$1:$I$89,3,0)*VLOOKUP('Données projet'!$B$12,Paramètres!$A$1:$I$89,5,0)</f>
        <v>1.8001173884840681E-13</v>
      </c>
      <c r="CA139" s="14">
        <f t="shared" si="147"/>
        <v>2.5254331426407198E-12</v>
      </c>
      <c r="CB139" s="22">
        <f t="shared" si="118"/>
        <v>4.7119831685935622E-12</v>
      </c>
      <c r="CC139" s="62">
        <f t="shared" si="119"/>
        <v>280.43795286689686</v>
      </c>
      <c r="CD139" s="62">
        <f ca="1">AVERAGE(OFFSET($CC$3,0,0,'Données projet'!$E$12+1,1))-AVERAGE(OFFSET($H$3,0,0,'Données projet'!$E$12+1,1))</f>
        <v>327.07074355218322</v>
      </c>
      <c r="CE139" s="62">
        <f t="shared" si="148"/>
        <v>462.01668587029087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1.6830471761853441</v>
      </c>
      <c r="CL139" s="23">
        <f>EXP(-LN(2)/25)*CL138+(1-EXP(-LN(2)/25))/(LN(2)/25)*Calculateur!CG139*Calculateur!CI139*VLOOKUP('Données projet'!$B$12,Paramètres!$A$1:$I$89,3,0)*0.475*44/12</f>
        <v>0.1659683869307273</v>
      </c>
      <c r="CM139" s="23">
        <f>EXP(-LN(2)/2)*CM138+(1-EXP(-LN(2)/2))/(LN(2)/2)*CG139*CJ139*VLOOKUP('Données projet'!$B$12,Paramètres!$A$1:$I$89,3,0)*0.475*44/12</f>
        <v>6.5448871163851572E-20</v>
      </c>
      <c r="CN139" s="24">
        <f t="shared" si="120"/>
        <v>1.8490155631160714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93.836028041880496</v>
      </c>
      <c r="CZ139" s="62">
        <f t="shared" si="150"/>
        <v>465.96044964631358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9.8805587762055325</v>
      </c>
      <c r="DG139" s="23">
        <f>EXP(-LN(2)/25)*DG138+(1-EXP(-LN(2)/25))/(LN(2)/25)*Calculateur!DB139*Calculateur!DD139*VLOOKUP('Données projet'!$B$13,Paramètres!$A$1:$I$89,3,0)*0.475*44/12</f>
        <v>0.9585336471513386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10.83909242335687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-3.4106051316484809E-13</v>
      </c>
      <c r="DP139" s="18">
        <f>DO139*VLOOKUP('Données projet'!$B$14,Paramètres!$A$1:$I$89,3,0)*VLOOKUP('Données projet'!$B$14,Paramètres!$A$1:$I$89,5,0)</f>
        <v>-2.0395418687257919E-13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386.56102661082468</v>
      </c>
      <c r="DU139" s="62">
        <f t="shared" si="152"/>
        <v>410.28336627719011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2.3857119474683022</v>
      </c>
      <c r="EB139" s="23">
        <f>EXP(-LN(2)/25)*EB138+(1-EXP(-LN(2)/25))/(LN(2)/25)*Calculateur!DW139*Calculateur!DY139*VLOOKUP('Données projet'!$B$14,Paramètres!$A$1:$I$89,3,0)*0.475*44/12</f>
        <v>0.11794730219763933</v>
      </c>
      <c r="EC139" s="23">
        <f>EXP(-LN(2)/2)*EC138+(1-EXP(-LN(2)/2))/(LN(2)/2)*DW139*DZ139*VLOOKUP('Données projet'!$B$14,Paramètres!$A$1:$I$89,3,0)*0.475*44/12</f>
        <v>1.4462365230512446E-15</v>
      </c>
      <c r="ED139" s="24">
        <f t="shared" si="126"/>
        <v>2.5036592496659429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499.92116338695428</v>
      </c>
      <c r="T140" s="62">
        <f t="shared" si="142"/>
        <v>316.79403154855652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0.12349075485074529</v>
      </c>
      <c r="AB140" s="23">
        <f>EXP(-LN(2)/2)*AB139+(1-EXP(-LN(2)/2))/(LN(2)/2)*V140*Y140*VLOOKUP('Données projet'!$B$9,Paramètres!$A$1:$I$89,3,0)*0.475*44/12</f>
        <v>1.8455365240424911E-15</v>
      </c>
      <c r="AC140" s="24">
        <f t="shared" si="111"/>
        <v>0.12349075485074713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280.66165888823429</v>
      </c>
      <c r="AN140" s="62">
        <f ca="1">AVERAGE(OFFSET($AM$3,0,0,'Données projet'!$E$10+1,1))-AVERAGE(OFFSET($H$3,0,0,'Données projet'!$E$10+1,1))</f>
        <v>225.71928466161592</v>
      </c>
      <c r="AO140" s="62">
        <f t="shared" si="144"/>
        <v>385.98818770742025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211.70619219850786</v>
      </c>
      <c r="BJ140" s="62">
        <f t="shared" si="146"/>
        <v>426.883837098247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11.870679864775997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2.0881047734189029E-14</v>
      </c>
      <c r="BS140" s="24">
        <f t="shared" si="117"/>
        <v>11.870679864776019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1.9895196601282805E-13</v>
      </c>
      <c r="BZ140" s="14">
        <f>BY140*VLOOKUP('Données projet'!$B$12,Paramètres!$A$1:$I$89,3,0)*VLOOKUP('Données projet'!$B$12,Paramètres!$A$1:$I$89,5,0)</f>
        <v>1.8001173884840681E-13</v>
      </c>
      <c r="CA140" s="14">
        <f t="shared" si="147"/>
        <v>2.5254331426407198E-12</v>
      </c>
      <c r="CB140" s="22">
        <f t="shared" si="118"/>
        <v>4.7119831685935622E-12</v>
      </c>
      <c r="CC140" s="62">
        <f t="shared" si="119"/>
        <v>280.66165888823792</v>
      </c>
      <c r="CD140" s="62">
        <f ca="1">AVERAGE(OFFSET($CC$3,0,0,'Données projet'!$E$12+1,1))-AVERAGE(OFFSET($H$3,0,0,'Données projet'!$E$12+1,1))</f>
        <v>327.07074355218322</v>
      </c>
      <c r="CE140" s="62">
        <f t="shared" si="148"/>
        <v>462.01668587029087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1.6500436476177629</v>
      </c>
      <c r="CL140" s="23">
        <f>EXP(-LN(2)/25)*CL139+(1-EXP(-LN(2)/25))/(LN(2)/25)*Calculateur!CG140*Calculateur!CI140*VLOOKUP('Données projet'!$B$12,Paramètres!$A$1:$I$89,3,0)*0.475*44/12</f>
        <v>0.1614299726622084</v>
      </c>
      <c r="CM140" s="23">
        <f>EXP(-LN(2)/2)*CM139+(1-EXP(-LN(2)/2))/(LN(2)/2)*CG140*CJ140*VLOOKUP('Données projet'!$B$12,Paramètres!$A$1:$I$89,3,0)*0.475*44/12</f>
        <v>4.6279340620964134E-20</v>
      </c>
      <c r="CN140" s="24">
        <f t="shared" si="120"/>
        <v>1.8114736202799713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93.836028041880496</v>
      </c>
      <c r="CZ140" s="62">
        <f t="shared" si="150"/>
        <v>465.96044964631358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9.6868070451499229</v>
      </c>
      <c r="DG140" s="23">
        <f>EXP(-LN(2)/25)*DG139+(1-EXP(-LN(2)/25))/(LN(2)/25)*Calculateur!DB140*Calculateur!DD140*VLOOKUP('Données projet'!$B$13,Paramètres!$A$1:$I$89,3,0)*0.475*44/12</f>
        <v>0.93232249416289148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10.619129539312814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-3.4106051316484809E-13</v>
      </c>
      <c r="DP140" s="18">
        <f>DO140*VLOOKUP('Données projet'!$B$14,Paramètres!$A$1:$I$89,3,0)*VLOOKUP('Données projet'!$B$14,Paramètres!$A$1:$I$89,5,0)</f>
        <v>-2.0395418687257919E-13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386.56102661082468</v>
      </c>
      <c r="DU140" s="62">
        <f t="shared" si="152"/>
        <v>410.28336627719011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2.3389295913190535</v>
      </c>
      <c r="EB140" s="23">
        <f>EXP(-LN(2)/25)*EB139+(1-EXP(-LN(2)/25))/(LN(2)/25)*Calculateur!DW140*Calculateur!DY140*VLOOKUP('Données projet'!$B$14,Paramètres!$A$1:$I$89,3,0)*0.475*44/12</f>
        <v>0.11472202701646583</v>
      </c>
      <c r="EC140" s="23">
        <f>EXP(-LN(2)/2)*EC139+(1-EXP(-LN(2)/2))/(LN(2)/2)*DW140*DZ140*VLOOKUP('Données projet'!$B$14,Paramètres!$A$1:$I$89,3,0)*0.475*44/12</f>
        <v>1.0226436526491897E-15</v>
      </c>
      <c r="ED140" s="24">
        <f t="shared" si="126"/>
        <v>2.4536516183355204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499.92116338695428</v>
      </c>
      <c r="T141" s="62">
        <f t="shared" si="142"/>
        <v>316.79403154855652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0.1201138936652551</v>
      </c>
      <c r="AB141" s="23">
        <f>EXP(-LN(2)/2)*AB140+(1-EXP(-LN(2)/2))/(LN(2)/2)*V141*Y141*VLOOKUP('Données projet'!$B$9,Paramètres!$A$1:$I$89,3,0)*0.475*44/12</f>
        <v>1.3049913910778953E-15</v>
      </c>
      <c r="AC141" s="24">
        <f t="shared" si="111"/>
        <v>0.1201138936652564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280.88148411023678</v>
      </c>
      <c r="AN141" s="62">
        <f ca="1">AVERAGE(OFFSET($AM$3,0,0,'Données projet'!$E$10+1,1))-AVERAGE(OFFSET($H$3,0,0,'Données projet'!$E$10+1,1))</f>
        <v>225.71928466161592</v>
      </c>
      <c r="AO141" s="62">
        <f t="shared" si="144"/>
        <v>385.98818770742025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211.70619219850786</v>
      </c>
      <c r="BJ141" s="62">
        <f t="shared" si="146"/>
        <v>426.883837098247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11.637903073027527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1.4765130451125055E-14</v>
      </c>
      <c r="BS141" s="24">
        <f t="shared" si="117"/>
        <v>11.637903073027541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1.9895196601282805E-13</v>
      </c>
      <c r="BZ141" s="14">
        <f>BY141*VLOOKUP('Données projet'!$B$12,Paramètres!$A$1:$I$89,3,0)*VLOOKUP('Données projet'!$B$12,Paramètres!$A$1:$I$89,5,0)</f>
        <v>1.8001173884840681E-13</v>
      </c>
      <c r="CA141" s="14">
        <f t="shared" si="147"/>
        <v>2.5254331426407198E-12</v>
      </c>
      <c r="CB141" s="22">
        <f t="shared" si="118"/>
        <v>4.7119831685935622E-12</v>
      </c>
      <c r="CC141" s="62">
        <f t="shared" si="119"/>
        <v>280.88148411024042</v>
      </c>
      <c r="CD141" s="62">
        <f ca="1">AVERAGE(OFFSET($CC$3,0,0,'Données projet'!$E$12+1,1))-AVERAGE(OFFSET($H$3,0,0,'Données projet'!$E$12+1,1))</f>
        <v>327.07074355218322</v>
      </c>
      <c r="CE141" s="62">
        <f t="shared" si="148"/>
        <v>462.01668587029087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1.6176872981152273</v>
      </c>
      <c r="CL141" s="23">
        <f>EXP(-LN(2)/25)*CL140+(1-EXP(-LN(2)/25))/(LN(2)/25)*Calculateur!CG141*Calculateur!CI141*VLOOKUP('Données projet'!$B$12,Paramètres!$A$1:$I$89,3,0)*0.475*44/12</f>
        <v>0.15701566157052702</v>
      </c>
      <c r="CM141" s="23">
        <f>EXP(-LN(2)/2)*CM140+(1-EXP(-LN(2)/2))/(LN(2)/2)*CG141*CJ141*VLOOKUP('Données projet'!$B$12,Paramètres!$A$1:$I$89,3,0)*0.475*44/12</f>
        <v>3.2724435581925786E-20</v>
      </c>
      <c r="CN141" s="24">
        <f t="shared" si="120"/>
        <v>1.7747029596857542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93.836028041880496</v>
      </c>
      <c r="CZ141" s="62">
        <f t="shared" si="150"/>
        <v>465.96044964631358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9.4968546673634275</v>
      </c>
      <c r="DG141" s="23">
        <f>EXP(-LN(2)/25)*DG140+(1-EXP(-LN(2)/25))/(LN(2)/25)*Calculateur!DB141*Calculateur!DD141*VLOOKUP('Données projet'!$B$13,Paramètres!$A$1:$I$89,3,0)*0.475*44/12</f>
        <v>0.90682808653129809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10.403682753894726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-3.4106051316484809E-13</v>
      </c>
      <c r="DP141" s="18">
        <f>DO141*VLOOKUP('Données projet'!$B$14,Paramètres!$A$1:$I$89,3,0)*VLOOKUP('Données projet'!$B$14,Paramètres!$A$1:$I$89,5,0)</f>
        <v>-2.0395418687257919E-13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386.56102661082468</v>
      </c>
      <c r="DU141" s="62">
        <f t="shared" si="152"/>
        <v>410.28336627719011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2.2930646086394719</v>
      </c>
      <c r="EB141" s="23">
        <f>EXP(-LN(2)/25)*EB140+(1-EXP(-LN(2)/25))/(LN(2)/25)*Calculateur!DW141*Calculateur!DY141*VLOOKUP('Données projet'!$B$14,Paramètres!$A$1:$I$89,3,0)*0.475*44/12</f>
        <v>0.11158494715473137</v>
      </c>
      <c r="EC141" s="23">
        <f>EXP(-LN(2)/2)*EC140+(1-EXP(-LN(2)/2))/(LN(2)/2)*DW141*DZ141*VLOOKUP('Données projet'!$B$14,Paramètres!$A$1:$I$89,3,0)*0.475*44/12</f>
        <v>7.231182615256223E-16</v>
      </c>
      <c r="ED141" s="24">
        <f t="shared" si="126"/>
        <v>2.404649555794204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499.92116338695428</v>
      </c>
      <c r="T142" s="62">
        <f t="shared" si="142"/>
        <v>316.79403154855652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0.11682937292646356</v>
      </c>
      <c r="AB142" s="23">
        <f>EXP(-LN(2)/2)*AB141+(1-EXP(-LN(2)/2))/(LN(2)/2)*V142*Y142*VLOOKUP('Données projet'!$B$9,Paramètres!$A$1:$I$89,3,0)*0.475*44/12</f>
        <v>9.2276826202124556E-16</v>
      </c>
      <c r="AC142" s="24">
        <f t="shared" si="111"/>
        <v>0.11682937292646448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281.09749585609313</v>
      </c>
      <c r="AN142" s="62">
        <f ca="1">AVERAGE(OFFSET($AM$3,0,0,'Données projet'!$E$10+1,1))-AVERAGE(OFFSET($H$3,0,0,'Données projet'!$E$10+1,1))</f>
        <v>225.71928466161592</v>
      </c>
      <c r="AO142" s="62">
        <f t="shared" si="144"/>
        <v>385.98818770742025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211.70619219850786</v>
      </c>
      <c r="BJ142" s="62">
        <f t="shared" si="146"/>
        <v>426.883837098247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11.40969089218542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1.0440523867094514E-14</v>
      </c>
      <c r="BS142" s="24">
        <f t="shared" si="117"/>
        <v>11.409690892185431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1.9895196601282805E-13</v>
      </c>
      <c r="BZ142" s="14">
        <f>BY142*VLOOKUP('Données projet'!$B$12,Paramètres!$A$1:$I$89,3,0)*VLOOKUP('Données projet'!$B$12,Paramètres!$A$1:$I$89,5,0)</f>
        <v>1.8001173884840681E-13</v>
      </c>
      <c r="CA142" s="14">
        <f t="shared" si="147"/>
        <v>2.5254331426407198E-12</v>
      </c>
      <c r="CB142" s="22">
        <f t="shared" si="118"/>
        <v>4.7119831685935622E-12</v>
      </c>
      <c r="CC142" s="62">
        <f t="shared" si="119"/>
        <v>281.09749585609677</v>
      </c>
      <c r="CD142" s="62">
        <f ca="1">AVERAGE(OFFSET($CC$3,0,0,'Données projet'!$E$12+1,1))-AVERAGE(OFFSET($H$3,0,0,'Données projet'!$E$12+1,1))</f>
        <v>327.07074355218322</v>
      </c>
      <c r="CE142" s="62">
        <f t="shared" si="148"/>
        <v>462.01668587029087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1.5859654368910119</v>
      </c>
      <c r="CL142" s="23">
        <f>EXP(-LN(2)/25)*CL141+(1-EXP(-LN(2)/25))/(LN(2)/25)*Calculateur!CG142*Calculateur!CI142*VLOOKUP('Données projet'!$B$12,Paramètres!$A$1:$I$89,3,0)*0.475*44/12</f>
        <v>0.15272206004778618</v>
      </c>
      <c r="CM142" s="23">
        <f>EXP(-LN(2)/2)*CM141+(1-EXP(-LN(2)/2))/(LN(2)/2)*CG142*CJ142*VLOOKUP('Données projet'!$B$12,Paramètres!$A$1:$I$89,3,0)*0.475*44/12</f>
        <v>2.3139670310482067E-20</v>
      </c>
      <c r="CN142" s="24">
        <f t="shared" si="120"/>
        <v>1.738687496938798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93.836028041880496</v>
      </c>
      <c r="CZ142" s="62">
        <f t="shared" si="150"/>
        <v>465.96044964631358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9.3106271398458151</v>
      </c>
      <c r="DG142" s="23">
        <f>EXP(-LN(2)/25)*DG141+(1-EXP(-LN(2)/25))/(LN(2)/25)*Calculateur!DB142*Calculateur!DD142*VLOOKUP('Données projet'!$B$13,Paramètres!$A$1:$I$89,3,0)*0.475*44/12</f>
        <v>0.88203082481708328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10.192657964662898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-3.4106051316484809E-13</v>
      </c>
      <c r="DP142" s="18">
        <f>DO142*VLOOKUP('Données projet'!$B$14,Paramètres!$A$1:$I$89,3,0)*VLOOKUP('Données projet'!$B$14,Paramètres!$A$1:$I$89,5,0)</f>
        <v>-2.0395418687257919E-13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386.56102661082468</v>
      </c>
      <c r="DU142" s="62">
        <f t="shared" si="152"/>
        <v>410.28336627719011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2.24809901029536</v>
      </c>
      <c r="EB142" s="23">
        <f>EXP(-LN(2)/25)*EB141+(1-EXP(-LN(2)/25))/(LN(2)/25)*Calculateur!DW142*Calculateur!DY142*VLOOKUP('Données projet'!$B$14,Paramètres!$A$1:$I$89,3,0)*0.475*44/12</f>
        <v>0.1085336509067879</v>
      </c>
      <c r="EC142" s="23">
        <f>EXP(-LN(2)/2)*EC141+(1-EXP(-LN(2)/2))/(LN(2)/2)*DW142*DZ142*VLOOKUP('Données projet'!$B$14,Paramètres!$A$1:$I$89,3,0)*0.475*44/12</f>
        <v>5.1132182632459485E-16</v>
      </c>
      <c r="ED142" s="24">
        <f t="shared" si="126"/>
        <v>2.3566326612021484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499.92116338695428</v>
      </c>
      <c r="T143" s="62">
        <f t="shared" si="142"/>
        <v>316.79403154855652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0.11363466757999971</v>
      </c>
      <c r="AB143" s="23">
        <f>EXP(-LN(2)/2)*AB142+(1-EXP(-LN(2)/2))/(LN(2)/2)*V143*Y143*VLOOKUP('Données projet'!$B$9,Paramètres!$A$1:$I$89,3,0)*0.475*44/12</f>
        <v>6.5249569553894764E-16</v>
      </c>
      <c r="AC143" s="24">
        <f t="shared" si="111"/>
        <v>0.11363466758000036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281.30976028108881</v>
      </c>
      <c r="AN143" s="62">
        <f ca="1">AVERAGE(OFFSET($AM$3,0,0,'Données projet'!$E$10+1,1))-AVERAGE(OFFSET($H$3,0,0,'Données projet'!$E$10+1,1))</f>
        <v>225.71928466161592</v>
      </c>
      <c r="AO143" s="62">
        <f t="shared" si="144"/>
        <v>385.98818770742025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211.70619219850786</v>
      </c>
      <c r="BJ143" s="62">
        <f t="shared" si="146"/>
        <v>426.883837098247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11.185953813013942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7.3825652255625277E-15</v>
      </c>
      <c r="BS143" s="24">
        <f t="shared" si="117"/>
        <v>11.185953813013949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1.9895196601282805E-13</v>
      </c>
      <c r="BZ143" s="14">
        <f>BY143*VLOOKUP('Données projet'!$B$12,Paramètres!$A$1:$I$89,3,0)*VLOOKUP('Données projet'!$B$12,Paramètres!$A$1:$I$89,5,0)</f>
        <v>1.8001173884840681E-13</v>
      </c>
      <c r="CA143" s="14">
        <f t="shared" si="147"/>
        <v>2.5254331426407198E-12</v>
      </c>
      <c r="CB143" s="22">
        <f t="shared" si="118"/>
        <v>4.7119831685935622E-12</v>
      </c>
      <c r="CC143" s="62">
        <f t="shared" si="119"/>
        <v>281.30976028109245</v>
      </c>
      <c r="CD143" s="62">
        <f ca="1">AVERAGE(OFFSET($CC$3,0,0,'Données projet'!$E$12+1,1))-AVERAGE(OFFSET($H$3,0,0,'Données projet'!$E$12+1,1))</f>
        <v>327.07074355218322</v>
      </c>
      <c r="CE143" s="62">
        <f t="shared" si="148"/>
        <v>462.01668587029087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1.5548656220169783</v>
      </c>
      <c r="CL143" s="23">
        <f>EXP(-LN(2)/25)*CL142+(1-EXP(-LN(2)/25))/(LN(2)/25)*Calculateur!CG143*Calculateur!CI143*VLOOKUP('Données projet'!$B$12,Paramètres!$A$1:$I$89,3,0)*0.475*44/12</f>
        <v>0.14854586728447539</v>
      </c>
      <c r="CM143" s="23">
        <f>EXP(-LN(2)/2)*CM142+(1-EXP(-LN(2)/2))/(LN(2)/2)*CG143*CJ143*VLOOKUP('Données projet'!$B$12,Paramètres!$A$1:$I$89,3,0)*0.475*44/12</f>
        <v>1.6362217790962893E-20</v>
      </c>
      <c r="CN143" s="24">
        <f t="shared" si="120"/>
        <v>1.7034114893014536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93.836028041880496</v>
      </c>
      <c r="CZ143" s="62">
        <f t="shared" si="150"/>
        <v>465.96044964631358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9.1280514205552468</v>
      </c>
      <c r="DG143" s="23">
        <f>EXP(-LN(2)/25)*DG142+(1-EXP(-LN(2)/25))/(LN(2)/25)*Calculateur!DB143*Calculateur!DD143*VLOOKUP('Données projet'!$B$13,Paramètres!$A$1:$I$89,3,0)*0.475*44/12</f>
        <v>0.85791164552847499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9.9859630660837215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-3.4106051316484809E-13</v>
      </c>
      <c r="DP143" s="18">
        <f>DO143*VLOOKUP('Données projet'!$B$14,Paramètres!$A$1:$I$89,3,0)*VLOOKUP('Données projet'!$B$14,Paramètres!$A$1:$I$89,5,0)</f>
        <v>-2.0395418687257919E-13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386.56102661082468</v>
      </c>
      <c r="DU143" s="62">
        <f t="shared" si="152"/>
        <v>410.28336627719011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2.2040151599084692</v>
      </c>
      <c r="EB143" s="23">
        <f>EXP(-LN(2)/25)*EB142+(1-EXP(-LN(2)/25))/(LN(2)/25)*Calculateur!DW143*Calculateur!DY143*VLOOKUP('Données projet'!$B$14,Paramètres!$A$1:$I$89,3,0)*0.475*44/12</f>
        <v>0.10556579251520515</v>
      </c>
      <c r="EC143" s="23">
        <f>EXP(-LN(2)/2)*EC142+(1-EXP(-LN(2)/2))/(LN(2)/2)*DW143*DZ143*VLOOKUP('Données projet'!$B$14,Paramètres!$A$1:$I$89,3,0)*0.475*44/12</f>
        <v>3.6155913076281115E-16</v>
      </c>
      <c r="ED143" s="24">
        <f t="shared" si="126"/>
        <v>2.309580952423675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499.92116338695428</v>
      </c>
      <c r="T144" s="62">
        <f t="shared" si="142"/>
        <v>316.79403154855652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0.11052732161923716</v>
      </c>
      <c r="AB144" s="23">
        <f>EXP(-LN(2)/2)*AB143+(1-EXP(-LN(2)/2))/(LN(2)/2)*V144*Y144*VLOOKUP('Données projet'!$B$9,Paramètres!$A$1:$I$89,3,0)*0.475*44/12</f>
        <v>4.6138413101062278E-16</v>
      </c>
      <c r="AC144" s="24">
        <f t="shared" si="111"/>
        <v>0.11052732161923762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281.51834239286291</v>
      </c>
      <c r="AN144" s="62">
        <f ca="1">AVERAGE(OFFSET($AM$3,0,0,'Données projet'!$E$10+1,1))-AVERAGE(OFFSET($H$3,0,0,'Données projet'!$E$10+1,1))</f>
        <v>225.71928466161592</v>
      </c>
      <c r="AO144" s="62">
        <f t="shared" si="144"/>
        <v>385.98818770742025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211.70619219850786</v>
      </c>
      <c r="BJ144" s="62">
        <f t="shared" si="146"/>
        <v>426.883837098247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10.966604081498874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5.2202619335472572E-15</v>
      </c>
      <c r="BS144" s="24">
        <f t="shared" si="117"/>
        <v>10.966604081498879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1.9895196601282805E-13</v>
      </c>
      <c r="BZ144" s="14">
        <f>BY144*VLOOKUP('Données projet'!$B$12,Paramètres!$A$1:$I$89,3,0)*VLOOKUP('Données projet'!$B$12,Paramètres!$A$1:$I$89,5,0)</f>
        <v>1.8001173884840681E-13</v>
      </c>
      <c r="CA144" s="14">
        <f t="shared" si="147"/>
        <v>2.5254331426407198E-12</v>
      </c>
      <c r="CB144" s="22">
        <f t="shared" si="118"/>
        <v>4.7119831685935622E-12</v>
      </c>
      <c r="CC144" s="62">
        <f t="shared" si="119"/>
        <v>281.51834239286654</v>
      </c>
      <c r="CD144" s="62">
        <f ca="1">AVERAGE(OFFSET($CC$3,0,0,'Données projet'!$E$12+1,1))-AVERAGE(OFFSET($H$3,0,0,'Données projet'!$E$12+1,1))</f>
        <v>327.07074355218322</v>
      </c>
      <c r="CE144" s="62">
        <f t="shared" si="148"/>
        <v>462.01668587029087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1.5243756555436105</v>
      </c>
      <c r="CL144" s="23">
        <f>EXP(-LN(2)/25)*CL143+(1-EXP(-LN(2)/25))/(LN(2)/25)*Calculateur!CG144*Calculateur!CI144*VLOOKUP('Données projet'!$B$12,Paramètres!$A$1:$I$89,3,0)*0.475*44/12</f>
        <v>0.14448387273189375</v>
      </c>
      <c r="CM144" s="23">
        <f>EXP(-LN(2)/2)*CM143+(1-EXP(-LN(2)/2))/(LN(2)/2)*CG144*CJ144*VLOOKUP('Données projet'!$B$12,Paramètres!$A$1:$I$89,3,0)*0.475*44/12</f>
        <v>1.1569835155241034E-20</v>
      </c>
      <c r="CN144" s="24">
        <f t="shared" si="120"/>
        <v>1.6688595282755043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93.836028041880496</v>
      </c>
      <c r="CZ144" s="62">
        <f t="shared" si="150"/>
        <v>465.96044964631358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8.9490558997597738</v>
      </c>
      <c r="DG144" s="23">
        <f>EXP(-LN(2)/25)*DG143+(1-EXP(-LN(2)/25))/(LN(2)/25)*Calculateur!DB144*Calculateur!DD144*VLOOKUP('Données projet'!$B$13,Paramètres!$A$1:$I$89,3,0)*0.475*44/12</f>
        <v>0.83445200646588613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9.78350790622566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-3.4106051316484809E-13</v>
      </c>
      <c r="DP144" s="18">
        <f>DO144*VLOOKUP('Données projet'!$B$14,Paramètres!$A$1:$I$89,3,0)*VLOOKUP('Données projet'!$B$14,Paramètres!$A$1:$I$89,5,0)</f>
        <v>-2.0395418687257919E-13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386.56102661082468</v>
      </c>
      <c r="DU144" s="62">
        <f t="shared" si="152"/>
        <v>410.28336627719011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2.1607957669391715</v>
      </c>
      <c r="EB144" s="23">
        <f>EXP(-LN(2)/25)*EB143+(1-EXP(-LN(2)/25))/(LN(2)/25)*Calculateur!DW144*Calculateur!DY144*VLOOKUP('Données projet'!$B$14,Paramètres!$A$1:$I$89,3,0)*0.475*44/12</f>
        <v>0.10267909036741311</v>
      </c>
      <c r="EC144" s="23">
        <f>EXP(-LN(2)/2)*EC143+(1-EXP(-LN(2)/2))/(LN(2)/2)*DW144*DZ144*VLOOKUP('Données projet'!$B$14,Paramètres!$A$1:$I$89,3,0)*0.475*44/12</f>
        <v>2.5566091316229742E-16</v>
      </c>
      <c r="ED144" s="24">
        <f t="shared" si="126"/>
        <v>2.2634748573065853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499.92116338695428</v>
      </c>
      <c r="T145" s="62">
        <f t="shared" si="142"/>
        <v>316.79403154855652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0.10750494619717989</v>
      </c>
      <c r="AB145" s="23">
        <f>EXP(-LN(2)/2)*AB144+(1-EXP(-LN(2)/2))/(LN(2)/2)*V145*Y145*VLOOKUP('Données projet'!$B$9,Paramètres!$A$1:$I$89,3,0)*0.475*44/12</f>
        <v>3.2624784776947382E-16</v>
      </c>
      <c r="AC145" s="24">
        <f t="shared" si="111"/>
        <v>0.10750494619718022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281.72330607131755</v>
      </c>
      <c r="AN145" s="62">
        <f ca="1">AVERAGE(OFFSET($AM$3,0,0,'Données projet'!$E$10+1,1))-AVERAGE(OFFSET($H$3,0,0,'Données projet'!$E$10+1,1))</f>
        <v>225.71928466161592</v>
      </c>
      <c r="AO145" s="62">
        <f t="shared" si="144"/>
        <v>385.98818770742025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211.70619219850786</v>
      </c>
      <c r="BJ145" s="62">
        <f t="shared" si="146"/>
        <v>426.883837098247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10.75155566442869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3.6912826127812638E-15</v>
      </c>
      <c r="BS145" s="24">
        <f t="shared" si="117"/>
        <v>10.751555664428693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1.9895196601282805E-13</v>
      </c>
      <c r="BZ145" s="14">
        <f>BY145*VLOOKUP('Données projet'!$B$12,Paramètres!$A$1:$I$89,3,0)*VLOOKUP('Données projet'!$B$12,Paramètres!$A$1:$I$89,5,0)</f>
        <v>1.8001173884840681E-13</v>
      </c>
      <c r="CA145" s="14">
        <f t="shared" si="147"/>
        <v>2.5254331426407198E-12</v>
      </c>
      <c r="CB145" s="22">
        <f t="shared" si="118"/>
        <v>4.7119831685935622E-12</v>
      </c>
      <c r="CC145" s="62">
        <f t="shared" si="119"/>
        <v>281.72330607132119</v>
      </c>
      <c r="CD145" s="62">
        <f ca="1">AVERAGE(OFFSET($CC$3,0,0,'Données projet'!$E$12+1,1))-AVERAGE(OFFSET($H$3,0,0,'Données projet'!$E$12+1,1))</f>
        <v>327.07074355218322</v>
      </c>
      <c r="CE145" s="62">
        <f t="shared" si="148"/>
        <v>462.01668587029087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1.4944835787157422</v>
      </c>
      <c r="CL145" s="23">
        <f>EXP(-LN(2)/25)*CL144+(1-EXP(-LN(2)/25))/(LN(2)/25)*Calculateur!CG145*Calculateur!CI145*VLOOKUP('Données projet'!$B$12,Paramètres!$A$1:$I$89,3,0)*0.475*44/12</f>
        <v>0.14053295363396348</v>
      </c>
      <c r="CM145" s="23">
        <f>EXP(-LN(2)/2)*CM144+(1-EXP(-LN(2)/2))/(LN(2)/2)*CG145*CJ145*VLOOKUP('Données projet'!$B$12,Paramètres!$A$1:$I$89,3,0)*0.475*44/12</f>
        <v>8.1811088954814466E-21</v>
      </c>
      <c r="CN145" s="24">
        <f t="shared" si="120"/>
        <v>1.6350165323497057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93.836028041880496</v>
      </c>
      <c r="CZ145" s="62">
        <f t="shared" si="150"/>
        <v>465.96044964631358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8.773570371950612</v>
      </c>
      <c r="DG145" s="23">
        <f>EXP(-LN(2)/25)*DG144+(1-EXP(-LN(2)/25))/(LN(2)/25)*Calculateur!DB145*Calculateur!DD145*VLOOKUP('Données projet'!$B$13,Paramètres!$A$1:$I$89,3,0)*0.475*44/12</f>
        <v>0.81163387246715257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9.5852042444177652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-3.4106051316484809E-13</v>
      </c>
      <c r="DP145" s="18">
        <f>DO145*VLOOKUP('Données projet'!$B$14,Paramètres!$A$1:$I$89,3,0)*VLOOKUP('Données projet'!$B$14,Paramètres!$A$1:$I$89,5,0)</f>
        <v>-2.0395418687257919E-13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386.56102661082468</v>
      </c>
      <c r="DU145" s="62">
        <f t="shared" si="152"/>
        <v>410.28336627719011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2.1184238799047748</v>
      </c>
      <c r="EB145" s="23">
        <f>EXP(-LN(2)/25)*EB144+(1-EXP(-LN(2)/25))/(LN(2)/25)*Calculateur!DW145*Calculateur!DY145*VLOOKUP('Données projet'!$B$14,Paramètres!$A$1:$I$89,3,0)*0.475*44/12</f>
        <v>9.987132524165751E-2</v>
      </c>
      <c r="EC145" s="23">
        <f>EXP(-LN(2)/2)*EC144+(1-EXP(-LN(2)/2))/(LN(2)/2)*DW145*DZ145*VLOOKUP('Données projet'!$B$14,Paramètres!$A$1:$I$89,3,0)*0.475*44/12</f>
        <v>1.8077956538140558E-16</v>
      </c>
      <c r="ED145" s="24">
        <f t="shared" si="126"/>
        <v>2.2182952051464322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499.92116338695428</v>
      </c>
      <c r="T146" s="62">
        <f t="shared" si="142"/>
        <v>316.79403154855652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0.10456521778997858</v>
      </c>
      <c r="AB146" s="23">
        <f>EXP(-LN(2)/2)*AB145+(1-EXP(-LN(2)/2))/(LN(2)/2)*V146*Y146*VLOOKUP('Données projet'!$B$9,Paramètres!$A$1:$I$89,3,0)*0.475*44/12</f>
        <v>2.3069206550531139E-16</v>
      </c>
      <c r="AC146" s="24">
        <f t="shared" si="111"/>
        <v>0.10456521778997882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281.92471408818108</v>
      </c>
      <c r="AN146" s="62">
        <f ca="1">AVERAGE(OFFSET($AM$3,0,0,'Données projet'!$E$10+1,1))-AVERAGE(OFFSET($H$3,0,0,'Données projet'!$E$10+1,1))</f>
        <v>225.71928466161592</v>
      </c>
      <c r="AO146" s="62">
        <f t="shared" si="144"/>
        <v>385.98818770742025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211.70619219850786</v>
      </c>
      <c r="BJ146" s="62">
        <f t="shared" si="146"/>
        <v>426.883837098247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10.54072421565067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2.6101309667736286E-15</v>
      </c>
      <c r="BS146" s="24">
        <f t="shared" si="117"/>
        <v>10.540724215650672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1.9895196601282805E-13</v>
      </c>
      <c r="BZ146" s="14">
        <f>BY146*VLOOKUP('Données projet'!$B$12,Paramètres!$A$1:$I$89,3,0)*VLOOKUP('Données projet'!$B$12,Paramètres!$A$1:$I$89,5,0)</f>
        <v>1.8001173884840681E-13</v>
      </c>
      <c r="CA146" s="14">
        <f t="shared" si="147"/>
        <v>2.5254331426407198E-12</v>
      </c>
      <c r="CB146" s="22">
        <f t="shared" si="118"/>
        <v>4.7119831685935622E-12</v>
      </c>
      <c r="CC146" s="62">
        <f t="shared" si="119"/>
        <v>281.92471408818471</v>
      </c>
      <c r="CD146" s="62">
        <f ca="1">AVERAGE(OFFSET($CC$3,0,0,'Données projet'!$E$12+1,1))-AVERAGE(OFFSET($H$3,0,0,'Données projet'!$E$12+1,1))</f>
        <v>327.07074355218322</v>
      </c>
      <c r="CE146" s="62">
        <f t="shared" si="148"/>
        <v>462.01668587029087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1.465177667282102</v>
      </c>
      <c r="CL146" s="23">
        <f>EXP(-LN(2)/25)*CL145+(1-EXP(-LN(2)/25))/(LN(2)/25)*Calculateur!CG146*Calculateur!CI146*VLOOKUP('Données projet'!$B$12,Paramètres!$A$1:$I$89,3,0)*0.475*44/12</f>
        <v>0.1366900726265359</v>
      </c>
      <c r="CM146" s="23">
        <f>EXP(-LN(2)/2)*CM145+(1-EXP(-LN(2)/2))/(LN(2)/2)*CG146*CJ146*VLOOKUP('Données projet'!$B$12,Paramètres!$A$1:$I$89,3,0)*0.475*44/12</f>
        <v>5.7849175776205168E-21</v>
      </c>
      <c r="CN146" s="24">
        <f t="shared" si="120"/>
        <v>1.6018677399086378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93.836028041880496</v>
      </c>
      <c r="CZ146" s="62">
        <f t="shared" si="150"/>
        <v>465.96044964631358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8.6015260083061857</v>
      </c>
      <c r="DG146" s="23">
        <f>EXP(-LN(2)/25)*DG145+(1-EXP(-LN(2)/25))/(LN(2)/25)*Calculateur!DB146*Calculateur!DD146*VLOOKUP('Données projet'!$B$13,Paramètres!$A$1:$I$89,3,0)*0.475*44/12</f>
        <v>0.78943970154256793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9.3909657098487536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-3.4106051316484809E-13</v>
      </c>
      <c r="DP146" s="18">
        <f>DO146*VLOOKUP('Données projet'!$B$14,Paramètres!$A$1:$I$89,3,0)*VLOOKUP('Données projet'!$B$14,Paramètres!$A$1:$I$89,5,0)</f>
        <v>-2.0395418687257919E-13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386.56102661082468</v>
      </c>
      <c r="DU146" s="62">
        <f t="shared" si="152"/>
        <v>410.28336627719011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2.0768828797308236</v>
      </c>
      <c r="EB146" s="23">
        <f>EXP(-LN(2)/25)*EB145+(1-EXP(-LN(2)/25))/(LN(2)/25)*Calculateur!DW146*Calculateur!DY146*VLOOKUP('Données projet'!$B$14,Paramètres!$A$1:$I$89,3,0)*0.475*44/12</f>
        <v>9.7140338600919654E-2</v>
      </c>
      <c r="EC146" s="23">
        <f>EXP(-LN(2)/2)*EC145+(1-EXP(-LN(2)/2))/(LN(2)/2)*DW146*DZ146*VLOOKUP('Données projet'!$B$14,Paramètres!$A$1:$I$89,3,0)*0.475*44/12</f>
        <v>1.2783045658114871E-16</v>
      </c>
      <c r="ED146" s="24">
        <f t="shared" si="126"/>
        <v>2.1740232183317434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499.92116338695428</v>
      </c>
      <c r="T147" s="62">
        <f t="shared" si="142"/>
        <v>316.79403154855652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0.10170587641066581</v>
      </c>
      <c r="AB147" s="23">
        <f>EXP(-LN(2)/2)*AB146+(1-EXP(-LN(2)/2))/(LN(2)/2)*V147*Y147*VLOOKUP('Données projet'!$B$9,Paramètres!$A$1:$I$89,3,0)*0.475*44/12</f>
        <v>1.6312392388473691E-16</v>
      </c>
      <c r="AC147" s="24">
        <f t="shared" si="111"/>
        <v>0.10170587641066597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282.12262812623283</v>
      </c>
      <c r="AN147" s="62">
        <f ca="1">AVERAGE(OFFSET($AM$3,0,0,'Données projet'!$E$10+1,1))-AVERAGE(OFFSET($H$3,0,0,'Données projet'!$E$10+1,1))</f>
        <v>225.71928466161592</v>
      </c>
      <c r="AO147" s="62">
        <f t="shared" si="144"/>
        <v>385.98818770742025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211.70619219850786</v>
      </c>
      <c r="BJ147" s="62">
        <f t="shared" si="146"/>
        <v>426.883837098247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10.3340270429887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1.8456413063906319E-15</v>
      </c>
      <c r="BS147" s="24">
        <f t="shared" si="117"/>
        <v>10.334027042988701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1.9895196601282805E-13</v>
      </c>
      <c r="BZ147" s="14">
        <f>BY147*VLOOKUP('Données projet'!$B$12,Paramètres!$A$1:$I$89,3,0)*VLOOKUP('Données projet'!$B$12,Paramètres!$A$1:$I$89,5,0)</f>
        <v>1.8001173884840681E-13</v>
      </c>
      <c r="CA147" s="14">
        <f t="shared" si="147"/>
        <v>2.5254331426407198E-12</v>
      </c>
      <c r="CB147" s="22">
        <f t="shared" si="118"/>
        <v>4.7119831685935622E-12</v>
      </c>
      <c r="CC147" s="62">
        <f t="shared" si="119"/>
        <v>282.12262812623646</v>
      </c>
      <c r="CD147" s="62">
        <f ca="1">AVERAGE(OFFSET($CC$3,0,0,'Données projet'!$E$12+1,1))-AVERAGE(OFFSET($H$3,0,0,'Données projet'!$E$12+1,1))</f>
        <v>327.07074355218322</v>
      </c>
      <c r="CE147" s="62">
        <f t="shared" si="148"/>
        <v>462.01668587029087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1.4364464268968344</v>
      </c>
      <c r="CL147" s="23">
        <f>EXP(-LN(2)/25)*CL146+(1-EXP(-LN(2)/25))/(LN(2)/25)*Calculateur!CG147*Calculateur!CI147*VLOOKUP('Données projet'!$B$12,Paramètres!$A$1:$I$89,3,0)*0.475*44/12</f>
        <v>0.13295227540234478</v>
      </c>
      <c r="CM147" s="23">
        <f>EXP(-LN(2)/2)*CM146+(1-EXP(-LN(2)/2))/(LN(2)/2)*CG147*CJ147*VLOOKUP('Données projet'!$B$12,Paramètres!$A$1:$I$89,3,0)*0.475*44/12</f>
        <v>4.0905544477407233E-21</v>
      </c>
      <c r="CN147" s="24">
        <f t="shared" si="120"/>
        <v>1.5693987022991793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93.836028041880496</v>
      </c>
      <c r="CZ147" s="62">
        <f t="shared" si="150"/>
        <v>465.96044964631358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8.4328553296961264</v>
      </c>
      <c r="DG147" s="23">
        <f>EXP(-LN(2)/25)*DG146+(1-EXP(-LN(2)/25))/(LN(2)/25)*Calculateur!DB147*Calculateur!DD147*VLOOKUP('Données projet'!$B$13,Paramètres!$A$1:$I$89,3,0)*0.475*44/12</f>
        <v>0.76785243138905679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9.2007077610851837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-3.4106051316484809E-13</v>
      </c>
      <c r="DP147" s="18">
        <f>DO147*VLOOKUP('Données projet'!$B$14,Paramètres!$A$1:$I$89,3,0)*VLOOKUP('Données projet'!$B$14,Paramètres!$A$1:$I$89,5,0)</f>
        <v>-2.0395418687257919E-13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386.56102661082468</v>
      </c>
      <c r="DU147" s="62">
        <f t="shared" si="152"/>
        <v>410.28336627719011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2.0361564732327753</v>
      </c>
      <c r="EB147" s="23">
        <f>EXP(-LN(2)/25)*EB146+(1-EXP(-LN(2)/25))/(LN(2)/25)*Calculateur!DW147*Calculateur!DY147*VLOOKUP('Données projet'!$B$14,Paramètres!$A$1:$I$89,3,0)*0.475*44/12</f>
        <v>9.4484030933489116E-2</v>
      </c>
      <c r="EC147" s="23">
        <f>EXP(-LN(2)/2)*EC146+(1-EXP(-LN(2)/2))/(LN(2)/2)*DW147*DZ147*VLOOKUP('Données projet'!$B$14,Paramètres!$A$1:$I$89,3,0)*0.475*44/12</f>
        <v>9.0389782690702788E-17</v>
      </c>
      <c r="ED147" s="24">
        <f t="shared" si="126"/>
        <v>2.1306405041662644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499.92116338695428</v>
      </c>
      <c r="T148" s="62">
        <f t="shared" si="142"/>
        <v>316.79403154855652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9.8924723871736564E-2</v>
      </c>
      <c r="AB148" s="23">
        <f>EXP(-LN(2)/2)*AB147+(1-EXP(-LN(2)/2))/(LN(2)/2)*V148*Y148*VLOOKUP('Données projet'!$B$9,Paramètres!$A$1:$I$89,3,0)*0.475*44/12</f>
        <v>1.153460327526557E-16</v>
      </c>
      <c r="AC148" s="24">
        <f t="shared" si="111"/>
        <v>9.8924723871736675E-2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282.31710879819406</v>
      </c>
      <c r="AN148" s="62">
        <f ca="1">AVERAGE(OFFSET($AM$3,0,0,'Données projet'!$E$10+1,1))-AVERAGE(OFFSET($H$3,0,0,'Données projet'!$E$10+1,1))</f>
        <v>225.71928466161592</v>
      </c>
      <c r="AO148" s="62">
        <f t="shared" si="144"/>
        <v>385.98818770742025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211.70619219850786</v>
      </c>
      <c r="BJ148" s="62">
        <f t="shared" si="146"/>
        <v>426.883837098247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10.131383075809804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1.3050654833868143E-15</v>
      </c>
      <c r="BS148" s="24">
        <f t="shared" si="117"/>
        <v>10.131383075809806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1.9895196601282805E-13</v>
      </c>
      <c r="BZ148" s="14">
        <f>BY148*VLOOKUP('Données projet'!$B$12,Paramètres!$A$1:$I$89,3,0)*VLOOKUP('Données projet'!$B$12,Paramètres!$A$1:$I$89,5,0)</f>
        <v>1.8001173884840681E-13</v>
      </c>
      <c r="CA148" s="14">
        <f t="shared" si="147"/>
        <v>2.5254331426407198E-12</v>
      </c>
      <c r="CB148" s="22">
        <f t="shared" si="118"/>
        <v>4.7119831685935622E-12</v>
      </c>
      <c r="CC148" s="62">
        <f t="shared" si="119"/>
        <v>282.31710879819769</v>
      </c>
      <c r="CD148" s="62">
        <f ca="1">AVERAGE(OFFSET($CC$3,0,0,'Données projet'!$E$12+1,1))-AVERAGE(OFFSET($H$3,0,0,'Données projet'!$E$12+1,1))</f>
        <v>327.07074355218322</v>
      </c>
      <c r="CE148" s="62">
        <f t="shared" si="148"/>
        <v>462.01668587029087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1.4082785886111957</v>
      </c>
      <c r="CL148" s="23">
        <f>EXP(-LN(2)/25)*CL147+(1-EXP(-LN(2)/25))/(LN(2)/25)*Calculateur!CG148*Calculateur!CI148*VLOOKUP('Données projet'!$B$12,Paramètres!$A$1:$I$89,3,0)*0.475*44/12</f>
        <v>0.12931668843981137</v>
      </c>
      <c r="CM148" s="23">
        <f>EXP(-LN(2)/2)*CM147+(1-EXP(-LN(2)/2))/(LN(2)/2)*CG148*CJ148*VLOOKUP('Données projet'!$B$12,Paramètres!$A$1:$I$89,3,0)*0.475*44/12</f>
        <v>2.8924587888102584E-21</v>
      </c>
      <c r="CN148" s="24">
        <f t="shared" si="120"/>
        <v>1.5375952770510071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93.836028041880496</v>
      </c>
      <c r="CZ148" s="62">
        <f t="shared" si="150"/>
        <v>465.96044964631358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8.2674921802146546</v>
      </c>
      <c r="DG148" s="23">
        <f>EXP(-LN(2)/25)*DG147+(1-EXP(-LN(2)/25))/(LN(2)/25)*Calculateur!DB148*Calculateur!DD148*VLOOKUP('Données projet'!$B$13,Paramètres!$A$1:$I$89,3,0)*0.475*44/12</f>
        <v>0.74685546627311861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9.0143476464877725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-3.4106051316484809E-13</v>
      </c>
      <c r="DP148" s="18">
        <f>DO148*VLOOKUP('Données projet'!$B$14,Paramètres!$A$1:$I$89,3,0)*VLOOKUP('Données projet'!$B$14,Paramètres!$A$1:$I$89,5,0)</f>
        <v>-2.0395418687257919E-13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386.56102661082468</v>
      </c>
      <c r="DU148" s="62">
        <f t="shared" si="152"/>
        <v>410.28336627719011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1.9962286867254986</v>
      </c>
      <c r="EB148" s="23">
        <f>EXP(-LN(2)/25)*EB147+(1-EXP(-LN(2)/25))/(LN(2)/25)*Calculateur!DW148*Calculateur!DY148*VLOOKUP('Données projet'!$B$14,Paramètres!$A$1:$I$89,3,0)*0.475*44/12</f>
        <v>9.1900360138913617E-2</v>
      </c>
      <c r="EC148" s="23">
        <f>EXP(-LN(2)/2)*EC147+(1-EXP(-LN(2)/2))/(LN(2)/2)*DW148*DZ148*VLOOKUP('Données projet'!$B$14,Paramètres!$A$1:$I$89,3,0)*0.475*44/12</f>
        <v>6.3915228290574356E-17</v>
      </c>
      <c r="ED148" s="24">
        <f t="shared" si="126"/>
        <v>2.0881290468644123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499.92116338695428</v>
      </c>
      <c r="T149" s="62">
        <f t="shared" si="142"/>
        <v>316.79403154855652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9.6219622095238794E-2</v>
      </c>
      <c r="AB149" s="23">
        <f>EXP(-LN(2)/2)*AB148+(1-EXP(-LN(2)/2))/(LN(2)/2)*V149*Y149*VLOOKUP('Données projet'!$B$9,Paramètres!$A$1:$I$89,3,0)*0.475*44/12</f>
        <v>8.1561961942368455E-17</v>
      </c>
      <c r="AC149" s="24">
        <f t="shared" si="111"/>
        <v>9.6219622095238877E-2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282.50821566529032</v>
      </c>
      <c r="AN149" s="62">
        <f ca="1">AVERAGE(OFFSET($AM$3,0,0,'Données projet'!$E$10+1,1))-AVERAGE(OFFSET($H$3,0,0,'Données projet'!$E$10+1,1))</f>
        <v>225.71928466161592</v>
      </c>
      <c r="AO149" s="62">
        <f t="shared" si="144"/>
        <v>385.98818770742025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211.70619219850786</v>
      </c>
      <c r="BJ149" s="62">
        <f t="shared" si="146"/>
        <v>426.883837098247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9.9327128332266721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9.2282065319531596E-16</v>
      </c>
      <c r="BS149" s="24">
        <f t="shared" si="117"/>
        <v>9.9327128332266739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1.9895196601282805E-13</v>
      </c>
      <c r="BZ149" s="14">
        <f>BY149*VLOOKUP('Données projet'!$B$12,Paramètres!$A$1:$I$89,3,0)*VLOOKUP('Données projet'!$B$12,Paramètres!$A$1:$I$89,5,0)</f>
        <v>1.8001173884840681E-13</v>
      </c>
      <c r="CA149" s="14">
        <f t="shared" si="147"/>
        <v>2.5254331426407198E-12</v>
      </c>
      <c r="CB149" s="22">
        <f t="shared" si="118"/>
        <v>4.7119831685935622E-12</v>
      </c>
      <c r="CC149" s="62">
        <f t="shared" si="119"/>
        <v>282.50821566529396</v>
      </c>
      <c r="CD149" s="62">
        <f ca="1">AVERAGE(OFFSET($CC$3,0,0,'Données projet'!$E$12+1,1))-AVERAGE(OFFSET($H$3,0,0,'Données projet'!$E$12+1,1))</f>
        <v>327.07074355218322</v>
      </c>
      <c r="CE149" s="62">
        <f t="shared" si="148"/>
        <v>462.01668587029087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1.3806631044536535</v>
      </c>
      <c r="CL149" s="23">
        <f>EXP(-LN(2)/25)*CL148+(1-EXP(-LN(2)/25))/(LN(2)/25)*Calculateur!CG149*Calculateur!CI149*VLOOKUP('Données projet'!$B$12,Paramètres!$A$1:$I$89,3,0)*0.475*44/12</f>
        <v>0.12578051679395563</v>
      </c>
      <c r="CM149" s="23">
        <f>EXP(-LN(2)/2)*CM148+(1-EXP(-LN(2)/2))/(LN(2)/2)*CG149*CJ149*VLOOKUP('Données projet'!$B$12,Paramètres!$A$1:$I$89,3,0)*0.475*44/12</f>
        <v>2.0452772238703616E-21</v>
      </c>
      <c r="CN149" s="24">
        <f t="shared" si="120"/>
        <v>1.5064436212476091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93.836028041880496</v>
      </c>
      <c r="CZ149" s="62">
        <f t="shared" si="150"/>
        <v>465.96044964631358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8.1053717012329525</v>
      </c>
      <c r="DG149" s="23">
        <f>EXP(-LN(2)/25)*DG148+(1-EXP(-LN(2)/25))/(LN(2)/25)*Calculateur!DB149*Calculateur!DD149*VLOOKUP('Données projet'!$B$13,Paramètres!$A$1:$I$89,3,0)*0.475*44/12</f>
        <v>0.72643266427245812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8.8318043655054108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-3.4106051316484809E-13</v>
      </c>
      <c r="DP149" s="18">
        <f>DO149*VLOOKUP('Données projet'!$B$14,Paramètres!$A$1:$I$89,3,0)*VLOOKUP('Données projet'!$B$14,Paramètres!$A$1:$I$89,5,0)</f>
        <v>-2.0395418687257919E-13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386.56102661082468</v>
      </c>
      <c r="DU149" s="62">
        <f t="shared" si="152"/>
        <v>410.28336627719011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1.9570838597580844</v>
      </c>
      <c r="EB149" s="23">
        <f>EXP(-LN(2)/25)*EB148+(1-EXP(-LN(2)/25))/(LN(2)/25)*Calculateur!DW149*Calculateur!DY149*VLOOKUP('Données projet'!$B$14,Paramètres!$A$1:$I$89,3,0)*0.475*44/12</f>
        <v>8.9387339958085121E-2</v>
      </c>
      <c r="EC149" s="23">
        <f>EXP(-LN(2)/2)*EC148+(1-EXP(-LN(2)/2))/(LN(2)/2)*DW149*DZ149*VLOOKUP('Données projet'!$B$14,Paramètres!$A$1:$I$89,3,0)*0.475*44/12</f>
        <v>4.5194891345351394E-17</v>
      </c>
      <c r="ED149" s="24">
        <f t="shared" si="126"/>
        <v>2.0464711997161693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499.92116338695428</v>
      </c>
      <c r="T150" s="62">
        <f t="shared" si="142"/>
        <v>316.79403154855652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9.358849146907447E-2</v>
      </c>
      <c r="AB150" s="23">
        <f>EXP(-LN(2)/2)*AB149+(1-EXP(-LN(2)/2))/(LN(2)/2)*V150*Y150*VLOOKUP('Données projet'!$B$9,Paramètres!$A$1:$I$89,3,0)*0.475*44/12</f>
        <v>5.7673016376327848E-17</v>
      </c>
      <c r="AC150" s="24">
        <f t="shared" si="111"/>
        <v>9.3588491469074525E-2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282.69600725549338</v>
      </c>
      <c r="AN150" s="62">
        <f ca="1">AVERAGE(OFFSET($AM$3,0,0,'Données projet'!$E$10+1,1))-AVERAGE(OFFSET($H$3,0,0,'Données projet'!$E$10+1,1))</f>
        <v>225.71928466161592</v>
      </c>
      <c r="AO150" s="62">
        <f t="shared" si="144"/>
        <v>385.98818770742025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211.70619219850786</v>
      </c>
      <c r="BJ150" s="62">
        <f t="shared" si="146"/>
        <v>426.883837098247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9.7379383929237129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6.5253274169340715E-16</v>
      </c>
      <c r="BS150" s="24">
        <f t="shared" si="117"/>
        <v>9.7379383929237129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1.9895196601282805E-13</v>
      </c>
      <c r="BZ150" s="14">
        <f>BY150*VLOOKUP('Données projet'!$B$12,Paramètres!$A$1:$I$89,3,0)*VLOOKUP('Données projet'!$B$12,Paramètres!$A$1:$I$89,5,0)</f>
        <v>1.8001173884840681E-13</v>
      </c>
      <c r="CA150" s="14">
        <f t="shared" si="147"/>
        <v>2.5254331426407198E-12</v>
      </c>
      <c r="CB150" s="22">
        <f t="shared" si="118"/>
        <v>4.7119831685935622E-12</v>
      </c>
      <c r="CC150" s="62">
        <f t="shared" si="119"/>
        <v>282.69600725549702</v>
      </c>
      <c r="CD150" s="62">
        <f ca="1">AVERAGE(OFFSET($CC$3,0,0,'Données projet'!$E$12+1,1))-AVERAGE(OFFSET($H$3,0,0,'Données projet'!$E$12+1,1))</f>
        <v>327.07074355218322</v>
      </c>
      <c r="CE150" s="62">
        <f t="shared" si="148"/>
        <v>462.01668587029087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1.3535891430966585</v>
      </c>
      <c r="CL150" s="23">
        <f>EXP(-LN(2)/25)*CL149+(1-EXP(-LN(2)/25))/(LN(2)/25)*Calculateur!CG150*Calculateur!CI150*VLOOKUP('Données projet'!$B$12,Paramètres!$A$1:$I$89,3,0)*0.475*44/12</f>
        <v>0.12234104194771502</v>
      </c>
      <c r="CM150" s="23">
        <f>EXP(-LN(2)/2)*CM149+(1-EXP(-LN(2)/2))/(LN(2)/2)*CG150*CJ150*VLOOKUP('Données projet'!$B$12,Paramètres!$A$1:$I$89,3,0)*0.475*44/12</f>
        <v>1.4462293944051292E-21</v>
      </c>
      <c r="CN150" s="24">
        <f t="shared" si="120"/>
        <v>1.4759301850443736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93.836028041880496</v>
      </c>
      <c r="CZ150" s="62">
        <f t="shared" si="150"/>
        <v>465.96044964631358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7.9464303059603534</v>
      </c>
      <c r="DG150" s="23">
        <f>EXP(-LN(2)/25)*DG149+(1-EXP(-LN(2)/25))/(LN(2)/25)*Calculateur!DB150*Calculateur!DD150*VLOOKUP('Données projet'!$B$13,Paramètres!$A$1:$I$89,3,0)*0.475*44/12</f>
        <v>0.70656832486649424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8.6529986308268469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-3.4106051316484809E-13</v>
      </c>
      <c r="DP150" s="18">
        <f>DO150*VLOOKUP('Données projet'!$B$14,Paramètres!$A$1:$I$89,3,0)*VLOOKUP('Données projet'!$B$14,Paramètres!$A$1:$I$89,5,0)</f>
        <v>-2.0395418687257919E-13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386.56102661082468</v>
      </c>
      <c r="DU150" s="62">
        <f t="shared" si="152"/>
        <v>410.28336627719011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1.9187066389715144</v>
      </c>
      <c r="EB150" s="23">
        <f>EXP(-LN(2)/25)*EB149+(1-EXP(-LN(2)/25))/(LN(2)/25)*Calculateur!DW150*Calculateur!DY150*VLOOKUP('Données projet'!$B$14,Paramètres!$A$1:$I$89,3,0)*0.475*44/12</f>
        <v>8.6943038446255366E-2</v>
      </c>
      <c r="EC150" s="23">
        <f>EXP(-LN(2)/2)*EC149+(1-EXP(-LN(2)/2))/(LN(2)/2)*DW150*DZ150*VLOOKUP('Données projet'!$B$14,Paramètres!$A$1:$I$89,3,0)*0.475*44/12</f>
        <v>3.1957614145287178E-17</v>
      </c>
      <c r="ED150" s="24">
        <f t="shared" si="126"/>
        <v>2.0056496774177699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499.92116338695428</v>
      </c>
      <c r="T151" s="62">
        <f t="shared" si="142"/>
        <v>316.79403154855652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9.1029309248247758E-2</v>
      </c>
      <c r="AB151" s="23">
        <f>EXP(-LN(2)/2)*AB150+(1-EXP(-LN(2)/2))/(LN(2)/2)*V151*Y151*VLOOKUP('Données projet'!$B$9,Paramètres!$A$1:$I$89,3,0)*0.475*44/12</f>
        <v>4.0780980971184227E-17</v>
      </c>
      <c r="AC151" s="24">
        <f t="shared" si="111"/>
        <v>9.10293092482478E-2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282.88054108144553</v>
      </c>
      <c r="AN151" s="62">
        <f ca="1">AVERAGE(OFFSET($AM$3,0,0,'Données projet'!$E$10+1,1))-AVERAGE(OFFSET($H$3,0,0,'Données projet'!$E$10+1,1))</f>
        <v>225.71928466161592</v>
      </c>
      <c r="AO151" s="62">
        <f t="shared" si="144"/>
        <v>385.98818770742025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211.70619219850786</v>
      </c>
      <c r="BJ151" s="62">
        <f t="shared" si="146"/>
        <v>426.883837098247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9.5469833605944157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4.6141032659765798E-16</v>
      </c>
      <c r="BS151" s="24">
        <f t="shared" si="117"/>
        <v>9.5469833605944157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1.9895196601282805E-13</v>
      </c>
      <c r="BZ151" s="14">
        <f>BY151*VLOOKUP('Données projet'!$B$12,Paramètres!$A$1:$I$89,3,0)*VLOOKUP('Données projet'!$B$12,Paramètres!$A$1:$I$89,5,0)</f>
        <v>1.8001173884840681E-13</v>
      </c>
      <c r="CA151" s="14">
        <f t="shared" si="147"/>
        <v>2.5254331426407198E-12</v>
      </c>
      <c r="CB151" s="22">
        <f t="shared" si="118"/>
        <v>4.7119831685935622E-12</v>
      </c>
      <c r="CC151" s="62">
        <f t="shared" si="119"/>
        <v>282.88054108144917</v>
      </c>
      <c r="CD151" s="62">
        <f ca="1">AVERAGE(OFFSET($CC$3,0,0,'Données projet'!$E$12+1,1))-AVERAGE(OFFSET($H$3,0,0,'Données projet'!$E$12+1,1))</f>
        <v>327.07074355218322</v>
      </c>
      <c r="CE151" s="62">
        <f t="shared" si="148"/>
        <v>462.01668587029087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1.3270460856083883</v>
      </c>
      <c r="CL151" s="23">
        <f>EXP(-LN(2)/25)*CL150+(1-EXP(-LN(2)/25))/(LN(2)/25)*Calculateur!CG151*Calculateur!CI151*VLOOKUP('Données projet'!$B$12,Paramètres!$A$1:$I$89,3,0)*0.475*44/12</f>
        <v>0.11899561972201897</v>
      </c>
      <c r="CM151" s="23">
        <f>EXP(-LN(2)/2)*CM150+(1-EXP(-LN(2)/2))/(LN(2)/2)*CG151*CJ151*VLOOKUP('Données projet'!$B$12,Paramètres!$A$1:$I$89,3,0)*0.475*44/12</f>
        <v>1.0226386119351808E-21</v>
      </c>
      <c r="CN151" s="24">
        <f t="shared" si="120"/>
        <v>1.4460417053304073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93.836028041880496</v>
      </c>
      <c r="CZ151" s="62">
        <f t="shared" si="150"/>
        <v>465.96044964631358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7.7906056545043718</v>
      </c>
      <c r="DG151" s="23">
        <f>EXP(-LN(2)/25)*DG150+(1-EXP(-LN(2)/25))/(LN(2)/25)*Calculateur!DB151*Calculateur!DD151*VLOOKUP('Données projet'!$B$13,Paramètres!$A$1:$I$89,3,0)*0.475*44/12</f>
        <v>0.68724717686620662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8.4778528313705781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-3.4106051316484809E-13</v>
      </c>
      <c r="DP151" s="18">
        <f>DO151*VLOOKUP('Données projet'!$B$14,Paramètres!$A$1:$I$89,3,0)*VLOOKUP('Données projet'!$B$14,Paramètres!$A$1:$I$89,5,0)</f>
        <v>-2.0395418687257919E-13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386.56102661082468</v>
      </c>
      <c r="DU151" s="62">
        <f t="shared" si="152"/>
        <v>410.28336627719011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1.8810819720767757</v>
      </c>
      <c r="EB151" s="23">
        <f>EXP(-LN(2)/25)*EB150+(1-EXP(-LN(2)/25))/(LN(2)/25)*Calculateur!DW151*Calculateur!DY151*VLOOKUP('Données projet'!$B$14,Paramètres!$A$1:$I$89,3,0)*0.475*44/12</f>
        <v>8.4565576487806826E-2</v>
      </c>
      <c r="EC151" s="23">
        <f>EXP(-LN(2)/2)*EC150+(1-EXP(-LN(2)/2))/(LN(2)/2)*DW151*DZ151*VLOOKUP('Données projet'!$B$14,Paramètres!$A$1:$I$89,3,0)*0.475*44/12</f>
        <v>2.2597445672675697E-17</v>
      </c>
      <c r="ED151" s="24">
        <f t="shared" si="126"/>
        <v>1.9656475485645826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499.92116338695428</v>
      </c>
      <c r="T152" s="62">
        <f t="shared" si="142"/>
        <v>316.79403154855652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8.85401079998311E-2</v>
      </c>
      <c r="AB152" s="23">
        <f>EXP(-LN(2)/2)*AB151+(1-EXP(-LN(2)/2))/(LN(2)/2)*V152*Y152*VLOOKUP('Données projet'!$B$9,Paramètres!$A$1:$I$89,3,0)*0.475*44/12</f>
        <v>2.8836508188163924E-17</v>
      </c>
      <c r="AC152" s="24">
        <f t="shared" si="111"/>
        <v>8.8540107999831127E-2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283.06187365807324</v>
      </c>
      <c r="AN152" s="62">
        <f ca="1">AVERAGE(OFFSET($AM$3,0,0,'Données projet'!$E$10+1,1))-AVERAGE(OFFSET($H$3,0,0,'Données projet'!$E$10+1,1))</f>
        <v>225.71928466161592</v>
      </c>
      <c r="AO152" s="62">
        <f t="shared" si="144"/>
        <v>385.98818770742025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211.70619219850786</v>
      </c>
      <c r="BJ152" s="62">
        <f t="shared" si="146"/>
        <v>426.883837098247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9.359772839978028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3.2626637084670358E-16</v>
      </c>
      <c r="BS152" s="24">
        <f t="shared" si="117"/>
        <v>9.359772839978028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1.9895196601282805E-13</v>
      </c>
      <c r="BZ152" s="14">
        <f>BY152*VLOOKUP('Données projet'!$B$12,Paramètres!$A$1:$I$89,3,0)*VLOOKUP('Données projet'!$B$12,Paramètres!$A$1:$I$89,5,0)</f>
        <v>1.8001173884840681E-13</v>
      </c>
      <c r="CA152" s="14">
        <f t="shared" si="147"/>
        <v>2.5254331426407198E-12</v>
      </c>
      <c r="CB152" s="22">
        <f t="shared" si="118"/>
        <v>4.7119831685935622E-12</v>
      </c>
      <c r="CC152" s="62">
        <f t="shared" si="119"/>
        <v>283.06187365807688</v>
      </c>
      <c r="CD152" s="62">
        <f ca="1">AVERAGE(OFFSET($CC$3,0,0,'Données projet'!$E$12+1,1))-AVERAGE(OFFSET($H$3,0,0,'Données projet'!$E$12+1,1))</f>
        <v>327.07074355218322</v>
      </c>
      <c r="CE152" s="62">
        <f t="shared" si="148"/>
        <v>462.01668587029087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1.3010235212877967</v>
      </c>
      <c r="CL152" s="23">
        <f>EXP(-LN(2)/25)*CL151+(1-EXP(-LN(2)/25))/(LN(2)/25)*Calculateur!CG152*Calculateur!CI152*VLOOKUP('Données projet'!$B$12,Paramètres!$A$1:$I$89,3,0)*0.475*44/12</f>
        <v>0.11574167824301269</v>
      </c>
      <c r="CM152" s="23">
        <f>EXP(-LN(2)/2)*CM151+(1-EXP(-LN(2)/2))/(LN(2)/2)*CG152*CJ152*VLOOKUP('Données projet'!$B$12,Paramètres!$A$1:$I$89,3,0)*0.475*44/12</f>
        <v>7.231146972025646E-22</v>
      </c>
      <c r="CN152" s="24">
        <f t="shared" si="120"/>
        <v>1.4167651995308095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93.836028041880496</v>
      </c>
      <c r="CZ152" s="62">
        <f t="shared" si="150"/>
        <v>465.96044964631358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7.6378366294197892</v>
      </c>
      <c r="DG152" s="23">
        <f>EXP(-LN(2)/25)*DG151+(1-EXP(-LN(2)/25))/(LN(2)/25)*Calculateur!DB152*Calculateur!DD152*VLOOKUP('Données projet'!$B$13,Paramètres!$A$1:$I$89,3,0)*0.475*44/12</f>
        <v>0.6684543666740419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8.306290996093832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-3.4106051316484809E-13</v>
      </c>
      <c r="DP152" s="18">
        <f>DO152*VLOOKUP('Données projet'!$B$14,Paramètres!$A$1:$I$89,3,0)*VLOOKUP('Données projet'!$B$14,Paramètres!$A$1:$I$89,5,0)</f>
        <v>-2.0395418687257919E-13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386.56102661082468</v>
      </c>
      <c r="DU152" s="62">
        <f t="shared" si="152"/>
        <v>410.28336627719011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1.8441951019510621</v>
      </c>
      <c r="EB152" s="23">
        <f>EXP(-LN(2)/25)*EB151+(1-EXP(-LN(2)/25))/(LN(2)/25)*Calculateur!DW152*Calculateur!DY152*VLOOKUP('Données projet'!$B$14,Paramètres!$A$1:$I$89,3,0)*0.475*44/12</f>
        <v>8.2253126351637354E-2</v>
      </c>
      <c r="EC152" s="23">
        <f>EXP(-LN(2)/2)*EC151+(1-EXP(-LN(2)/2))/(LN(2)/2)*DW152*DZ152*VLOOKUP('Données projet'!$B$14,Paramètres!$A$1:$I$89,3,0)*0.475*44/12</f>
        <v>1.5978807072643589E-17</v>
      </c>
      <c r="ED152" s="24">
        <f t="shared" si="126"/>
        <v>1.9264482283026994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499.92116338695428</v>
      </c>
      <c r="T153" s="62">
        <f t="shared" si="142"/>
        <v>316.79403154855652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8.6118974090453798E-2</v>
      </c>
      <c r="AB153" s="23">
        <f>EXP(-LN(2)/2)*AB152+(1-EXP(-LN(2)/2))/(LN(2)/2)*V153*Y153*VLOOKUP('Données projet'!$B$9,Paramètres!$A$1:$I$89,3,0)*0.475*44/12</f>
        <v>2.0390490485592114E-17</v>
      </c>
      <c r="AC153" s="24">
        <f t="shared" si="111"/>
        <v>8.6118974090453812E-2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283.24006051989539</v>
      </c>
      <c r="AN153" s="62">
        <f ca="1">AVERAGE(OFFSET($AM$3,0,0,'Données projet'!$E$10+1,1))-AVERAGE(OFFSET($H$3,0,0,'Données projet'!$E$10+1,1))</f>
        <v>225.71928466161592</v>
      </c>
      <c r="AO153" s="62">
        <f t="shared" si="144"/>
        <v>385.98818770742025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211.70619219850786</v>
      </c>
      <c r="BJ153" s="62">
        <f t="shared" si="146"/>
        <v>426.883837098247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9.1762334034837849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2.3070516329882899E-16</v>
      </c>
      <c r="BS153" s="24">
        <f t="shared" si="117"/>
        <v>9.1762334034837849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1.9895196601282805E-13</v>
      </c>
      <c r="BZ153" s="14">
        <f>BY153*VLOOKUP('Données projet'!$B$12,Paramètres!$A$1:$I$89,3,0)*VLOOKUP('Données projet'!$B$12,Paramètres!$A$1:$I$89,5,0)</f>
        <v>1.8001173884840681E-13</v>
      </c>
      <c r="CA153" s="14">
        <f t="shared" si="147"/>
        <v>2.5254331426407198E-12</v>
      </c>
      <c r="CB153" s="22">
        <f t="shared" si="118"/>
        <v>4.7119831685935622E-12</v>
      </c>
      <c r="CC153" s="62">
        <f t="shared" si="119"/>
        <v>283.24006051989903</v>
      </c>
      <c r="CD153" s="62">
        <f ca="1">AVERAGE(OFFSET($CC$3,0,0,'Données projet'!$E$12+1,1))-AVERAGE(OFFSET($H$3,0,0,'Données projet'!$E$12+1,1))</f>
        <v>327.07074355218322</v>
      </c>
      <c r="CE153" s="62">
        <f t="shared" si="148"/>
        <v>462.01668587029087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1.2755112435813349</v>
      </c>
      <c r="CL153" s="23">
        <f>EXP(-LN(2)/25)*CL152+(1-EXP(-LN(2)/25))/(LN(2)/25)*Calculateur!CG153*Calculateur!CI153*VLOOKUP('Données projet'!$B$12,Paramètres!$A$1:$I$89,3,0)*0.475*44/12</f>
        <v>0.11257671596486718</v>
      </c>
      <c r="CM153" s="23">
        <f>EXP(-LN(2)/2)*CM152+(1-EXP(-LN(2)/2))/(LN(2)/2)*CG153*CJ153*VLOOKUP('Données projet'!$B$12,Paramètres!$A$1:$I$89,3,0)*0.475*44/12</f>
        <v>5.1131930596759041E-22</v>
      </c>
      <c r="CN153" s="24">
        <f t="shared" si="120"/>
        <v>1.3880879595462021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93.836028041880496</v>
      </c>
      <c r="CZ153" s="62">
        <f t="shared" si="150"/>
        <v>465.96044964631358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7.4880633117372106</v>
      </c>
      <c r="DG153" s="23">
        <f>EXP(-LN(2)/25)*DG152+(1-EXP(-LN(2)/25))/(LN(2)/25)*Calculateur!DB153*Calculateur!DD153*VLOOKUP('Données projet'!$B$13,Paramètres!$A$1:$I$89,3,0)*0.475*44/12</f>
        <v>0.65017544686485285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8.1382387586020641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-3.4106051316484809E-13</v>
      </c>
      <c r="DP153" s="18">
        <f>DO153*VLOOKUP('Données projet'!$B$14,Paramètres!$A$1:$I$89,3,0)*VLOOKUP('Données projet'!$B$14,Paramètres!$A$1:$I$89,5,0)</f>
        <v>-2.0395418687257919E-13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386.56102661082468</v>
      </c>
      <c r="DU153" s="62">
        <f t="shared" si="152"/>
        <v>410.28336627719011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1.8080315608497444</v>
      </c>
      <c r="EB153" s="23">
        <f>EXP(-LN(2)/25)*EB152+(1-EXP(-LN(2)/25))/(LN(2)/25)*Calculateur!DW153*Calculateur!DY153*VLOOKUP('Données projet'!$B$14,Paramètres!$A$1:$I$89,3,0)*0.475*44/12</f>
        <v>8.0003910286047905E-2</v>
      </c>
      <c r="EC153" s="23">
        <f>EXP(-LN(2)/2)*EC152+(1-EXP(-LN(2)/2))/(LN(2)/2)*DW153*DZ153*VLOOKUP('Données projet'!$B$14,Paramètres!$A$1:$I$89,3,0)*0.475*44/12</f>
        <v>1.1298722836337848E-17</v>
      </c>
      <c r="ED153" s="24">
        <f t="shared" si="126"/>
        <v>1.8880354711357923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499.92116338695428</v>
      </c>
      <c r="T154" s="62">
        <f t="shared" si="142"/>
        <v>316.79403154855652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8.3764046215150323E-2</v>
      </c>
      <c r="AB154" s="23">
        <f>EXP(-LN(2)/2)*AB153+(1-EXP(-LN(2)/2))/(LN(2)/2)*V154*Y154*VLOOKUP('Données projet'!$B$9,Paramètres!$A$1:$I$89,3,0)*0.475*44/12</f>
        <v>1.4418254094081962E-17</v>
      </c>
      <c r="AC154" s="24">
        <f t="shared" ref="AC154:AC203" si="163">SUM(Z154:AB154)</f>
        <v>8.3764046215150337E-2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283.41515623803105</v>
      </c>
      <c r="AN154" s="62">
        <f ca="1">AVERAGE(OFFSET($AM$3,0,0,'Données projet'!$E$10+1,1))-AVERAGE(OFFSET($H$3,0,0,'Données projet'!$E$10+1,1))</f>
        <v>225.71928466161592</v>
      </c>
      <c r="AO154" s="62">
        <f t="shared" si="144"/>
        <v>385.98818770742025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211.70619219850786</v>
      </c>
      <c r="BJ154" s="62">
        <f t="shared" si="146"/>
        <v>426.883837098247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8.9962930633911906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1.6313318542335179E-16</v>
      </c>
      <c r="BS154" s="24">
        <f t="shared" ref="BS154:BS203" si="169">SUM(BP154:BR154)</f>
        <v>8.9962930633911906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1.9895196601282805E-13</v>
      </c>
      <c r="BZ154" s="14">
        <f>BY154*VLOOKUP('Données projet'!$B$12,Paramètres!$A$1:$I$89,3,0)*VLOOKUP('Données projet'!$B$12,Paramètres!$A$1:$I$89,5,0)</f>
        <v>1.8001173884840681E-13</v>
      </c>
      <c r="CA154" s="14">
        <f t="shared" ref="CA154:CA203" si="170">EXP(-1.0587+0.8836*LN(BZ154)+0.284)</f>
        <v>2.5254331426407198E-12</v>
      </c>
      <c r="CB154" s="22">
        <f t="shared" ref="CB154:CB203" si="171">(BZ154+CA154)*0.475*44/12</f>
        <v>4.7119831685935622E-12</v>
      </c>
      <c r="CC154" s="62">
        <f t="shared" si="119"/>
        <v>283.41515623803468</v>
      </c>
      <c r="CD154" s="62">
        <f ca="1">AVERAGE(OFFSET($CC$3,0,0,'Données projet'!$E$12+1,1))-AVERAGE(OFFSET($H$3,0,0,'Données projet'!$E$12+1,1))</f>
        <v>327.07074355218322</v>
      </c>
      <c r="CE154" s="62">
        <f t="shared" si="148"/>
        <v>462.01668587029087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1.2504992460797439</v>
      </c>
      <c r="CL154" s="23">
        <f>EXP(-LN(2)/25)*CL153+(1-EXP(-LN(2)/25))/(LN(2)/25)*Calculateur!CG154*Calculateur!CI154*VLOOKUP('Données projet'!$B$12,Paramètres!$A$1:$I$89,3,0)*0.475*44/12</f>
        <v>0.10949829974665569</v>
      </c>
      <c r="CM154" s="23">
        <f>EXP(-LN(2)/2)*CM153+(1-EXP(-LN(2)/2))/(LN(2)/2)*CG154*CJ154*VLOOKUP('Données projet'!$B$12,Paramètres!$A$1:$I$89,3,0)*0.475*44/12</f>
        <v>3.615573486012823E-22</v>
      </c>
      <c r="CN154" s="24">
        <f t="shared" ref="CN154:CN203" si="172">SUM(CK154:CM154)</f>
        <v>1.3599975458263995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93.836028041880496</v>
      </c>
      <c r="CZ154" s="62">
        <f t="shared" si="150"/>
        <v>465.96044964631358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7.341226957461684</v>
      </c>
      <c r="DG154" s="23">
        <f>EXP(-LN(2)/25)*DG153+(1-EXP(-LN(2)/25))/(LN(2)/25)*Calculateur!DB154*Calculateur!DD154*VLOOKUP('Données projet'!$B$13,Paramètres!$A$1:$I$89,3,0)*0.475*44/12</f>
        <v>0.63239636507909269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7.9736233225407762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-3.4106051316484809E-13</v>
      </c>
      <c r="DP154" s="18">
        <f>DO154*VLOOKUP('Données projet'!$B$14,Paramètres!$A$1:$I$89,3,0)*VLOOKUP('Données projet'!$B$14,Paramètres!$A$1:$I$89,5,0)</f>
        <v>-2.0395418687257919E-13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386.56102661082468</v>
      </c>
      <c r="DU154" s="62">
        <f t="shared" si="152"/>
        <v>410.28336627719011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1.7725771647318416</v>
      </c>
      <c r="EB154" s="23">
        <f>EXP(-LN(2)/25)*EB153+(1-EXP(-LN(2)/25))/(LN(2)/25)*Calculateur!DW154*Calculateur!DY154*VLOOKUP('Données projet'!$B$14,Paramètres!$A$1:$I$89,3,0)*0.475*44/12</f>
        <v>7.7816199152053137E-2</v>
      </c>
      <c r="EC154" s="23">
        <f>EXP(-LN(2)/2)*EC153+(1-EXP(-LN(2)/2))/(LN(2)/2)*DW154*DZ154*VLOOKUP('Données projet'!$B$14,Paramètres!$A$1:$I$89,3,0)*0.475*44/12</f>
        <v>7.9894035363217945E-18</v>
      </c>
      <c r="ED154" s="24">
        <f t="shared" ref="ED154:ED203" si="178">SUM(EA154:EC154)</f>
        <v>1.8503933638838947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499.92116338695428</v>
      </c>
      <c r="T155" s="62">
        <f t="shared" si="142"/>
        <v>316.79403154855652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8.1473513966437289E-2</v>
      </c>
      <c r="AB155" s="23">
        <f>EXP(-LN(2)/2)*AB154+(1-EXP(-LN(2)/2))/(LN(2)/2)*V155*Y155*VLOOKUP('Données projet'!$B$9,Paramètres!$A$1:$I$89,3,0)*0.475*44/12</f>
        <v>1.0195245242796057E-17</v>
      </c>
      <c r="AC155" s="24">
        <f t="shared" si="163"/>
        <v>8.1473513966437303E-2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283.58721443691246</v>
      </c>
      <c r="AN155" s="62">
        <f ca="1">AVERAGE(OFFSET($AM$3,0,0,'Données projet'!$E$10+1,1))-AVERAGE(OFFSET($H$3,0,0,'Données projet'!$E$10+1,1))</f>
        <v>225.71928466161592</v>
      </c>
      <c r="AO155" s="62">
        <f t="shared" si="144"/>
        <v>385.98818770742025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211.70619219850786</v>
      </c>
      <c r="BJ155" s="62">
        <f t="shared" si="146"/>
        <v>426.883837098247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8.8198812436150416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1.153525816494145E-16</v>
      </c>
      <c r="BS155" s="24">
        <f t="shared" si="169"/>
        <v>8.8198812436150416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1.9895196601282805E-13</v>
      </c>
      <c r="BZ155" s="14">
        <f>BY155*VLOOKUP('Données projet'!$B$12,Paramètres!$A$1:$I$89,3,0)*VLOOKUP('Données projet'!$B$12,Paramètres!$A$1:$I$89,5,0)</f>
        <v>1.8001173884840681E-13</v>
      </c>
      <c r="CA155" s="14">
        <f t="shared" si="170"/>
        <v>2.5254331426407198E-12</v>
      </c>
      <c r="CB155" s="22">
        <f t="shared" si="171"/>
        <v>4.7119831685935622E-12</v>
      </c>
      <c r="CC155" s="62">
        <f t="shared" si="119"/>
        <v>283.5872144369161</v>
      </c>
      <c r="CD155" s="62">
        <f ca="1">AVERAGE(OFFSET($CC$3,0,0,'Données projet'!$E$12+1,1))-AVERAGE(OFFSET($H$3,0,0,'Données projet'!$E$12+1,1))</f>
        <v>327.07074355218322</v>
      </c>
      <c r="CE155" s="62">
        <f t="shared" si="148"/>
        <v>462.01668587029087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1.2259777185933469</v>
      </c>
      <c r="CL155" s="23">
        <f>EXP(-LN(2)/25)*CL154+(1-EXP(-LN(2)/25))/(LN(2)/25)*Calculateur!CG155*Calculateur!CI155*VLOOKUP('Données projet'!$B$12,Paramètres!$A$1:$I$89,3,0)*0.475*44/12</f>
        <v>0.10650406298181807</v>
      </c>
      <c r="CM155" s="23">
        <f>EXP(-LN(2)/2)*CM154+(1-EXP(-LN(2)/2))/(LN(2)/2)*CG155*CJ155*VLOOKUP('Données projet'!$B$12,Paramètres!$A$1:$I$89,3,0)*0.475*44/12</f>
        <v>2.556596529837952E-22</v>
      </c>
      <c r="CN155" s="24">
        <f t="shared" si="172"/>
        <v>1.3324817815751651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93.836028041880496</v>
      </c>
      <c r="CZ155" s="62">
        <f t="shared" si="150"/>
        <v>465.96044964631358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7.1972699745321673</v>
      </c>
      <c r="DG155" s="23">
        <f>EXP(-LN(2)/25)*DG154+(1-EXP(-LN(2)/25))/(LN(2)/25)*Calculateur!DB155*Calculateur!DD155*VLOOKUP('Données projet'!$B$13,Paramètres!$A$1:$I$89,3,0)*0.475*44/12</f>
        <v>0.61510345321972537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7.8123734277518926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-3.4106051316484809E-13</v>
      </c>
      <c r="DP155" s="18">
        <f>DO155*VLOOKUP('Données projet'!$B$14,Paramètres!$A$1:$I$89,3,0)*VLOOKUP('Données projet'!$B$14,Paramètres!$A$1:$I$89,5,0)</f>
        <v>-2.0395418687257919E-13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386.56102661082468</v>
      </c>
      <c r="DU155" s="62">
        <f t="shared" si="152"/>
        <v>410.28336627719011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1.7378180076967644</v>
      </c>
      <c r="EB155" s="23">
        <f>EXP(-LN(2)/25)*EB154+(1-EXP(-LN(2)/25))/(LN(2)/25)*Calculateur!DW155*Calculateur!DY155*VLOOKUP('Données projet'!$B$14,Paramètres!$A$1:$I$89,3,0)*0.475*44/12</f>
        <v>7.5688311094064181E-2</v>
      </c>
      <c r="EC155" s="23">
        <f>EXP(-LN(2)/2)*EC154+(1-EXP(-LN(2)/2))/(LN(2)/2)*DW155*DZ155*VLOOKUP('Données projet'!$B$14,Paramètres!$A$1:$I$89,3,0)*0.475*44/12</f>
        <v>5.6493614181689242E-18</v>
      </c>
      <c r="ED155" s="24">
        <f t="shared" si="178"/>
        <v>1.8135063187908287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499.92116338695428</v>
      </c>
      <c r="T156" s="62">
        <f t="shared" si="142"/>
        <v>316.79403154855652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7.9245616442519165E-2</v>
      </c>
      <c r="AB156" s="23">
        <f>EXP(-LN(2)/2)*AB155+(1-EXP(-LN(2)/2))/(LN(2)/2)*V156*Y156*VLOOKUP('Données projet'!$B$9,Paramètres!$A$1:$I$89,3,0)*0.475*44/12</f>
        <v>7.209127047040981E-18</v>
      </c>
      <c r="AC156" s="24">
        <f t="shared" si="163"/>
        <v>7.9245616442519179E-2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283.7562878107077</v>
      </c>
      <c r="AN156" s="62">
        <f ca="1">AVERAGE(OFFSET($AM$3,0,0,'Données projet'!$E$10+1,1))-AVERAGE(OFFSET($H$3,0,0,'Données projet'!$E$10+1,1))</f>
        <v>225.71928466161592</v>
      </c>
      <c r="AO156" s="62">
        <f t="shared" si="144"/>
        <v>385.98818770742025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211.70619219850786</v>
      </c>
      <c r="BJ156" s="62">
        <f t="shared" si="146"/>
        <v>426.883837098247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8.6469287520241185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8.1566592711675894E-17</v>
      </c>
      <c r="BS156" s="24">
        <f t="shared" si="169"/>
        <v>8.6469287520241185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1.9895196601282805E-13</v>
      </c>
      <c r="BZ156" s="14">
        <f>BY156*VLOOKUP('Données projet'!$B$12,Paramètres!$A$1:$I$89,3,0)*VLOOKUP('Données projet'!$B$12,Paramètres!$A$1:$I$89,5,0)</f>
        <v>1.8001173884840681E-13</v>
      </c>
      <c r="CA156" s="14">
        <f t="shared" si="170"/>
        <v>2.5254331426407198E-12</v>
      </c>
      <c r="CB156" s="22">
        <f t="shared" si="171"/>
        <v>4.7119831685935622E-12</v>
      </c>
      <c r="CC156" s="62">
        <f t="shared" si="119"/>
        <v>283.75628781071134</v>
      </c>
      <c r="CD156" s="62">
        <f ca="1">AVERAGE(OFFSET($CC$3,0,0,'Données projet'!$E$12+1,1))-AVERAGE(OFFSET($H$3,0,0,'Données projet'!$E$12+1,1))</f>
        <v>327.07074355218322</v>
      </c>
      <c r="CE156" s="62">
        <f t="shared" si="148"/>
        <v>462.01668587029087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1.2019370433043033</v>
      </c>
      <c r="CL156" s="23">
        <f>EXP(-LN(2)/25)*CL155+(1-EXP(-LN(2)/25))/(LN(2)/25)*Calculateur!CG156*Calculateur!CI156*VLOOKUP('Données projet'!$B$12,Paramètres!$A$1:$I$89,3,0)*0.475*44/12</f>
        <v>0.103591703778775</v>
      </c>
      <c r="CM156" s="23">
        <f>EXP(-LN(2)/2)*CM155+(1-EXP(-LN(2)/2))/(LN(2)/2)*CG156*CJ156*VLOOKUP('Données projet'!$B$12,Paramètres!$A$1:$I$89,3,0)*0.475*44/12</f>
        <v>1.8077867430064115E-22</v>
      </c>
      <c r="CN156" s="24">
        <f t="shared" si="172"/>
        <v>1.3055287470830783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93.836028041880496</v>
      </c>
      <c r="CZ156" s="62">
        <f t="shared" si="150"/>
        <v>465.96044964631358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7.0561359002328095</v>
      </c>
      <c r="DG156" s="23">
        <f>EXP(-LN(2)/25)*DG155+(1-EXP(-LN(2)/25))/(LN(2)/25)*Calculateur!DB156*Calculateur!DD156*VLOOKUP('Données projet'!$B$13,Paramètres!$A$1:$I$89,3,0)*0.475*44/12</f>
        <v>0.59828341694454723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7.6544193171773571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-3.4106051316484809E-13</v>
      </c>
      <c r="DP156" s="18">
        <f>DO156*VLOOKUP('Données projet'!$B$14,Paramètres!$A$1:$I$89,3,0)*VLOOKUP('Données projet'!$B$14,Paramètres!$A$1:$I$89,5,0)</f>
        <v>-2.0395418687257919E-13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386.56102661082468</v>
      </c>
      <c r="DU156" s="62">
        <f t="shared" si="152"/>
        <v>410.28336627719011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1.7037404565301528</v>
      </c>
      <c r="EB156" s="23">
        <f>EXP(-LN(2)/25)*EB155+(1-EXP(-LN(2)/25))/(LN(2)/25)*Calculateur!DW156*Calculateur!DY156*VLOOKUP('Données projet'!$B$14,Paramètres!$A$1:$I$89,3,0)*0.475*44/12</f>
        <v>7.3618610246921706E-2</v>
      </c>
      <c r="EC156" s="23">
        <f>EXP(-LN(2)/2)*EC155+(1-EXP(-LN(2)/2))/(LN(2)/2)*DW156*DZ156*VLOOKUP('Données projet'!$B$14,Paramètres!$A$1:$I$89,3,0)*0.475*44/12</f>
        <v>3.9947017681608972E-18</v>
      </c>
      <c r="ED156" s="24">
        <f t="shared" si="178"/>
        <v>1.7773590667770744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499.92116338695428</v>
      </c>
      <c r="T157" s="62">
        <f t="shared" si="142"/>
        <v>316.79403154855652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7.7078640893552625E-2</v>
      </c>
      <c r="AB157" s="23">
        <f>EXP(-LN(2)/2)*AB156+(1-EXP(-LN(2)/2))/(LN(2)/2)*V157*Y157*VLOOKUP('Données projet'!$B$9,Paramètres!$A$1:$I$89,3,0)*0.475*44/12</f>
        <v>5.0976226213980284E-18</v>
      </c>
      <c r="AC157" s="24">
        <f t="shared" si="163"/>
        <v>7.7078640893552625E-2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283.92242813945916</v>
      </c>
      <c r="AN157" s="62">
        <f ca="1">AVERAGE(OFFSET($AM$3,0,0,'Données projet'!$E$10+1,1))-AVERAGE(OFFSET($H$3,0,0,'Données projet'!$E$10+1,1))</f>
        <v>225.71928466161592</v>
      </c>
      <c r="AO157" s="62">
        <f t="shared" si="144"/>
        <v>385.98818770742025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211.70619219850786</v>
      </c>
      <c r="BJ157" s="62">
        <f t="shared" si="146"/>
        <v>426.883837098247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8.4773677533026888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5.7676290824707248E-17</v>
      </c>
      <c r="BS157" s="24">
        <f t="shared" si="169"/>
        <v>8.4773677533026888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1.9895196601282805E-13</v>
      </c>
      <c r="BZ157" s="14">
        <f>BY157*VLOOKUP('Données projet'!$B$12,Paramètres!$A$1:$I$89,3,0)*VLOOKUP('Données projet'!$B$12,Paramètres!$A$1:$I$89,5,0)</f>
        <v>1.8001173884840681E-13</v>
      </c>
      <c r="CA157" s="14">
        <f t="shared" si="170"/>
        <v>2.5254331426407198E-12</v>
      </c>
      <c r="CB157" s="22">
        <f t="shared" si="171"/>
        <v>4.7119831685935622E-12</v>
      </c>
      <c r="CC157" s="62">
        <f t="shared" si="119"/>
        <v>283.9224281394628</v>
      </c>
      <c r="CD157" s="62">
        <f ca="1">AVERAGE(OFFSET($CC$3,0,0,'Données projet'!$E$12+1,1))-AVERAGE(OFFSET($H$3,0,0,'Données projet'!$E$12+1,1))</f>
        <v>327.07074355218322</v>
      </c>
      <c r="CE157" s="62">
        <f t="shared" si="148"/>
        <v>462.01668587029087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1.1783677909943138</v>
      </c>
      <c r="CL157" s="23">
        <f>EXP(-LN(2)/25)*CL156+(1-EXP(-LN(2)/25))/(LN(2)/25)*Calculateur!CG157*Calculateur!CI157*VLOOKUP('Données projet'!$B$12,Paramètres!$A$1:$I$89,3,0)*0.475*44/12</f>
        <v>0.10075898319129345</v>
      </c>
      <c r="CM157" s="23">
        <f>EXP(-LN(2)/2)*CM156+(1-EXP(-LN(2)/2))/(LN(2)/2)*CG157*CJ157*VLOOKUP('Données projet'!$B$12,Paramètres!$A$1:$I$89,3,0)*0.475*44/12</f>
        <v>1.278298264918976E-22</v>
      </c>
      <c r="CN157" s="24">
        <f t="shared" si="172"/>
        <v>1.2791267741856072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93.836028041880496</v>
      </c>
      <c r="CZ157" s="62">
        <f t="shared" si="150"/>
        <v>465.96044964631358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6.9177693790471766</v>
      </c>
      <c r="DG157" s="23">
        <f>EXP(-LN(2)/25)*DG156+(1-EXP(-LN(2)/25))/(LN(2)/25)*Calculateur!DB157*Calculateur!DD157*VLOOKUP('Données projet'!$B$13,Paramètres!$A$1:$I$89,3,0)*0.475*44/12</f>
        <v>0.58192332544584113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7.4996927044930182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-3.4106051316484809E-13</v>
      </c>
      <c r="DP157" s="18">
        <f>DO157*VLOOKUP('Données projet'!$B$14,Paramètres!$A$1:$I$89,3,0)*VLOOKUP('Données projet'!$B$14,Paramètres!$A$1:$I$89,5,0)</f>
        <v>-2.0395418687257919E-13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386.56102661082468</v>
      </c>
      <c r="DU157" s="62">
        <f t="shared" si="152"/>
        <v>410.28336627719011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1.6703311453566645</v>
      </c>
      <c r="EB157" s="23">
        <f>EXP(-LN(2)/25)*EB156+(1-EXP(-LN(2)/25))/(LN(2)/25)*Calculateur!DW157*Calculateur!DY157*VLOOKUP('Données projet'!$B$14,Paramètres!$A$1:$I$89,3,0)*0.475*44/12</f>
        <v>7.1605505478285175E-2</v>
      </c>
      <c r="EC157" s="23">
        <f>EXP(-LN(2)/2)*EC156+(1-EXP(-LN(2)/2))/(LN(2)/2)*DW157*DZ157*VLOOKUP('Données projet'!$B$14,Paramètres!$A$1:$I$89,3,0)*0.475*44/12</f>
        <v>2.8246807090844621E-18</v>
      </c>
      <c r="ED157" s="24">
        <f t="shared" si="178"/>
        <v>1.7419366508349496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499.92116338695428</v>
      </c>
      <c r="T158" s="62">
        <f t="shared" si="142"/>
        <v>316.79403154855652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7.4970921404928864E-2</v>
      </c>
      <c r="AB158" s="23">
        <f>EXP(-LN(2)/2)*AB157+(1-EXP(-LN(2)/2))/(LN(2)/2)*V158*Y158*VLOOKUP('Données projet'!$B$9,Paramètres!$A$1:$I$89,3,0)*0.475*44/12</f>
        <v>3.6045635235204905E-18</v>
      </c>
      <c r="AC158" s="24">
        <f t="shared" si="163"/>
        <v>7.4970921404928864E-2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284.08568630494085</v>
      </c>
      <c r="AN158" s="62">
        <f ca="1">AVERAGE(OFFSET($AM$3,0,0,'Données projet'!$E$10+1,1))-AVERAGE(OFFSET($H$3,0,0,'Données projet'!$E$10+1,1))</f>
        <v>225.71928466161592</v>
      </c>
      <c r="AO158" s="62">
        <f t="shared" si="144"/>
        <v>385.98818770742025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211.70619219850786</v>
      </c>
      <c r="BJ158" s="62">
        <f t="shared" si="146"/>
        <v>426.883837098247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8.3111317423441893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4.0783296355837947E-17</v>
      </c>
      <c r="BS158" s="24">
        <f t="shared" si="169"/>
        <v>8.3111317423441893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1.9895196601282805E-13</v>
      </c>
      <c r="BZ158" s="14">
        <f>BY158*VLOOKUP('Données projet'!$B$12,Paramètres!$A$1:$I$89,3,0)*VLOOKUP('Données projet'!$B$12,Paramètres!$A$1:$I$89,5,0)</f>
        <v>1.8001173884840681E-13</v>
      </c>
      <c r="CA158" s="14">
        <f t="shared" si="170"/>
        <v>2.5254331426407198E-12</v>
      </c>
      <c r="CB158" s="22">
        <f t="shared" si="171"/>
        <v>4.7119831685935622E-12</v>
      </c>
      <c r="CC158" s="62">
        <f t="shared" si="119"/>
        <v>284.08568630494449</v>
      </c>
      <c r="CD158" s="62">
        <f ca="1">AVERAGE(OFFSET($CC$3,0,0,'Données projet'!$E$12+1,1))-AVERAGE(OFFSET($H$3,0,0,'Données projet'!$E$12+1,1))</f>
        <v>327.07074355218322</v>
      </c>
      <c r="CE158" s="62">
        <f t="shared" si="148"/>
        <v>462.01668587029087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1.1552607173462988</v>
      </c>
      <c r="CL158" s="23">
        <f>EXP(-LN(2)/25)*CL157+(1-EXP(-LN(2)/25))/(LN(2)/25)*Calculateur!CG158*Calculateur!CI158*VLOOKUP('Données projet'!$B$12,Paramètres!$A$1:$I$89,3,0)*0.475*44/12</f>
        <v>9.8003723497242887E-2</v>
      </c>
      <c r="CM158" s="23">
        <f>EXP(-LN(2)/2)*CM157+(1-EXP(-LN(2)/2))/(LN(2)/2)*CG158*CJ158*VLOOKUP('Données projet'!$B$12,Paramètres!$A$1:$I$89,3,0)*0.475*44/12</f>
        <v>9.0389337150320574E-23</v>
      </c>
      <c r="CN158" s="24">
        <f t="shared" si="172"/>
        <v>1.2532644408435416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93.836028041880496</v>
      </c>
      <c r="CZ158" s="62">
        <f t="shared" si="150"/>
        <v>465.96044964631358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6.7821161409467496</v>
      </c>
      <c r="DG158" s="23">
        <f>EXP(-LN(2)/25)*DG157+(1-EXP(-LN(2)/25))/(LN(2)/25)*Calculateur!DB158*Calculateur!DD158*VLOOKUP('Données projet'!$B$13,Paramètres!$A$1:$I$89,3,0)*0.475*44/12</f>
        <v>0.56601060150950688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7.3481267424562562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-3.4106051316484809E-13</v>
      </c>
      <c r="DP158" s="18">
        <f>DO158*VLOOKUP('Données projet'!$B$14,Paramètres!$A$1:$I$89,3,0)*VLOOKUP('Données projet'!$B$14,Paramètres!$A$1:$I$89,5,0)</f>
        <v>-2.0395418687257919E-13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386.56102661082468</v>
      </c>
      <c r="DU158" s="62">
        <f t="shared" si="152"/>
        <v>410.28336627719011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1.6375769703976206</v>
      </c>
      <c r="EB158" s="23">
        <f>EXP(-LN(2)/25)*EB157+(1-EXP(-LN(2)/25))/(LN(2)/25)*Calculateur!DW158*Calculateur!DY158*VLOOKUP('Données projet'!$B$14,Paramètres!$A$1:$I$89,3,0)*0.475*44/12</f>
        <v>6.9647449165411587E-2</v>
      </c>
      <c r="EC158" s="23">
        <f>EXP(-LN(2)/2)*EC157+(1-EXP(-LN(2)/2))/(LN(2)/2)*DW158*DZ158*VLOOKUP('Données projet'!$B$14,Paramètres!$A$1:$I$89,3,0)*0.475*44/12</f>
        <v>1.9973508840804486E-18</v>
      </c>
      <c r="ED158" s="24">
        <f t="shared" si="178"/>
        <v>1.7072244195630322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499.92116338695428</v>
      </c>
      <c r="T159" s="62">
        <f t="shared" si="142"/>
        <v>316.79403154855652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7.2920837616561679E-2</v>
      </c>
      <c r="AB159" s="23">
        <f>EXP(-LN(2)/2)*AB158+(1-EXP(-LN(2)/2))/(LN(2)/2)*V159*Y159*VLOOKUP('Données projet'!$B$9,Paramètres!$A$1:$I$89,3,0)*0.475*44/12</f>
        <v>2.5488113106990142E-18</v>
      </c>
      <c r="AC159" s="24">
        <f t="shared" si="163"/>
        <v>7.2920837616561679E-2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284.24611230624203</v>
      </c>
      <c r="AN159" s="62">
        <f ca="1">AVERAGE(OFFSET($AM$3,0,0,'Données projet'!$E$10+1,1))-AVERAGE(OFFSET($H$3,0,0,'Données projet'!$E$10+1,1))</f>
        <v>225.71928466161592</v>
      </c>
      <c r="AO159" s="62">
        <f t="shared" si="144"/>
        <v>385.98818770742025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211.70619219850786</v>
      </c>
      <c r="BJ159" s="62">
        <f t="shared" si="146"/>
        <v>426.883837098247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8.1481555181666323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2.8838145412353624E-17</v>
      </c>
      <c r="BS159" s="24">
        <f t="shared" si="169"/>
        <v>8.1481555181666323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1.9895196601282805E-13</v>
      </c>
      <c r="BZ159" s="14">
        <f>BY159*VLOOKUP('Données projet'!$B$12,Paramètres!$A$1:$I$89,3,0)*VLOOKUP('Données projet'!$B$12,Paramètres!$A$1:$I$89,5,0)</f>
        <v>1.8001173884840681E-13</v>
      </c>
      <c r="CA159" s="14">
        <f t="shared" si="170"/>
        <v>2.5254331426407198E-12</v>
      </c>
      <c r="CB159" s="22">
        <f t="shared" si="171"/>
        <v>4.7119831685935622E-12</v>
      </c>
      <c r="CC159" s="62">
        <f t="shared" si="119"/>
        <v>284.24611230624566</v>
      </c>
      <c r="CD159" s="62">
        <f ca="1">AVERAGE(OFFSET($CC$3,0,0,'Données projet'!$E$12+1,1))-AVERAGE(OFFSET($H$3,0,0,'Données projet'!$E$12+1,1))</f>
        <v>327.07074355218322</v>
      </c>
      <c r="CE159" s="62">
        <f t="shared" si="148"/>
        <v>462.01668587029087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1.132606759318598</v>
      </c>
      <c r="CL159" s="23">
        <f>EXP(-LN(2)/25)*CL158+(1-EXP(-LN(2)/25))/(LN(2)/25)*Calculateur!CG159*Calculateur!CI159*VLOOKUP('Données projet'!$B$12,Paramètres!$A$1:$I$89,3,0)*0.475*44/12</f>
        <v>9.532380652441895E-2</v>
      </c>
      <c r="CM159" s="23">
        <f>EXP(-LN(2)/2)*CM158+(1-EXP(-LN(2)/2))/(LN(2)/2)*CG159*CJ159*VLOOKUP('Données projet'!$B$12,Paramètres!$A$1:$I$89,3,0)*0.475*44/12</f>
        <v>6.3914913245948801E-23</v>
      </c>
      <c r="CN159" s="24">
        <f t="shared" si="172"/>
        <v>1.2279305658430169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93.836028041880496</v>
      </c>
      <c r="CZ159" s="62">
        <f t="shared" si="150"/>
        <v>465.96044964631358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6.6491229801051661</v>
      </c>
      <c r="DG159" s="23">
        <f>EXP(-LN(2)/25)*DG158+(1-EXP(-LN(2)/25))/(LN(2)/25)*Calculateur!DB159*Calculateur!DD159*VLOOKUP('Données projet'!$B$13,Paramètres!$A$1:$I$89,3,0)*0.475*44/12</f>
        <v>0.55053301184602554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7.1996559919511913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-3.4106051316484809E-13</v>
      </c>
      <c r="DP159" s="18">
        <f>DO159*VLOOKUP('Données projet'!$B$14,Paramètres!$A$1:$I$89,3,0)*VLOOKUP('Données projet'!$B$14,Paramètres!$A$1:$I$89,5,0)</f>
        <v>-2.0395418687257919E-13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386.56102661082468</v>
      </c>
      <c r="DU159" s="62">
        <f t="shared" si="152"/>
        <v>410.28336627719011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1.6054650848314496</v>
      </c>
      <c r="EB159" s="23">
        <f>EXP(-LN(2)/25)*EB158+(1-EXP(-LN(2)/25))/(LN(2)/25)*Calculateur!DW159*Calculateur!DY159*VLOOKUP('Données projet'!$B$14,Paramètres!$A$1:$I$89,3,0)*0.475*44/12</f>
        <v>6.7742936005383239E-2</v>
      </c>
      <c r="EC159" s="23">
        <f>EXP(-LN(2)/2)*EC158+(1-EXP(-LN(2)/2))/(LN(2)/2)*DW159*DZ159*VLOOKUP('Données projet'!$B$14,Paramètres!$A$1:$I$89,3,0)*0.475*44/12</f>
        <v>1.4123403545422311E-18</v>
      </c>
      <c r="ED159" s="24">
        <f t="shared" si="178"/>
        <v>1.6732080208368327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499.92116338695428</v>
      </c>
      <c r="T160" s="62">
        <f t="shared" si="142"/>
        <v>316.79403154855652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7.0926813477196607E-2</v>
      </c>
      <c r="AB160" s="23">
        <f>EXP(-LN(2)/2)*AB159+(1-EXP(-LN(2)/2))/(LN(2)/2)*V160*Y160*VLOOKUP('Données projet'!$B$9,Paramètres!$A$1:$I$89,3,0)*0.475*44/12</f>
        <v>1.8022817617602452E-18</v>
      </c>
      <c r="AC160" s="24">
        <f t="shared" si="163"/>
        <v>7.0926813477196607E-2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284.40375527507933</v>
      </c>
      <c r="AN160" s="62">
        <f ca="1">AVERAGE(OFFSET($AM$3,0,0,'Données projet'!$E$10+1,1))-AVERAGE(OFFSET($H$3,0,0,'Données projet'!$E$10+1,1))</f>
        <v>225.71928466161592</v>
      </c>
      <c r="AO160" s="62">
        <f t="shared" si="144"/>
        <v>385.98818770742025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211.70619219850786</v>
      </c>
      <c r="BJ160" s="62">
        <f t="shared" si="146"/>
        <v>426.883837098247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7.9883751583395153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2.0391648177918974E-17</v>
      </c>
      <c r="BS160" s="24">
        <f t="shared" si="169"/>
        <v>7.9883751583395153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1.9895196601282805E-13</v>
      </c>
      <c r="BZ160" s="14">
        <f>BY160*VLOOKUP('Données projet'!$B$12,Paramètres!$A$1:$I$89,3,0)*VLOOKUP('Données projet'!$B$12,Paramètres!$A$1:$I$89,5,0)</f>
        <v>1.8001173884840681E-13</v>
      </c>
      <c r="CA160" s="14">
        <f t="shared" si="170"/>
        <v>2.5254331426407198E-12</v>
      </c>
      <c r="CB160" s="22">
        <f t="shared" si="171"/>
        <v>4.7119831685935622E-12</v>
      </c>
      <c r="CC160" s="62">
        <f t="shared" si="119"/>
        <v>284.40375527508297</v>
      </c>
      <c r="CD160" s="62">
        <f ca="1">AVERAGE(OFFSET($CC$3,0,0,'Données projet'!$E$12+1,1))-AVERAGE(OFFSET($H$3,0,0,'Données projet'!$E$12+1,1))</f>
        <v>327.07074355218322</v>
      </c>
      <c r="CE160" s="62">
        <f t="shared" si="148"/>
        <v>462.01668587029087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1.1103970315902705</v>
      </c>
      <c r="CL160" s="23">
        <f>EXP(-LN(2)/25)*CL159+(1-EXP(-LN(2)/25))/(LN(2)/25)*Calculateur!CG160*Calculateur!CI160*VLOOKUP('Données projet'!$B$12,Paramètres!$A$1:$I$89,3,0)*0.475*44/12</f>
        <v>9.271717202214759E-2</v>
      </c>
      <c r="CM160" s="23">
        <f>EXP(-LN(2)/2)*CM159+(1-EXP(-LN(2)/2))/(LN(2)/2)*CG160*CJ160*VLOOKUP('Données projet'!$B$12,Paramètres!$A$1:$I$89,3,0)*0.475*44/12</f>
        <v>4.5194668575160287E-23</v>
      </c>
      <c r="CN160" s="24">
        <f t="shared" si="172"/>
        <v>1.2031142036124181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93.836028041880496</v>
      </c>
      <c r="CZ160" s="62">
        <f t="shared" si="150"/>
        <v>465.96044964631358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6.5187377340298678</v>
      </c>
      <c r="DG160" s="23">
        <f>EXP(-LN(2)/25)*DG159+(1-EXP(-LN(2)/25))/(LN(2)/25)*Calculateur!DB160*Calculateur!DD160*VLOOKUP('Données projet'!$B$13,Paramètres!$A$1:$I$89,3,0)*0.475*44/12</f>
        <v>0.53547865768582315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7.0542163917156913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-3.4106051316484809E-13</v>
      </c>
      <c r="DP160" s="18">
        <f>DO160*VLOOKUP('Données projet'!$B$14,Paramètres!$A$1:$I$89,3,0)*VLOOKUP('Données projet'!$B$14,Paramètres!$A$1:$I$89,5,0)</f>
        <v>-2.0395418687257919E-13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386.56102661082468</v>
      </c>
      <c r="DU160" s="62">
        <f t="shared" si="152"/>
        <v>410.28336627719011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1.573982893754915</v>
      </c>
      <c r="EB160" s="23">
        <f>EXP(-LN(2)/25)*EB159+(1-EXP(-LN(2)/25))/(LN(2)/25)*Calculateur!DW160*Calculateur!DY160*VLOOKUP('Données projet'!$B$14,Paramètres!$A$1:$I$89,3,0)*0.475*44/12</f>
        <v>6.5890501857869863E-2</v>
      </c>
      <c r="EC160" s="23">
        <f>EXP(-LN(2)/2)*EC159+(1-EXP(-LN(2)/2))/(LN(2)/2)*DW160*DZ160*VLOOKUP('Données projet'!$B$14,Paramètres!$A$1:$I$89,3,0)*0.475*44/12</f>
        <v>9.9867544204022431E-19</v>
      </c>
      <c r="ED160" s="24">
        <f t="shared" si="178"/>
        <v>1.6398733956127849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499.92116338695428</v>
      </c>
      <c r="T161" s="62">
        <f t="shared" si="142"/>
        <v>316.79403154855652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6.8987316032783644E-2</v>
      </c>
      <c r="AB161" s="23">
        <f>EXP(-LN(2)/2)*AB160+(1-EXP(-LN(2)/2))/(LN(2)/2)*V161*Y161*VLOOKUP('Données projet'!$B$9,Paramètres!$A$1:$I$89,3,0)*0.475*44/12</f>
        <v>1.2744056553495071E-18</v>
      </c>
      <c r="AC161" s="24">
        <f t="shared" si="163"/>
        <v>6.8987316032783644E-2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284.55866349084431</v>
      </c>
      <c r="AN161" s="62">
        <f ca="1">AVERAGE(OFFSET($AM$3,0,0,'Données projet'!$E$10+1,1))-AVERAGE(OFFSET($H$3,0,0,'Données projet'!$E$10+1,1))</f>
        <v>225.71928466161592</v>
      </c>
      <c r="AO161" s="62">
        <f t="shared" si="144"/>
        <v>385.98818770742025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211.70619219850786</v>
      </c>
      <c r="BJ161" s="62">
        <f t="shared" si="146"/>
        <v>426.883837098247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7.831727993912212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1.4419072706176812E-17</v>
      </c>
      <c r="BS161" s="24">
        <f t="shared" si="169"/>
        <v>7.831727993912212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1.9895196601282805E-13</v>
      </c>
      <c r="BZ161" s="14">
        <f>BY161*VLOOKUP('Données projet'!$B$12,Paramètres!$A$1:$I$89,3,0)*VLOOKUP('Données projet'!$B$12,Paramètres!$A$1:$I$89,5,0)</f>
        <v>1.8001173884840681E-13</v>
      </c>
      <c r="CA161" s="14">
        <f t="shared" si="170"/>
        <v>2.5254331426407198E-12</v>
      </c>
      <c r="CB161" s="22">
        <f t="shared" si="171"/>
        <v>4.7119831685935622E-12</v>
      </c>
      <c r="CC161" s="62">
        <f t="shared" si="119"/>
        <v>284.55866349084795</v>
      </c>
      <c r="CD161" s="62">
        <f ca="1">AVERAGE(OFFSET($CC$3,0,0,'Données projet'!$E$12+1,1))-AVERAGE(OFFSET($H$3,0,0,'Données projet'!$E$12+1,1))</f>
        <v>327.07074355218322</v>
      </c>
      <c r="CE161" s="62">
        <f t="shared" si="148"/>
        <v>462.01668587029087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1.0886228230760993</v>
      </c>
      <c r="CL161" s="23">
        <f>EXP(-LN(2)/25)*CL160+(1-EXP(-LN(2)/25))/(LN(2)/25)*Calculateur!CG161*Calculateur!CI161*VLOOKUP('Données projet'!$B$12,Paramètres!$A$1:$I$89,3,0)*0.475*44/12</f>
        <v>9.0181816077417792E-2</v>
      </c>
      <c r="CM161" s="23">
        <f>EXP(-LN(2)/2)*CM160+(1-EXP(-LN(2)/2))/(LN(2)/2)*CG161*CJ161*VLOOKUP('Données projet'!$B$12,Paramètres!$A$1:$I$89,3,0)*0.475*44/12</f>
        <v>3.1957456622974401E-23</v>
      </c>
      <c r="CN161" s="24">
        <f t="shared" si="172"/>
        <v>1.178804639153517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93.836028041880496</v>
      </c>
      <c r="CZ161" s="62">
        <f t="shared" si="150"/>
        <v>465.96044964631358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6.3909092631029587</v>
      </c>
      <c r="DG161" s="23">
        <f>EXP(-LN(2)/25)*DG160+(1-EXP(-LN(2)/25))/(LN(2)/25)*Calculateur!DB161*Calculateur!DD161*VLOOKUP('Données projet'!$B$13,Paramètres!$A$1:$I$89,3,0)*0.475*44/12</f>
        <v>0.52083596563180556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6.9117452287347643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-3.4106051316484809E-13</v>
      </c>
      <c r="DP161" s="18">
        <f>DO161*VLOOKUP('Données projet'!$B$14,Paramètres!$A$1:$I$89,3,0)*VLOOKUP('Données projet'!$B$14,Paramètres!$A$1:$I$89,5,0)</f>
        <v>-2.0395418687257919E-13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386.56102661082468</v>
      </c>
      <c r="DU161" s="62">
        <f t="shared" si="152"/>
        <v>410.28336627719011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1.5431180492431507</v>
      </c>
      <c r="EB161" s="23">
        <f>EXP(-LN(2)/25)*EB160+(1-EXP(-LN(2)/25))/(LN(2)/25)*Calculateur!DW161*Calculateur!DY161*VLOOKUP('Données projet'!$B$14,Paramètres!$A$1:$I$89,3,0)*0.475*44/12</f>
        <v>6.4088722619535507E-2</v>
      </c>
      <c r="EC161" s="23">
        <f>EXP(-LN(2)/2)*EC160+(1-EXP(-LN(2)/2))/(LN(2)/2)*DW161*DZ161*VLOOKUP('Données projet'!$B$14,Paramètres!$A$1:$I$89,3,0)*0.475*44/12</f>
        <v>7.0617017727111553E-19</v>
      </c>
      <c r="ED161" s="24">
        <f t="shared" si="178"/>
        <v>1.6072067718626861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499.92116338695428</v>
      </c>
      <c r="T162" s="62">
        <f t="shared" si="142"/>
        <v>316.79403154855652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6.71008542479819E-2</v>
      </c>
      <c r="AB162" s="23">
        <f>EXP(-LN(2)/2)*AB161+(1-EXP(-LN(2)/2))/(LN(2)/2)*V162*Y162*VLOOKUP('Données projet'!$B$9,Paramètres!$A$1:$I$89,3,0)*0.475*44/12</f>
        <v>9.0114088088012262E-19</v>
      </c>
      <c r="AC162" s="24">
        <f t="shared" si="163"/>
        <v>6.71008542479819E-2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284.71088439538869</v>
      </c>
      <c r="AN162" s="62">
        <f ca="1">AVERAGE(OFFSET($AM$3,0,0,'Données projet'!$E$10+1,1))-AVERAGE(OFFSET($H$3,0,0,'Données projet'!$E$10+1,1))</f>
        <v>225.71928466161592</v>
      </c>
      <c r="AO162" s="62">
        <f t="shared" si="144"/>
        <v>385.98818770742025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211.70619219850786</v>
      </c>
      <c r="BJ162" s="62">
        <f t="shared" si="146"/>
        <v>426.883837098247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7.6781525848339918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1.0195824088959487E-17</v>
      </c>
      <c r="BS162" s="24">
        <f t="shared" si="169"/>
        <v>7.6781525848339918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1.9895196601282805E-13</v>
      </c>
      <c r="BZ162" s="14">
        <f>BY162*VLOOKUP('Données projet'!$B$12,Paramètres!$A$1:$I$89,3,0)*VLOOKUP('Données projet'!$B$12,Paramètres!$A$1:$I$89,5,0)</f>
        <v>1.8001173884840681E-13</v>
      </c>
      <c r="CA162" s="14">
        <f t="shared" si="170"/>
        <v>2.5254331426407198E-12</v>
      </c>
      <c r="CB162" s="22">
        <f t="shared" si="171"/>
        <v>4.7119831685935622E-12</v>
      </c>
      <c r="CC162" s="62">
        <f t="shared" si="119"/>
        <v>284.71088439539233</v>
      </c>
      <c r="CD162" s="62">
        <f ca="1">AVERAGE(OFFSET($CC$3,0,0,'Données projet'!$E$12+1,1))-AVERAGE(OFFSET($H$3,0,0,'Données projet'!$E$12+1,1))</f>
        <v>327.07074355218322</v>
      </c>
      <c r="CE162" s="62">
        <f t="shared" si="148"/>
        <v>462.01668587029087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1.067275593509935</v>
      </c>
      <c r="CL162" s="23">
        <f>EXP(-LN(2)/25)*CL161+(1-EXP(-LN(2)/25))/(LN(2)/25)*Calculateur!CG162*Calculateur!CI162*VLOOKUP('Données projet'!$B$12,Paramètres!$A$1:$I$89,3,0)*0.475*44/12</f>
        <v>8.7715789574325215E-2</v>
      </c>
      <c r="CM162" s="23">
        <f>EXP(-LN(2)/2)*CM161+(1-EXP(-LN(2)/2))/(LN(2)/2)*CG162*CJ162*VLOOKUP('Données projet'!$B$12,Paramètres!$A$1:$I$89,3,0)*0.475*44/12</f>
        <v>2.2597334287580144E-23</v>
      </c>
      <c r="CN162" s="24">
        <f t="shared" si="172"/>
        <v>1.1549913830842602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93.836028041880496</v>
      </c>
      <c r="CZ162" s="62">
        <f t="shared" si="150"/>
        <v>465.96044964631358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6.265587430523258</v>
      </c>
      <c r="DG162" s="23">
        <f>EXP(-LN(2)/25)*DG161+(1-EXP(-LN(2)/25))/(LN(2)/25)*Calculateur!DB162*Calculateur!DD162*VLOOKUP('Données projet'!$B$13,Paramètres!$A$1:$I$89,3,0)*0.475*44/12</f>
        <v>0.50659367876203076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6.772181109285289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-3.4106051316484809E-13</v>
      </c>
      <c r="DP162" s="18">
        <f>DO162*VLOOKUP('Données projet'!$B$14,Paramètres!$A$1:$I$89,3,0)*VLOOKUP('Données projet'!$B$14,Paramètres!$A$1:$I$89,5,0)</f>
        <v>-2.0395418687257919E-13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386.56102661082468</v>
      </c>
      <c r="DU162" s="62">
        <f t="shared" si="152"/>
        <v>410.28336627719011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1.5128584455065659</v>
      </c>
      <c r="EB162" s="23">
        <f>EXP(-LN(2)/25)*EB161+(1-EXP(-LN(2)/25))/(LN(2)/25)*Calculateur!DW162*Calculateur!DY162*VLOOKUP('Données projet'!$B$14,Paramètres!$A$1:$I$89,3,0)*0.475*44/12</f>
        <v>6.2336213129224861E-2</v>
      </c>
      <c r="EC162" s="23">
        <f>EXP(-LN(2)/2)*EC161+(1-EXP(-LN(2)/2))/(LN(2)/2)*DW162*DZ162*VLOOKUP('Données projet'!$B$14,Paramètres!$A$1:$I$89,3,0)*0.475*44/12</f>
        <v>4.9933772102011215E-19</v>
      </c>
      <c r="ED162" s="24">
        <f t="shared" si="178"/>
        <v>1.5751946586357908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499.92116338695428</v>
      </c>
      <c r="T163" s="62">
        <f t="shared" si="142"/>
        <v>316.79403154855652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6.5265977859890273E-2</v>
      </c>
      <c r="AB163" s="23">
        <f>EXP(-LN(2)/2)*AB162+(1-EXP(-LN(2)/2))/(LN(2)/2)*V163*Y163*VLOOKUP('Données projet'!$B$9,Paramètres!$A$1:$I$89,3,0)*0.475*44/12</f>
        <v>6.3720282767475355E-19</v>
      </c>
      <c r="AC163" s="24">
        <f t="shared" si="163"/>
        <v>6.5265977859890273E-2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284.86046460755404</v>
      </c>
      <c r="AN163" s="62">
        <f ca="1">AVERAGE(OFFSET($AM$3,0,0,'Données projet'!$E$10+1,1))-AVERAGE(OFFSET($H$3,0,0,'Données projet'!$E$10+1,1))</f>
        <v>225.71928466161592</v>
      </c>
      <c r="AO163" s="62">
        <f t="shared" si="144"/>
        <v>385.98818770742025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211.70619219850786</v>
      </c>
      <c r="BJ163" s="62">
        <f t="shared" si="146"/>
        <v>426.883837098247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7.5275886958560454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7.2095363530884059E-18</v>
      </c>
      <c r="BS163" s="24">
        <f t="shared" si="169"/>
        <v>7.5275886958560454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1.9895196601282805E-13</v>
      </c>
      <c r="BZ163" s="14">
        <f>BY163*VLOOKUP('Données projet'!$B$12,Paramètres!$A$1:$I$89,3,0)*VLOOKUP('Données projet'!$B$12,Paramètres!$A$1:$I$89,5,0)</f>
        <v>1.8001173884840681E-13</v>
      </c>
      <c r="CA163" s="14">
        <f t="shared" si="170"/>
        <v>2.5254331426407198E-12</v>
      </c>
      <c r="CB163" s="22">
        <f t="shared" si="171"/>
        <v>4.7119831685935622E-12</v>
      </c>
      <c r="CC163" s="62">
        <f t="shared" si="119"/>
        <v>284.86046460755767</v>
      </c>
      <c r="CD163" s="62">
        <f ca="1">AVERAGE(OFFSET($CC$3,0,0,'Données projet'!$E$12+1,1))-AVERAGE(OFFSET($H$3,0,0,'Données projet'!$E$12+1,1))</f>
        <v>327.07074355218322</v>
      </c>
      <c r="CE163" s="62">
        <f t="shared" si="148"/>
        <v>462.01668587029087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1.0463469700950387</v>
      </c>
      <c r="CL163" s="23">
        <f>EXP(-LN(2)/25)*CL162+(1-EXP(-LN(2)/25))/(LN(2)/25)*Calculateur!CG163*Calculateur!CI163*VLOOKUP('Données projet'!$B$12,Paramètres!$A$1:$I$89,3,0)*0.475*44/12</f>
        <v>8.5317196695642389E-2</v>
      </c>
      <c r="CM163" s="23">
        <f>EXP(-LN(2)/2)*CM162+(1-EXP(-LN(2)/2))/(LN(2)/2)*CG163*CJ163*VLOOKUP('Données projet'!$B$12,Paramètres!$A$1:$I$89,3,0)*0.475*44/12</f>
        <v>1.59787283114872E-23</v>
      </c>
      <c r="CN163" s="24">
        <f t="shared" si="172"/>
        <v>1.131664166790681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93.836028041880496</v>
      </c>
      <c r="CZ163" s="62">
        <f t="shared" si="150"/>
        <v>465.96044964631358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6.142723082641675</v>
      </c>
      <c r="DG163" s="23">
        <f>EXP(-LN(2)/25)*DG162+(1-EXP(-LN(2)/25))/(LN(2)/25)*Calculateur!DB163*Calculateur!DD163*VLOOKUP('Données projet'!$B$13,Paramètres!$A$1:$I$89,3,0)*0.475*44/12</f>
        <v>0.4927408479756793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6.6354639306173544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-3.4106051316484809E-13</v>
      </c>
      <c r="DP163" s="18">
        <f>DO163*VLOOKUP('Données projet'!$B$14,Paramètres!$A$1:$I$89,3,0)*VLOOKUP('Données projet'!$B$14,Paramètres!$A$1:$I$89,5,0)</f>
        <v>-2.0395418687257919E-13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386.56102661082468</v>
      </c>
      <c r="DU163" s="62">
        <f t="shared" si="152"/>
        <v>410.28336627719011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1.4831922141427196</v>
      </c>
      <c r="EB163" s="23">
        <f>EXP(-LN(2)/25)*EB162+(1-EXP(-LN(2)/25))/(LN(2)/25)*Calculateur!DW163*Calculateur!DY163*VLOOKUP('Données projet'!$B$14,Paramètres!$A$1:$I$89,3,0)*0.475*44/12</f>
        <v>6.0631626103087227E-2</v>
      </c>
      <c r="EC163" s="23">
        <f>EXP(-LN(2)/2)*EC162+(1-EXP(-LN(2)/2))/(LN(2)/2)*DW163*DZ163*VLOOKUP('Données projet'!$B$14,Paramètres!$A$1:$I$89,3,0)*0.475*44/12</f>
        <v>3.5308508863555776E-19</v>
      </c>
      <c r="ED163" s="24">
        <f t="shared" si="178"/>
        <v>1.5438238402458069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499.92116338695428</v>
      </c>
      <c r="T164" s="62">
        <f t="shared" si="142"/>
        <v>316.79403154855652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6.3481276263122971E-2</v>
      </c>
      <c r="AB164" s="23">
        <f>EXP(-LN(2)/2)*AB163+(1-EXP(-LN(2)/2))/(LN(2)/2)*V164*Y164*VLOOKUP('Données projet'!$B$9,Paramètres!$A$1:$I$89,3,0)*0.475*44/12</f>
        <v>4.5057044044006131E-19</v>
      </c>
      <c r="AC164" s="24">
        <f t="shared" si="163"/>
        <v>6.3481276263122971E-2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285.00744993744968</v>
      </c>
      <c r="AN164" s="62">
        <f ca="1">AVERAGE(OFFSET($AM$3,0,0,'Données projet'!$E$10+1,1))-AVERAGE(OFFSET($H$3,0,0,'Données projet'!$E$10+1,1))</f>
        <v>225.71928466161592</v>
      </c>
      <c r="AO164" s="62">
        <f t="shared" si="144"/>
        <v>385.98818770742025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211.70619219850786</v>
      </c>
      <c r="BJ164" s="62">
        <f t="shared" si="146"/>
        <v>426.883837098247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7.3799772729060518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5.0979120444797434E-18</v>
      </c>
      <c r="BS164" s="24">
        <f t="shared" si="169"/>
        <v>7.3799772729060518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1.9895196601282805E-13</v>
      </c>
      <c r="BZ164" s="14">
        <f>BY164*VLOOKUP('Données projet'!$B$12,Paramètres!$A$1:$I$89,3,0)*VLOOKUP('Données projet'!$B$12,Paramètres!$A$1:$I$89,5,0)</f>
        <v>1.8001173884840681E-13</v>
      </c>
      <c r="CA164" s="14">
        <f t="shared" si="170"/>
        <v>2.5254331426407198E-12</v>
      </c>
      <c r="CB164" s="22">
        <f t="shared" si="171"/>
        <v>4.7119831685935622E-12</v>
      </c>
      <c r="CC164" s="62">
        <f t="shared" si="119"/>
        <v>285.00744993745332</v>
      </c>
      <c r="CD164" s="62">
        <f ca="1">AVERAGE(OFFSET($CC$3,0,0,'Données projet'!$E$12+1,1))-AVERAGE(OFFSET($H$3,0,0,'Données projet'!$E$12+1,1))</f>
        <v>327.07074355218322</v>
      </c>
      <c r="CE164" s="62">
        <f t="shared" si="148"/>
        <v>462.01668587029087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1.0258287442201088</v>
      </c>
      <c r="CL164" s="23">
        <f>EXP(-LN(2)/25)*CL163+(1-EXP(-LN(2)/25))/(LN(2)/25)*Calculateur!CG164*Calculateur!CI164*VLOOKUP('Données projet'!$B$12,Paramètres!$A$1:$I$89,3,0)*0.475*44/12</f>
        <v>8.2984193465363662E-2</v>
      </c>
      <c r="CM164" s="23">
        <f>EXP(-LN(2)/2)*CM163+(1-EXP(-LN(2)/2))/(LN(2)/2)*CG164*CJ164*VLOOKUP('Données projet'!$B$12,Paramètres!$A$1:$I$89,3,0)*0.475*44/12</f>
        <v>1.1298667143790072E-23</v>
      </c>
      <c r="CN164" s="24">
        <f t="shared" si="172"/>
        <v>1.1088129376854725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93.836028041880496</v>
      </c>
      <c r="CZ164" s="62">
        <f t="shared" si="150"/>
        <v>465.96044964631358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6.0222680296821975</v>
      </c>
      <c r="DG164" s="23">
        <f>EXP(-LN(2)/25)*DG163+(1-EXP(-LN(2)/25))/(LN(2)/25)*Calculateur!DB164*Calculateur!DD164*VLOOKUP('Données projet'!$B$13,Paramètres!$A$1:$I$89,3,0)*0.475*44/12</f>
        <v>0.4792668235756693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6.5015348532578665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-3.4106051316484809E-13</v>
      </c>
      <c r="DP164" s="18">
        <f>DO164*VLOOKUP('Données projet'!$B$14,Paramètres!$A$1:$I$89,3,0)*VLOOKUP('Données projet'!$B$14,Paramètres!$A$1:$I$89,5,0)</f>
        <v>-2.0395418687257919E-13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386.56102661082468</v>
      </c>
      <c r="DU164" s="62">
        <f t="shared" si="152"/>
        <v>410.28336627719011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1.4541077194813039</v>
      </c>
      <c r="EB164" s="23">
        <f>EXP(-LN(2)/25)*EB163+(1-EXP(-LN(2)/25))/(LN(2)/25)*Calculateur!DW164*Calculateur!DY164*VLOOKUP('Données projet'!$B$14,Paramètres!$A$1:$I$89,3,0)*0.475*44/12</f>
        <v>5.8973651098819663E-2</v>
      </c>
      <c r="EC164" s="23">
        <f>EXP(-LN(2)/2)*EC163+(1-EXP(-LN(2)/2))/(LN(2)/2)*DW164*DZ164*VLOOKUP('Données projet'!$B$14,Paramètres!$A$1:$I$89,3,0)*0.475*44/12</f>
        <v>2.4966886051005608E-19</v>
      </c>
      <c r="ED164" s="24">
        <f t="shared" si="178"/>
        <v>1.5130813705801236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499.92116338695428</v>
      </c>
      <c r="T165" s="62">
        <f t="shared" si="142"/>
        <v>316.79403154855652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6.1745377425372644E-2</v>
      </c>
      <c r="AB165" s="23">
        <f>EXP(-LN(2)/2)*AB164+(1-EXP(-LN(2)/2))/(LN(2)/2)*V165*Y165*VLOOKUP('Données projet'!$B$9,Paramètres!$A$1:$I$89,3,0)*0.475*44/12</f>
        <v>3.1860141383737678E-19</v>
      </c>
      <c r="AC165" s="24">
        <f t="shared" si="163"/>
        <v>6.1745377425372644E-2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285.15188540048155</v>
      </c>
      <c r="AN165" s="62">
        <f ca="1">AVERAGE(OFFSET($AM$3,0,0,'Données projet'!$E$10+1,1))-AVERAGE(OFFSET($H$3,0,0,'Données projet'!$E$10+1,1))</f>
        <v>225.71928466161592</v>
      </c>
      <c r="AO165" s="62">
        <f t="shared" si="144"/>
        <v>385.98818770742025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211.70619219850786</v>
      </c>
      <c r="BJ165" s="62">
        <f t="shared" si="146"/>
        <v>426.883837098247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7.2352604199260302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3.604768176544203E-18</v>
      </c>
      <c r="BS165" s="24">
        <f t="shared" si="169"/>
        <v>7.2352604199260302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1.9895196601282805E-13</v>
      </c>
      <c r="BZ165" s="14">
        <f>BY165*VLOOKUP('Données projet'!$B$12,Paramètres!$A$1:$I$89,3,0)*VLOOKUP('Données projet'!$B$12,Paramètres!$A$1:$I$89,5,0)</f>
        <v>1.8001173884840681E-13</v>
      </c>
      <c r="CA165" s="14">
        <f t="shared" si="170"/>
        <v>2.5254331426407198E-12</v>
      </c>
      <c r="CB165" s="22">
        <f t="shared" si="171"/>
        <v>4.7119831685935622E-12</v>
      </c>
      <c r="CC165" s="62">
        <f t="shared" si="119"/>
        <v>285.15188540048518</v>
      </c>
      <c r="CD165" s="62">
        <f ca="1">AVERAGE(OFFSET($CC$3,0,0,'Données projet'!$E$12+1,1))-AVERAGE(OFFSET($H$3,0,0,'Données projet'!$E$12+1,1))</f>
        <v>327.07074355218322</v>
      </c>
      <c r="CE165" s="62">
        <f t="shared" si="148"/>
        <v>462.01668587029087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1.0057128682397043</v>
      </c>
      <c r="CL165" s="23">
        <f>EXP(-LN(2)/25)*CL164+(1-EXP(-LN(2)/25))/(LN(2)/25)*Calculateur!CG165*Calculateur!CI165*VLOOKUP('Données projet'!$B$12,Paramètres!$A$1:$I$89,3,0)*0.475*44/12</f>
        <v>8.0714986331104216E-2</v>
      </c>
      <c r="CM165" s="23">
        <f>EXP(-LN(2)/2)*CM164+(1-EXP(-LN(2)/2))/(LN(2)/2)*CG165*CJ165*VLOOKUP('Données projet'!$B$12,Paramètres!$A$1:$I$89,3,0)*0.475*44/12</f>
        <v>7.9893641557436002E-24</v>
      </c>
      <c r="CN165" s="24">
        <f t="shared" si="172"/>
        <v>1.0864278545708086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93.836028041880496</v>
      </c>
      <c r="CZ165" s="62">
        <f t="shared" si="150"/>
        <v>465.96044964631358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5.9041750268409272</v>
      </c>
      <c r="DG165" s="23">
        <f>EXP(-LN(2)/25)*DG164+(1-EXP(-LN(2)/25))/(LN(2)/25)*Calculateur!DB165*Calculateur!DD165*VLOOKUP('Données projet'!$B$13,Paramètres!$A$1:$I$89,3,0)*0.475*44/12</f>
        <v>0.46616124708144574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6.3703362739223728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-3.4106051316484809E-13</v>
      </c>
      <c r="DP165" s="18">
        <f>DO165*VLOOKUP('Données projet'!$B$14,Paramètres!$A$1:$I$89,3,0)*VLOOKUP('Données projet'!$B$14,Paramètres!$A$1:$I$89,5,0)</f>
        <v>-2.0395418687257919E-13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386.56102661082468</v>
      </c>
      <c r="DU165" s="62">
        <f t="shared" si="152"/>
        <v>410.28336627719011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1.4255935540204085</v>
      </c>
      <c r="EB165" s="23">
        <f>EXP(-LN(2)/25)*EB164+(1-EXP(-LN(2)/25))/(LN(2)/25)*Calculateur!DW165*Calculateur!DY165*VLOOKUP('Données projet'!$B$14,Paramètres!$A$1:$I$89,3,0)*0.475*44/12</f>
        <v>5.7361013508232916E-2</v>
      </c>
      <c r="EC165" s="23">
        <f>EXP(-LN(2)/2)*EC164+(1-EXP(-LN(2)/2))/(LN(2)/2)*DW165*DZ165*VLOOKUP('Données projet'!$B$14,Paramètres!$A$1:$I$89,3,0)*0.475*44/12</f>
        <v>1.7654254431777888E-19</v>
      </c>
      <c r="ED165" s="24">
        <f t="shared" si="178"/>
        <v>1.4829545675286415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499.92116338695428</v>
      </c>
      <c r="T166" s="62">
        <f t="shared" si="142"/>
        <v>316.79403154855652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6.005694683262755E-2</v>
      </c>
      <c r="AB166" s="23">
        <f>EXP(-LN(2)/2)*AB165+(1-EXP(-LN(2)/2))/(LN(2)/2)*V166*Y166*VLOOKUP('Données projet'!$B$9,Paramètres!$A$1:$I$89,3,0)*0.475*44/12</f>
        <v>2.2528522022003066E-19</v>
      </c>
      <c r="AC166" s="24">
        <f t="shared" si="163"/>
        <v>6.005694683262755E-2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285.29381523113915</v>
      </c>
      <c r="AN166" s="62">
        <f ca="1">AVERAGE(OFFSET($AM$3,0,0,'Données projet'!$E$10+1,1))-AVERAGE(OFFSET($H$3,0,0,'Données projet'!$E$10+1,1))</f>
        <v>225.71928466161592</v>
      </c>
      <c r="AO166" s="62">
        <f t="shared" si="144"/>
        <v>385.98818770742025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211.70619219850786</v>
      </c>
      <c r="BJ166" s="62">
        <f t="shared" si="146"/>
        <v>426.883837098247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7.0933813761643822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2.5489560222398717E-18</v>
      </c>
      <c r="BS166" s="24">
        <f t="shared" si="169"/>
        <v>7.0933813761643822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1.9895196601282805E-13</v>
      </c>
      <c r="BZ166" s="14">
        <f>BY166*VLOOKUP('Données projet'!$B$12,Paramètres!$A$1:$I$89,3,0)*VLOOKUP('Données projet'!$B$12,Paramètres!$A$1:$I$89,5,0)</f>
        <v>1.8001173884840681E-13</v>
      </c>
      <c r="CA166" s="14">
        <f t="shared" si="170"/>
        <v>2.5254331426407198E-12</v>
      </c>
      <c r="CB166" s="22">
        <f t="shared" si="171"/>
        <v>4.7119831685935622E-12</v>
      </c>
      <c r="CC166" s="62">
        <f t="shared" si="119"/>
        <v>285.29381523114279</v>
      </c>
      <c r="CD166" s="62">
        <f ca="1">AVERAGE(OFFSET($CC$3,0,0,'Données projet'!$E$12+1,1))-AVERAGE(OFFSET($H$3,0,0,'Données projet'!$E$12+1,1))</f>
        <v>327.07074355218322</v>
      </c>
      <c r="CE166" s="62">
        <f t="shared" si="148"/>
        <v>462.01668587029087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0.98599145231780272</v>
      </c>
      <c r="CL166" s="23">
        <f>EXP(-LN(2)/25)*CL165+(1-EXP(-LN(2)/25))/(LN(2)/25)*Calculateur!CG166*Calculateur!CI166*VLOOKUP('Données projet'!$B$12,Paramètres!$A$1:$I$89,3,0)*0.475*44/12</f>
        <v>7.8507830785263522E-2</v>
      </c>
      <c r="CM166" s="23">
        <f>EXP(-LN(2)/2)*CM165+(1-EXP(-LN(2)/2))/(LN(2)/2)*CG166*CJ166*VLOOKUP('Données projet'!$B$12,Paramètres!$A$1:$I$89,3,0)*0.475*44/12</f>
        <v>5.6493335718950359E-24</v>
      </c>
      <c r="CN166" s="24">
        <f t="shared" si="172"/>
        <v>1.0644992831030662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93.836028041880496</v>
      </c>
      <c r="CZ166" s="62">
        <f t="shared" si="150"/>
        <v>465.96044964631358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5.7883977557557547</v>
      </c>
      <c r="DG166" s="23">
        <f>EXP(-LN(2)/25)*DG165+(1-EXP(-LN(2)/25))/(LN(2)/25)*Calculateur!DB166*Calculateur!DD166*VLOOKUP('Données projet'!$B$13,Paramètres!$A$1:$I$89,3,0)*0.475*44/12</f>
        <v>0.45341404326564905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6.2418117990214039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-3.4106051316484809E-13</v>
      </c>
      <c r="DP166" s="18">
        <f>DO166*VLOOKUP('Données projet'!$B$14,Paramètres!$A$1:$I$89,3,0)*VLOOKUP('Données projet'!$B$14,Paramètres!$A$1:$I$89,5,0)</f>
        <v>-2.0395418687257919E-13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386.56102661082468</v>
      </c>
      <c r="DU166" s="62">
        <f t="shared" si="152"/>
        <v>410.28336627719011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1.3976385339522777</v>
      </c>
      <c r="EB166" s="23">
        <f>EXP(-LN(2)/25)*EB165+(1-EXP(-LN(2)/25))/(LN(2)/25)*Calculateur!DW166*Calculateur!DY166*VLOOKUP('Données projet'!$B$14,Paramètres!$A$1:$I$89,3,0)*0.475*44/12</f>
        <v>5.5792473577365685E-2</v>
      </c>
      <c r="EC166" s="23">
        <f>EXP(-LN(2)/2)*EC165+(1-EXP(-LN(2)/2))/(LN(2)/2)*DW166*DZ166*VLOOKUP('Données projet'!$B$14,Paramètres!$A$1:$I$89,3,0)*0.475*44/12</f>
        <v>1.2483443025502804E-19</v>
      </c>
      <c r="ED166" s="24">
        <f t="shared" si="178"/>
        <v>1.4534310075296433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499.92116338695428</v>
      </c>
      <c r="T167" s="62">
        <f t="shared" si="142"/>
        <v>316.79403154855652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5.841468646323178E-2</v>
      </c>
      <c r="AB167" s="23">
        <f>EXP(-LN(2)/2)*AB166+(1-EXP(-LN(2)/2))/(LN(2)/2)*V167*Y167*VLOOKUP('Données projet'!$B$9,Paramètres!$A$1:$I$89,3,0)*0.475*44/12</f>
        <v>1.5930070691868839E-19</v>
      </c>
      <c r="AC167" s="24">
        <f t="shared" si="163"/>
        <v>5.841468646323178E-2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285.43328289654244</v>
      </c>
      <c r="AN167" s="62">
        <f ca="1">AVERAGE(OFFSET($AM$3,0,0,'Données projet'!$E$10+1,1))-AVERAGE(OFFSET($H$3,0,0,'Données projet'!$E$10+1,1))</f>
        <v>225.71928466161592</v>
      </c>
      <c r="AO167" s="62">
        <f t="shared" si="144"/>
        <v>385.98818770742025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211.70619219850786</v>
      </c>
      <c r="BJ167" s="62">
        <f t="shared" si="146"/>
        <v>426.883837098247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6.954284493913228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1.8023840882721015E-18</v>
      </c>
      <c r="BS167" s="24">
        <f t="shared" si="169"/>
        <v>6.954284493913228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1.9895196601282805E-13</v>
      </c>
      <c r="BZ167" s="14">
        <f>BY167*VLOOKUP('Données projet'!$B$12,Paramètres!$A$1:$I$89,3,0)*VLOOKUP('Données projet'!$B$12,Paramètres!$A$1:$I$89,5,0)</f>
        <v>1.8001173884840681E-13</v>
      </c>
      <c r="CA167" s="14">
        <f t="shared" si="170"/>
        <v>2.5254331426407198E-12</v>
      </c>
      <c r="CB167" s="22">
        <f t="shared" si="171"/>
        <v>4.7119831685935622E-12</v>
      </c>
      <c r="CC167" s="62">
        <f t="shared" si="119"/>
        <v>285.43328289654607</v>
      </c>
      <c r="CD167" s="62">
        <f ca="1">AVERAGE(OFFSET($CC$3,0,0,'Données projet'!$E$12+1,1))-AVERAGE(OFFSET($H$3,0,0,'Données projet'!$E$12+1,1))</f>
        <v>327.07074355218322</v>
      </c>
      <c r="CE167" s="62">
        <f t="shared" si="148"/>
        <v>462.01668587029087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0.96665676133325362</v>
      </c>
      <c r="CL167" s="23">
        <f>EXP(-LN(2)/25)*CL166+(1-EXP(-LN(2)/25))/(LN(2)/25)*Calculateur!CG167*Calculateur!CI167*VLOOKUP('Données projet'!$B$12,Paramètres!$A$1:$I$89,3,0)*0.475*44/12</f>
        <v>7.6361030023893106E-2</v>
      </c>
      <c r="CM167" s="23">
        <f>EXP(-LN(2)/2)*CM166+(1-EXP(-LN(2)/2))/(LN(2)/2)*CG167*CJ167*VLOOKUP('Données projet'!$B$12,Paramètres!$A$1:$I$89,3,0)*0.475*44/12</f>
        <v>3.9946820778718001E-24</v>
      </c>
      <c r="CN167" s="24">
        <f t="shared" si="172"/>
        <v>1.0430177913571468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93.836028041880496</v>
      </c>
      <c r="CZ167" s="62">
        <f t="shared" si="150"/>
        <v>465.96044964631358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5.6748908063394001</v>
      </c>
      <c r="DG167" s="23">
        <f>EXP(-LN(2)/25)*DG166+(1-EXP(-LN(2)/25))/(LN(2)/25)*Calculateur!DB167*Calculateur!DD167*VLOOKUP('Données projet'!$B$13,Paramètres!$A$1:$I$89,3,0)*0.475*44/12</f>
        <v>0.44101541240854164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6.1159062187479414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-3.4106051316484809E-13</v>
      </c>
      <c r="DP167" s="18">
        <f>DO167*VLOOKUP('Données projet'!$B$14,Paramètres!$A$1:$I$89,3,0)*VLOOKUP('Données projet'!$B$14,Paramètres!$A$1:$I$89,5,0)</f>
        <v>-2.0395418687257919E-13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386.56102661082468</v>
      </c>
      <c r="DU167" s="62">
        <f t="shared" si="152"/>
        <v>410.28336627719011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1.3702316947768043</v>
      </c>
      <c r="EB167" s="23">
        <f>EXP(-LN(2)/25)*EB166+(1-EXP(-LN(2)/25))/(LN(2)/25)*Calculateur!DW167*Calculateur!DY167*VLOOKUP('Données projet'!$B$14,Paramètres!$A$1:$I$89,3,0)*0.475*44/12</f>
        <v>5.4266825453393952E-2</v>
      </c>
      <c r="EC167" s="23">
        <f>EXP(-LN(2)/2)*EC166+(1-EXP(-LN(2)/2))/(LN(2)/2)*DW167*DZ167*VLOOKUP('Données projet'!$B$14,Paramètres!$A$1:$I$89,3,0)*0.475*44/12</f>
        <v>8.8271272158889441E-20</v>
      </c>
      <c r="ED167" s="24">
        <f t="shared" si="178"/>
        <v>1.4244985202301983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499.92116338695428</v>
      </c>
      <c r="T168" s="62">
        <f t="shared" si="142"/>
        <v>316.79403154855652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5.6817333789999855E-2</v>
      </c>
      <c r="AB168" s="23">
        <f>EXP(-LN(2)/2)*AB167+(1-EXP(-LN(2)/2))/(LN(2)/2)*V168*Y168*VLOOKUP('Données projet'!$B$9,Paramètres!$A$1:$I$89,3,0)*0.475*44/12</f>
        <v>1.1264261011001533E-19</v>
      </c>
      <c r="AC168" s="24">
        <f t="shared" si="163"/>
        <v>5.6817333789999855E-2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285.57033110975391</v>
      </c>
      <c r="AN168" s="62">
        <f ca="1">AVERAGE(OFFSET($AM$3,0,0,'Données projet'!$E$10+1,1))-AVERAGE(OFFSET($H$3,0,0,'Données projet'!$E$10+1,1))</f>
        <v>225.71928466161592</v>
      </c>
      <c r="AO168" s="62">
        <f t="shared" si="144"/>
        <v>385.98818770742025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211.70619219850786</v>
      </c>
      <c r="BJ168" s="62">
        <f t="shared" si="146"/>
        <v>426.883837098247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6.8179152166822981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1.2744780111199358E-18</v>
      </c>
      <c r="BS168" s="24">
        <f t="shared" si="169"/>
        <v>6.8179152166822981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1.9895196601282805E-13</v>
      </c>
      <c r="BZ168" s="14">
        <f>BY168*VLOOKUP('Données projet'!$B$12,Paramètres!$A$1:$I$89,3,0)*VLOOKUP('Données projet'!$B$12,Paramètres!$A$1:$I$89,5,0)</f>
        <v>1.8001173884840681E-13</v>
      </c>
      <c r="CA168" s="14">
        <f t="shared" si="170"/>
        <v>2.5254331426407198E-12</v>
      </c>
      <c r="CB168" s="22">
        <f t="shared" si="171"/>
        <v>4.7119831685935622E-12</v>
      </c>
      <c r="CC168" s="62">
        <f t="shared" si="119"/>
        <v>285.57033110975755</v>
      </c>
      <c r="CD168" s="62">
        <f ca="1">AVERAGE(OFFSET($CC$3,0,0,'Données projet'!$E$12+1,1))-AVERAGE(OFFSET($H$3,0,0,'Données projet'!$E$12+1,1))</f>
        <v>327.07074355218322</v>
      </c>
      <c r="CE168" s="62">
        <f t="shared" si="148"/>
        <v>462.01668587029087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0.94770121184591449</v>
      </c>
      <c r="CL168" s="23">
        <f>EXP(-LN(2)/25)*CL167+(1-EXP(-LN(2)/25))/(LN(2)/25)*Calculateur!CG168*Calculateur!CI168*VLOOKUP('Données projet'!$B$12,Paramètres!$A$1:$I$89,3,0)*0.475*44/12</f>
        <v>7.4272933642237707E-2</v>
      </c>
      <c r="CM168" s="23">
        <f>EXP(-LN(2)/2)*CM167+(1-EXP(-LN(2)/2))/(LN(2)/2)*CG168*CJ168*VLOOKUP('Données projet'!$B$12,Paramètres!$A$1:$I$89,3,0)*0.475*44/12</f>
        <v>2.824666785947518E-24</v>
      </c>
      <c r="CN168" s="24">
        <f t="shared" si="172"/>
        <v>1.0219741454881521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93.836028041880496</v>
      </c>
      <c r="CZ168" s="62">
        <f t="shared" si="150"/>
        <v>465.96044964631358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5.563609658968697</v>
      </c>
      <c r="DG168" s="23">
        <f>EXP(-LN(2)/25)*DG167+(1-EXP(-LN(2)/25))/(LN(2)/25)*Calculateur!DB168*Calculateur!DD168*VLOOKUP('Données projet'!$B$13,Paramètres!$A$1:$I$89,3,0)*0.475*44/12</f>
        <v>0.42895582276423749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5.9925654817329344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-3.4106051316484809E-13</v>
      </c>
      <c r="DP168" s="18">
        <f>DO168*VLOOKUP('Données projet'!$B$14,Paramètres!$A$1:$I$89,3,0)*VLOOKUP('Données projet'!$B$14,Paramètres!$A$1:$I$89,5,0)</f>
        <v>-2.0395418687257919E-13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386.56102661082468</v>
      </c>
      <c r="DU168" s="62">
        <f t="shared" si="152"/>
        <v>410.28336627719011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1.3433622870010407</v>
      </c>
      <c r="EB168" s="23">
        <f>EXP(-LN(2)/25)*EB167+(1-EXP(-LN(2)/25))/(LN(2)/25)*Calculateur!DW168*Calculateur!DY168*VLOOKUP('Données projet'!$B$14,Paramètres!$A$1:$I$89,3,0)*0.475*44/12</f>
        <v>5.2782896257602574E-2</v>
      </c>
      <c r="EC168" s="23">
        <f>EXP(-LN(2)/2)*EC167+(1-EXP(-LN(2)/2))/(LN(2)/2)*DW168*DZ168*VLOOKUP('Données projet'!$B$14,Paramètres!$A$1:$I$89,3,0)*0.475*44/12</f>
        <v>6.2417215127514019E-20</v>
      </c>
      <c r="ED168" s="24">
        <f t="shared" si="178"/>
        <v>1.3961451832586431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499.92116338695428</v>
      </c>
      <c r="T169" s="62">
        <f t="shared" si="142"/>
        <v>316.79403154855652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5.526366080961858E-2</v>
      </c>
      <c r="AB169" s="23">
        <f>EXP(-LN(2)/2)*AB168+(1-EXP(-LN(2)/2))/(LN(2)/2)*V169*Y169*VLOOKUP('Données projet'!$B$9,Paramètres!$A$1:$I$89,3,0)*0.475*44/12</f>
        <v>7.9650353459344194E-20</v>
      </c>
      <c r="AC169" s="24">
        <f t="shared" si="163"/>
        <v>5.526366080961858E-2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285.7050018428601</v>
      </c>
      <c r="AN169" s="62">
        <f ca="1">AVERAGE(OFFSET($AM$3,0,0,'Données projet'!$E$10+1,1))-AVERAGE(OFFSET($H$3,0,0,'Données projet'!$E$10+1,1))</f>
        <v>225.71928466161592</v>
      </c>
      <c r="AO169" s="62">
        <f t="shared" si="144"/>
        <v>385.98818770742025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211.70619219850786</v>
      </c>
      <c r="BJ169" s="62">
        <f t="shared" si="146"/>
        <v>426.883837098247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6.6842200578008208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9.0119204413605074E-19</v>
      </c>
      <c r="BS169" s="24">
        <f t="shared" si="169"/>
        <v>6.6842200578008208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1.9895196601282805E-13</v>
      </c>
      <c r="BZ169" s="14">
        <f>BY169*VLOOKUP('Données projet'!$B$12,Paramètres!$A$1:$I$89,3,0)*VLOOKUP('Données projet'!$B$12,Paramètres!$A$1:$I$89,5,0)</f>
        <v>1.8001173884840681E-13</v>
      </c>
      <c r="CA169" s="14">
        <f t="shared" si="170"/>
        <v>2.5254331426407198E-12</v>
      </c>
      <c r="CB169" s="22">
        <f t="shared" si="171"/>
        <v>4.7119831685935622E-12</v>
      </c>
      <c r="CC169" s="62">
        <f t="shared" si="119"/>
        <v>285.70500184286374</v>
      </c>
      <c r="CD169" s="62">
        <f ca="1">AVERAGE(OFFSET($CC$3,0,0,'Données projet'!$E$12+1,1))-AVERAGE(OFFSET($H$3,0,0,'Données projet'!$E$12+1,1))</f>
        <v>327.07074355218322</v>
      </c>
      <c r="CE169" s="62">
        <f t="shared" si="148"/>
        <v>462.01668587029087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0.9291173691222786</v>
      </c>
      <c r="CL169" s="23">
        <f>EXP(-LN(2)/25)*CL168+(1-EXP(-LN(2)/25))/(LN(2)/25)*Calculateur!CG169*Calculateur!CI169*VLOOKUP('Données projet'!$B$12,Paramètres!$A$1:$I$89,3,0)*0.475*44/12</f>
        <v>7.224193636594689E-2</v>
      </c>
      <c r="CM169" s="23">
        <f>EXP(-LN(2)/2)*CM168+(1-EXP(-LN(2)/2))/(LN(2)/2)*CG169*CJ169*VLOOKUP('Données projet'!$B$12,Paramètres!$A$1:$I$89,3,0)*0.475*44/12</f>
        <v>1.9973410389359E-24</v>
      </c>
      <c r="CN169" s="24">
        <f t="shared" si="172"/>
        <v>1.0013593054882255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93.836028041880496</v>
      </c>
      <c r="CZ169" s="62">
        <f t="shared" si="150"/>
        <v>465.96044964631358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5.4545106670231354</v>
      </c>
      <c r="DG169" s="23">
        <f>EXP(-LN(2)/25)*DG168+(1-EXP(-LN(2)/25))/(LN(2)/25)*Calculateur!DB169*Calculateur!DD169*VLOOKUP('Données projet'!$B$13,Paramètres!$A$1:$I$89,3,0)*0.475*44/12</f>
        <v>0.41722600323294307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5.8717366702560785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-3.4106051316484809E-13</v>
      </c>
      <c r="DP169" s="18">
        <f>DO169*VLOOKUP('Données projet'!$B$14,Paramètres!$A$1:$I$89,3,0)*VLOOKUP('Données projet'!$B$14,Paramètres!$A$1:$I$89,5,0)</f>
        <v>-2.0395418687257919E-13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386.56102661082468</v>
      </c>
      <c r="DU169" s="62">
        <f t="shared" si="152"/>
        <v>410.28336627719011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1.3170197719230392</v>
      </c>
      <c r="EB169" s="23">
        <f>EXP(-LN(2)/25)*EB168+(1-EXP(-LN(2)/25))/(LN(2)/25)*Calculateur!DW169*Calculateur!DY169*VLOOKUP('Données projet'!$B$14,Paramètres!$A$1:$I$89,3,0)*0.475*44/12</f>
        <v>5.1339545183706557E-2</v>
      </c>
      <c r="EC169" s="23">
        <f>EXP(-LN(2)/2)*EC168+(1-EXP(-LN(2)/2))/(LN(2)/2)*DW169*DZ169*VLOOKUP('Données projet'!$B$14,Paramètres!$A$1:$I$89,3,0)*0.475*44/12</f>
        <v>4.4135636079444721E-20</v>
      </c>
      <c r="ED169" s="24">
        <f t="shared" si="178"/>
        <v>1.3683593171067459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499.92116338695428</v>
      </c>
      <c r="T170" s="62">
        <f t="shared" si="142"/>
        <v>316.79403154855652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5.3752473098589944E-2</v>
      </c>
      <c r="AB170" s="23">
        <f>EXP(-LN(2)/2)*AB169+(1-EXP(-LN(2)/2))/(LN(2)/2)*V170*Y170*VLOOKUP('Données projet'!$B$9,Paramètres!$A$1:$I$89,3,0)*0.475*44/12</f>
        <v>5.6321305055007664E-20</v>
      </c>
      <c r="AC170" s="24">
        <f t="shared" si="163"/>
        <v>5.3752473098589944E-2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285.83733633982558</v>
      </c>
      <c r="AN170" s="62">
        <f ca="1">AVERAGE(OFFSET($AM$3,0,0,'Données projet'!$E$10+1,1))-AVERAGE(OFFSET($H$3,0,0,'Données projet'!$E$10+1,1))</f>
        <v>225.71928466161592</v>
      </c>
      <c r="AO170" s="62">
        <f t="shared" si="144"/>
        <v>385.98818770742025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211.70619219850786</v>
      </c>
      <c r="BJ170" s="62">
        <f t="shared" si="146"/>
        <v>426.883837098247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6.5531465794390149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6.3723900555996792E-19</v>
      </c>
      <c r="BS170" s="24">
        <f t="shared" si="169"/>
        <v>6.5531465794390149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1.9895196601282805E-13</v>
      </c>
      <c r="BZ170" s="14">
        <f>BY170*VLOOKUP('Données projet'!$B$12,Paramètres!$A$1:$I$89,3,0)*VLOOKUP('Données projet'!$B$12,Paramètres!$A$1:$I$89,5,0)</f>
        <v>1.8001173884840681E-13</v>
      </c>
      <c r="CA170" s="14">
        <f t="shared" si="170"/>
        <v>2.5254331426407198E-12</v>
      </c>
      <c r="CB170" s="22">
        <f t="shared" si="171"/>
        <v>4.7119831685935622E-12</v>
      </c>
      <c r="CC170" s="62">
        <f t="shared" si="119"/>
        <v>285.83733633982922</v>
      </c>
      <c r="CD170" s="62">
        <f ca="1">AVERAGE(OFFSET($CC$3,0,0,'Données projet'!$E$12+1,1))-AVERAGE(OFFSET($H$3,0,0,'Données projet'!$E$12+1,1))</f>
        <v>327.07074355218322</v>
      </c>
      <c r="CE170" s="62">
        <f t="shared" si="148"/>
        <v>462.01668587029087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0.91089794421942838</v>
      </c>
      <c r="CL170" s="23">
        <f>EXP(-LN(2)/25)*CL169+(1-EXP(-LN(2)/25))/(LN(2)/25)*Calculateur!CG170*Calculateur!CI170*VLOOKUP('Données projet'!$B$12,Paramètres!$A$1:$I$89,3,0)*0.475*44/12</f>
        <v>7.0266476816981754E-2</v>
      </c>
      <c r="CM170" s="23">
        <f>EXP(-LN(2)/2)*CM169+(1-EXP(-LN(2)/2))/(LN(2)/2)*CG170*CJ170*VLOOKUP('Données projet'!$B$12,Paramètres!$A$1:$I$89,3,0)*0.475*44/12</f>
        <v>1.412333392973759E-24</v>
      </c>
      <c r="CN170" s="24">
        <f t="shared" si="172"/>
        <v>0.98116442103641011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93.836028041880496</v>
      </c>
      <c r="CZ170" s="62">
        <f t="shared" si="150"/>
        <v>465.96044964631358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5.3475510397658121</v>
      </c>
      <c r="DG170" s="23">
        <f>EXP(-LN(2)/25)*DG169+(1-EXP(-LN(2)/25))/(LN(2)/25)*Calculateur!DB170*Calculateur!DD170*VLOOKUP('Données projet'!$B$13,Paramètres!$A$1:$I$89,3,0)*0.475*44/12</f>
        <v>0.40581693623357629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5.7533679759993888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-3.4106051316484809E-13</v>
      </c>
      <c r="DP170" s="18">
        <f>DO170*VLOOKUP('Données projet'!$B$14,Paramètres!$A$1:$I$89,3,0)*VLOOKUP('Données projet'!$B$14,Paramètres!$A$1:$I$89,5,0)</f>
        <v>-2.0395418687257919E-13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386.56102661082468</v>
      </c>
      <c r="DU170" s="62">
        <f t="shared" si="152"/>
        <v>410.28336627719011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1.2911938174983697</v>
      </c>
      <c r="EB170" s="23">
        <f>EXP(-LN(2)/25)*EB169+(1-EXP(-LN(2)/25))/(LN(2)/25)*Calculateur!DW170*Calculateur!DY170*VLOOKUP('Données projet'!$B$14,Paramètres!$A$1:$I$89,3,0)*0.475*44/12</f>
        <v>4.9935662620828755E-2</v>
      </c>
      <c r="EC170" s="23">
        <f>EXP(-LN(2)/2)*EC169+(1-EXP(-LN(2)/2))/(LN(2)/2)*DW170*DZ170*VLOOKUP('Données projet'!$B$14,Paramètres!$A$1:$I$89,3,0)*0.475*44/12</f>
        <v>3.120860756375701E-20</v>
      </c>
      <c r="ED170" s="24">
        <f t="shared" si="178"/>
        <v>1.3411294801191984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499.92116338695428</v>
      </c>
      <c r="T171" s="62">
        <f t="shared" si="142"/>
        <v>316.79403154855652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5.2282608894989292E-2</v>
      </c>
      <c r="AB171" s="23">
        <f>EXP(-LN(2)/2)*AB170+(1-EXP(-LN(2)/2))/(LN(2)/2)*V171*Y171*VLOOKUP('Données projet'!$B$9,Paramètres!$A$1:$I$89,3,0)*0.475*44/12</f>
        <v>3.9825176729672097E-20</v>
      </c>
      <c r="AC171" s="24">
        <f t="shared" si="163"/>
        <v>5.2282608894989292E-2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285.96737512912426</v>
      </c>
      <c r="AN171" s="62">
        <f ca="1">AVERAGE(OFFSET($AM$3,0,0,'Données projet'!$E$10+1,1))-AVERAGE(OFFSET($H$3,0,0,'Données projet'!$E$10+1,1))</f>
        <v>225.71928466161592</v>
      </c>
      <c r="AO171" s="62">
        <f t="shared" si="144"/>
        <v>385.98818770742025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211.70619219850786</v>
      </c>
      <c r="BJ171" s="62">
        <f t="shared" si="146"/>
        <v>426.883837098247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6.4246433720409559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4.5059602206802537E-19</v>
      </c>
      <c r="BS171" s="24">
        <f t="shared" si="169"/>
        <v>6.4246433720409559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1.9895196601282805E-13</v>
      </c>
      <c r="BZ171" s="14">
        <f>BY171*VLOOKUP('Données projet'!$B$12,Paramètres!$A$1:$I$89,3,0)*VLOOKUP('Données projet'!$B$12,Paramètres!$A$1:$I$89,5,0)</f>
        <v>1.8001173884840681E-13</v>
      </c>
      <c r="CA171" s="14">
        <f t="shared" si="170"/>
        <v>2.5254331426407198E-12</v>
      </c>
      <c r="CB171" s="22">
        <f t="shared" si="171"/>
        <v>4.7119831685935622E-12</v>
      </c>
      <c r="CC171" s="62">
        <f t="shared" si="119"/>
        <v>285.9673751291279</v>
      </c>
      <c r="CD171" s="62">
        <f ca="1">AVERAGE(OFFSET($CC$3,0,0,'Données projet'!$E$12+1,1))-AVERAGE(OFFSET($H$3,0,0,'Données projet'!$E$12+1,1))</f>
        <v>327.07074355218322</v>
      </c>
      <c r="CE171" s="62">
        <f t="shared" si="148"/>
        <v>462.01668587029087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0.89303579112617115</v>
      </c>
      <c r="CL171" s="23">
        <f>EXP(-LN(2)/25)*CL170+(1-EXP(-LN(2)/25))/(LN(2)/25)*Calculateur!CG171*Calculateur!CI171*VLOOKUP('Données projet'!$B$12,Paramètres!$A$1:$I$89,3,0)*0.475*44/12</f>
        <v>6.8345036313267965E-2</v>
      </c>
      <c r="CM171" s="23">
        <f>EXP(-LN(2)/2)*CM170+(1-EXP(-LN(2)/2))/(LN(2)/2)*CG171*CJ171*VLOOKUP('Données projet'!$B$12,Paramètres!$A$1:$I$89,3,0)*0.475*44/12</f>
        <v>9.9867051946795002E-25</v>
      </c>
      <c r="CN171" s="24">
        <f t="shared" si="172"/>
        <v>0.96138082743943909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93.836028041880496</v>
      </c>
      <c r="CZ171" s="62">
        <f t="shared" si="150"/>
        <v>465.96044964631358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5.2426888255600739</v>
      </c>
      <c r="DG171" s="23">
        <f>EXP(-LN(2)/25)*DG170+(1-EXP(-LN(2)/25))/(LN(2)/25)*Calculateur!DB171*Calculateur!DD171*VLOOKUP('Données projet'!$B$13,Paramètres!$A$1:$I$89,3,0)*0.475*44/12</f>
        <v>0.39471985077128396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5.6374086763313578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-3.4106051316484809E-13</v>
      </c>
      <c r="DP171" s="18">
        <f>DO171*VLOOKUP('Données projet'!$B$14,Paramètres!$A$1:$I$89,3,0)*VLOOKUP('Données projet'!$B$14,Paramètres!$A$1:$I$89,5,0)</f>
        <v>-2.0395418687257919E-13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386.56102661082468</v>
      </c>
      <c r="DU171" s="62">
        <f t="shared" si="152"/>
        <v>410.28336627719011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1.2658742942876913</v>
      </c>
      <c r="EB171" s="23">
        <f>EXP(-LN(2)/25)*EB170+(1-EXP(-LN(2)/25))/(LN(2)/25)*Calculateur!DW171*Calculateur!DY171*VLOOKUP('Données projet'!$B$14,Paramètres!$A$1:$I$89,3,0)*0.475*44/12</f>
        <v>4.8570169300459827E-2</v>
      </c>
      <c r="EC171" s="23">
        <f>EXP(-LN(2)/2)*EC170+(1-EXP(-LN(2)/2))/(LN(2)/2)*DW171*DZ171*VLOOKUP('Données projet'!$B$14,Paramètres!$A$1:$I$89,3,0)*0.475*44/12</f>
        <v>2.206781803972236E-20</v>
      </c>
      <c r="ED171" s="24">
        <f t="shared" si="178"/>
        <v>1.3144444635881511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499.92116338695428</v>
      </c>
      <c r="T172" s="62">
        <f t="shared" si="142"/>
        <v>316.79403154855652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5.0852938205332904E-2</v>
      </c>
      <c r="AB172" s="23">
        <f>EXP(-LN(2)/2)*AB171+(1-EXP(-LN(2)/2))/(LN(2)/2)*V172*Y172*VLOOKUP('Données projet'!$B$9,Paramètres!$A$1:$I$89,3,0)*0.475*44/12</f>
        <v>2.8160652527503832E-20</v>
      </c>
      <c r="AC172" s="24">
        <f t="shared" si="163"/>
        <v>5.0852938205332904E-2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286.09515803615182</v>
      </c>
      <c r="AN172" s="62">
        <f ca="1">AVERAGE(OFFSET($AM$3,0,0,'Données projet'!$E$10+1,1))-AVERAGE(OFFSET($H$3,0,0,'Données projet'!$E$10+1,1))</f>
        <v>225.71928466161592</v>
      </c>
      <c r="AO172" s="62">
        <f t="shared" si="144"/>
        <v>385.98818770742025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211.70619219850786</v>
      </c>
      <c r="BJ172" s="62">
        <f t="shared" si="146"/>
        <v>426.883837098247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6.2986600341607559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3.1861950277998396E-19</v>
      </c>
      <c r="BS172" s="24">
        <f t="shared" si="169"/>
        <v>6.2986600341607559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1.9895196601282805E-13</v>
      </c>
      <c r="BZ172" s="14">
        <f>BY172*VLOOKUP('Données projet'!$B$12,Paramètres!$A$1:$I$89,3,0)*VLOOKUP('Données projet'!$B$12,Paramètres!$A$1:$I$89,5,0)</f>
        <v>1.8001173884840681E-13</v>
      </c>
      <c r="CA172" s="14">
        <f t="shared" si="170"/>
        <v>2.5254331426407198E-12</v>
      </c>
      <c r="CB172" s="22">
        <f t="shared" si="171"/>
        <v>4.7119831685935622E-12</v>
      </c>
      <c r="CC172" s="62">
        <f t="shared" si="119"/>
        <v>286.09515803615545</v>
      </c>
      <c r="CD172" s="62">
        <f ca="1">AVERAGE(OFFSET($CC$3,0,0,'Données projet'!$E$12+1,1))-AVERAGE(OFFSET($H$3,0,0,'Données projet'!$E$12+1,1))</f>
        <v>327.07074355218322</v>
      </c>
      <c r="CE172" s="62">
        <f t="shared" si="148"/>
        <v>462.01668587029087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0.87552390396023505</v>
      </c>
      <c r="CL172" s="23">
        <f>EXP(-LN(2)/25)*CL171+(1-EXP(-LN(2)/25))/(LN(2)/25)*Calculateur!CG172*Calculateur!CI172*VLOOKUP('Données projet'!$B$12,Paramètres!$A$1:$I$89,3,0)*0.475*44/12</f>
        <v>6.6476137701172403E-2</v>
      </c>
      <c r="CM172" s="23">
        <f>EXP(-LN(2)/2)*CM171+(1-EXP(-LN(2)/2))/(LN(2)/2)*CG172*CJ172*VLOOKUP('Données projet'!$B$12,Paramètres!$A$1:$I$89,3,0)*0.475*44/12</f>
        <v>7.0616669648687949E-25</v>
      </c>
      <c r="CN172" s="24">
        <f t="shared" si="172"/>
        <v>0.94200004166140749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93.836028041880496</v>
      </c>
      <c r="CZ172" s="62">
        <f t="shared" si="150"/>
        <v>465.96044964631358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5.1398828954152753</v>
      </c>
      <c r="DG172" s="23">
        <f>EXP(-LN(2)/25)*DG171+(1-EXP(-LN(2)/25))/(LN(2)/25)*Calculateur!DB172*Calculateur!DD172*VLOOKUP('Données projet'!$B$13,Paramètres!$A$1:$I$89,3,0)*0.475*44/12</f>
        <v>0.38392621569452839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5.523809111109804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-3.4106051316484809E-13</v>
      </c>
      <c r="DP172" s="18">
        <f>DO172*VLOOKUP('Données projet'!$B$14,Paramètres!$A$1:$I$89,3,0)*VLOOKUP('Données projet'!$B$14,Paramètres!$A$1:$I$89,5,0)</f>
        <v>-2.0395418687257919E-13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386.56102661082468</v>
      </c>
      <c r="DU172" s="62">
        <f t="shared" si="152"/>
        <v>410.28336627719011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1.24105127148379</v>
      </c>
      <c r="EB172" s="23">
        <f>EXP(-LN(2)/25)*EB171+(1-EXP(-LN(2)/25))/(LN(2)/25)*Calculateur!DW172*Calculateur!DY172*VLOOKUP('Données projet'!$B$14,Paramètres!$A$1:$I$89,3,0)*0.475*44/12</f>
        <v>4.7242015466744558E-2</v>
      </c>
      <c r="EC172" s="23">
        <f>EXP(-LN(2)/2)*EC171+(1-EXP(-LN(2)/2))/(LN(2)/2)*DW172*DZ172*VLOOKUP('Données projet'!$B$14,Paramètres!$A$1:$I$89,3,0)*0.475*44/12</f>
        <v>1.5604303781878505E-20</v>
      </c>
      <c r="ED172" s="24">
        <f t="shared" si="178"/>
        <v>1.2882932869505346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499.92116338695428</v>
      </c>
      <c r="T173" s="62">
        <f t="shared" si="142"/>
        <v>316.79403154855652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4.9462361935868282E-2</v>
      </c>
      <c r="AB173" s="23">
        <f>EXP(-LN(2)/2)*AB172+(1-EXP(-LN(2)/2))/(LN(2)/2)*V173*Y173*VLOOKUP('Données projet'!$B$9,Paramètres!$A$1:$I$89,3,0)*0.475*44/12</f>
        <v>1.9912588364836049E-20</v>
      </c>
      <c r="AC173" s="24">
        <f t="shared" si="163"/>
        <v>4.9462361935868282E-2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286.22072419542224</v>
      </c>
      <c r="AN173" s="62">
        <f ca="1">AVERAGE(OFFSET($AM$3,0,0,'Données projet'!$E$10+1,1))-AVERAGE(OFFSET($H$3,0,0,'Données projet'!$E$10+1,1))</f>
        <v>225.71928466161592</v>
      </c>
      <c r="AO173" s="62">
        <f t="shared" si="144"/>
        <v>385.98818770742025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211.70619219850786</v>
      </c>
      <c r="BJ173" s="62">
        <f t="shared" si="146"/>
        <v>426.883837098247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6.1751471526941382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2.2529801103401269E-19</v>
      </c>
      <c r="BS173" s="24">
        <f t="shared" si="169"/>
        <v>6.1751471526941382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1.9895196601282805E-13</v>
      </c>
      <c r="BZ173" s="14">
        <f>BY173*VLOOKUP('Données projet'!$B$12,Paramètres!$A$1:$I$89,3,0)*VLOOKUP('Données projet'!$B$12,Paramètres!$A$1:$I$89,5,0)</f>
        <v>1.8001173884840681E-13</v>
      </c>
      <c r="CA173" s="14">
        <f t="shared" si="170"/>
        <v>2.5254331426407198E-12</v>
      </c>
      <c r="CB173" s="22">
        <f t="shared" si="171"/>
        <v>4.7119831685935622E-12</v>
      </c>
      <c r="CC173" s="62">
        <f t="shared" si="119"/>
        <v>286.22072419542587</v>
      </c>
      <c r="CD173" s="62">
        <f ca="1">AVERAGE(OFFSET($CC$3,0,0,'Données projet'!$E$12+1,1))-AVERAGE(OFFSET($H$3,0,0,'Données projet'!$E$12+1,1))</f>
        <v>327.07074355218322</v>
      </c>
      <c r="CE173" s="62">
        <f t="shared" si="148"/>
        <v>462.01668587029087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0.85835541422042649</v>
      </c>
      <c r="CL173" s="23">
        <f>EXP(-LN(2)/25)*CL172+(1-EXP(-LN(2)/25))/(LN(2)/25)*Calculateur!CG173*Calculateur!CI173*VLOOKUP('Données projet'!$B$12,Paramètres!$A$1:$I$89,3,0)*0.475*44/12</f>
        <v>6.4658344219905697E-2</v>
      </c>
      <c r="CM173" s="23">
        <f>EXP(-LN(2)/2)*CM172+(1-EXP(-LN(2)/2))/(LN(2)/2)*CG173*CJ173*VLOOKUP('Données projet'!$B$12,Paramètres!$A$1:$I$89,3,0)*0.475*44/12</f>
        <v>4.9933525973397501E-25</v>
      </c>
      <c r="CN173" s="24">
        <f t="shared" si="172"/>
        <v>0.92301375844033218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93.836028041880496</v>
      </c>
      <c r="CZ173" s="62">
        <f t="shared" si="150"/>
        <v>465.96044964631358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5.0390929268551909</v>
      </c>
      <c r="DG173" s="23">
        <f>EXP(-LN(2)/25)*DG172+(1-EXP(-LN(2)/25))/(LN(2)/25)*Calculateur!DB173*Calculateur!DD173*VLOOKUP('Données projet'!$B$13,Paramètres!$A$1:$I$89,3,0)*0.475*44/12</f>
        <v>0.3734277331365593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5.4125206599917499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-3.4106051316484809E-13</v>
      </c>
      <c r="DP173" s="18">
        <f>DO173*VLOOKUP('Données projet'!$B$14,Paramètres!$A$1:$I$89,3,0)*VLOOKUP('Données projet'!$B$14,Paramètres!$A$1:$I$89,5,0)</f>
        <v>-2.0395418687257919E-13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386.56102661082468</v>
      </c>
      <c r="DU173" s="62">
        <f t="shared" si="152"/>
        <v>410.28336627719011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1.2167150130165243</v>
      </c>
      <c r="EB173" s="23">
        <f>EXP(-LN(2)/25)*EB172+(1-EXP(-LN(2)/25))/(LN(2)/25)*Calculateur!DW173*Calculateur!DY173*VLOOKUP('Données projet'!$B$14,Paramètres!$A$1:$I$89,3,0)*0.475*44/12</f>
        <v>4.5950180069456809E-2</v>
      </c>
      <c r="EC173" s="23">
        <f>EXP(-LN(2)/2)*EC172+(1-EXP(-LN(2)/2))/(LN(2)/2)*DW173*DZ173*VLOOKUP('Données projet'!$B$14,Paramètres!$A$1:$I$89,3,0)*0.475*44/12</f>
        <v>1.103390901986118E-20</v>
      </c>
      <c r="ED173" s="24">
        <f t="shared" si="178"/>
        <v>1.2626651930859811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499.92116338695428</v>
      </c>
      <c r="T174" s="62">
        <f t="shared" si="142"/>
        <v>316.79403154855652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4.8109811047619397E-2</v>
      </c>
      <c r="AB174" s="23">
        <f>EXP(-LN(2)/2)*AB173+(1-EXP(-LN(2)/2))/(LN(2)/2)*V174*Y174*VLOOKUP('Données projet'!$B$9,Paramètres!$A$1:$I$89,3,0)*0.475*44/12</f>
        <v>1.4080326263751916E-20</v>
      </c>
      <c r="AC174" s="24">
        <f t="shared" si="163"/>
        <v>4.8109811047619397E-2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286.34411206255317</v>
      </c>
      <c r="AN174" s="62">
        <f ca="1">AVERAGE(OFFSET($AM$3,0,0,'Données projet'!$E$10+1,1))-AVERAGE(OFFSET($H$3,0,0,'Données projet'!$E$10+1,1))</f>
        <v>225.71928466161592</v>
      </c>
      <c r="AO174" s="62">
        <f t="shared" si="144"/>
        <v>385.98818770742025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211.70619219850786</v>
      </c>
      <c r="BJ174" s="62">
        <f t="shared" si="146"/>
        <v>426.883837098247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6.054056283497661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1.5930975138999198E-19</v>
      </c>
      <c r="BS174" s="24">
        <f t="shared" si="169"/>
        <v>6.054056283497661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1.9895196601282805E-13</v>
      </c>
      <c r="BZ174" s="14">
        <f>BY174*VLOOKUP('Données projet'!$B$12,Paramètres!$A$1:$I$89,3,0)*VLOOKUP('Données projet'!$B$12,Paramètres!$A$1:$I$89,5,0)</f>
        <v>1.8001173884840681E-13</v>
      </c>
      <c r="CA174" s="14">
        <f t="shared" si="170"/>
        <v>2.5254331426407198E-12</v>
      </c>
      <c r="CB174" s="22">
        <f t="shared" si="171"/>
        <v>4.7119831685935622E-12</v>
      </c>
      <c r="CC174" s="62">
        <f t="shared" si="119"/>
        <v>286.3441120625568</v>
      </c>
      <c r="CD174" s="62">
        <f ca="1">AVERAGE(OFFSET($CC$3,0,0,'Données projet'!$E$12+1,1))-AVERAGE(OFFSET($H$3,0,0,'Données projet'!$E$12+1,1))</f>
        <v>327.07074355218322</v>
      </c>
      <c r="CE174" s="62">
        <f t="shared" si="148"/>
        <v>462.01668587029087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0.8415235880926708</v>
      </c>
      <c r="CL174" s="23">
        <f>EXP(-LN(2)/25)*CL173+(1-EXP(-LN(2)/25))/(LN(2)/25)*Calculateur!CG174*Calculateur!CI174*VLOOKUP('Données projet'!$B$12,Paramètres!$A$1:$I$89,3,0)*0.475*44/12</f>
        <v>6.289025839697783E-2</v>
      </c>
      <c r="CM174" s="23">
        <f>EXP(-LN(2)/2)*CM173+(1-EXP(-LN(2)/2))/(LN(2)/2)*CG174*CJ174*VLOOKUP('Données projet'!$B$12,Paramètres!$A$1:$I$89,3,0)*0.475*44/12</f>
        <v>3.5308334824343974E-25</v>
      </c>
      <c r="CN174" s="24">
        <f t="shared" si="172"/>
        <v>0.90441384648964862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93.836028041880496</v>
      </c>
      <c r="CZ174" s="62">
        <f t="shared" si="150"/>
        <v>465.96044964631358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4.9402793881027591</v>
      </c>
      <c r="DG174" s="23">
        <f>EXP(-LN(2)/25)*DG173+(1-EXP(-LN(2)/25))/(LN(2)/25)*Calculateur!DB174*Calculateur!DD174*VLOOKUP('Données projet'!$B$13,Paramètres!$A$1:$I$89,3,0)*0.475*44/12</f>
        <v>0.36321633213622906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5.3034957202389883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-3.4106051316484809E-13</v>
      </c>
      <c r="DP174" s="18">
        <f>DO174*VLOOKUP('Données projet'!$B$14,Paramètres!$A$1:$I$89,3,0)*VLOOKUP('Données projet'!$B$14,Paramètres!$A$1:$I$89,5,0)</f>
        <v>-2.0395418687257919E-13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386.56102661082468</v>
      </c>
      <c r="DU174" s="62">
        <f t="shared" si="152"/>
        <v>410.28336627719011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1.1928559737341498</v>
      </c>
      <c r="EB174" s="23">
        <f>EXP(-LN(2)/25)*EB173+(1-EXP(-LN(2)/25))/(LN(2)/25)*Calculateur!DW174*Calculateur!DY174*VLOOKUP('Données projet'!$B$14,Paramètres!$A$1:$I$89,3,0)*0.475*44/12</f>
        <v>4.4693669979042561E-2</v>
      </c>
      <c r="EC174" s="23">
        <f>EXP(-LN(2)/2)*EC173+(1-EXP(-LN(2)/2))/(LN(2)/2)*DW174*DZ174*VLOOKUP('Données projet'!$B$14,Paramètres!$A$1:$I$89,3,0)*0.475*44/12</f>
        <v>7.8021518909392524E-21</v>
      </c>
      <c r="ED174" s="24">
        <f t="shared" si="178"/>
        <v>1.2375496437131923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499.92116338695428</v>
      </c>
      <c r="T175" s="62">
        <f t="shared" si="142"/>
        <v>316.79403154855652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4.6794245734537235E-2</v>
      </c>
      <c r="AB175" s="23">
        <f>EXP(-LN(2)/2)*AB174+(1-EXP(-LN(2)/2))/(LN(2)/2)*V175*Y175*VLOOKUP('Données projet'!$B$9,Paramètres!$A$1:$I$89,3,0)*0.475*44/12</f>
        <v>9.9562941824180243E-21</v>
      </c>
      <c r="AC175" s="24">
        <f t="shared" si="163"/>
        <v>4.6794245734537235E-2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286.46535942604339</v>
      </c>
      <c r="AN175" s="62">
        <f ca="1">AVERAGE(OFFSET($AM$3,0,0,'Données projet'!$E$10+1,1))-AVERAGE(OFFSET($H$3,0,0,'Données projet'!$E$10+1,1))</f>
        <v>225.71928466161592</v>
      </c>
      <c r="AO175" s="62">
        <f t="shared" si="144"/>
        <v>385.98818770742025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211.70619219850786</v>
      </c>
      <c r="BJ175" s="62">
        <f t="shared" si="146"/>
        <v>426.883837098247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5.9353399323879898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1.1264900551700634E-19</v>
      </c>
      <c r="BS175" s="24">
        <f t="shared" si="169"/>
        <v>5.9353399323879898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1.9895196601282805E-13</v>
      </c>
      <c r="BZ175" s="14">
        <f>BY175*VLOOKUP('Données projet'!$B$12,Paramètres!$A$1:$I$89,3,0)*VLOOKUP('Données projet'!$B$12,Paramètres!$A$1:$I$89,5,0)</f>
        <v>1.8001173884840681E-13</v>
      </c>
      <c r="CA175" s="14">
        <f t="shared" si="170"/>
        <v>2.5254331426407198E-12</v>
      </c>
      <c r="CB175" s="22">
        <f t="shared" si="171"/>
        <v>4.7119831685935622E-12</v>
      </c>
      <c r="CC175" s="62">
        <f t="shared" si="119"/>
        <v>286.46535942604703</v>
      </c>
      <c r="CD175" s="62">
        <f ca="1">AVERAGE(OFFSET($CC$3,0,0,'Données projet'!$E$12+1,1))-AVERAGE(OFFSET($H$3,0,0,'Données projet'!$E$12+1,1))</f>
        <v>327.07074355218322</v>
      </c>
      <c r="CE175" s="62">
        <f t="shared" si="148"/>
        <v>462.01668587029087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0.82502182380888023</v>
      </c>
      <c r="CL175" s="23">
        <f>EXP(-LN(2)/25)*CL174+(1-EXP(-LN(2)/25))/(LN(2)/25)*Calculateur!CG175*Calculateur!CI175*VLOOKUP('Données projet'!$B$12,Paramètres!$A$1:$I$89,3,0)*0.475*44/12</f>
        <v>6.1170520973857521E-2</v>
      </c>
      <c r="CM175" s="23">
        <f>EXP(-LN(2)/2)*CM174+(1-EXP(-LN(2)/2))/(LN(2)/2)*CG175*CJ175*VLOOKUP('Données projet'!$B$12,Paramètres!$A$1:$I$89,3,0)*0.475*44/12</f>
        <v>2.496676298669875E-25</v>
      </c>
      <c r="CN175" s="24">
        <f t="shared" si="172"/>
        <v>0.88619234478273778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93.836028041880496</v>
      </c>
      <c r="CZ175" s="62">
        <f t="shared" si="150"/>
        <v>465.96044964631358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4.8434035225749552</v>
      </c>
      <c r="DG175" s="23">
        <f>EXP(-LN(2)/25)*DG174+(1-EXP(-LN(2)/25))/(LN(2)/25)*Calculateur!DB175*Calculateur!DD175*VLOOKUP('Données projet'!$B$13,Paramètres!$A$1:$I$89,3,0)*0.475*44/12</f>
        <v>0.35328416243324712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5.196687685008202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-3.4106051316484809E-13</v>
      </c>
      <c r="DP175" s="18">
        <f>DO175*VLOOKUP('Données projet'!$B$14,Paramètres!$A$1:$I$89,3,0)*VLOOKUP('Données projet'!$B$14,Paramètres!$A$1:$I$89,5,0)</f>
        <v>-2.0395418687257919E-13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386.56102661082468</v>
      </c>
      <c r="DU175" s="62">
        <f t="shared" si="152"/>
        <v>410.28336627719011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1.1694647956595254</v>
      </c>
      <c r="EB175" s="23">
        <f>EXP(-LN(2)/25)*EB174+(1-EXP(-LN(2)/25))/(LN(2)/25)*Calculateur!DW175*Calculateur!DY175*VLOOKUP('Données projet'!$B$14,Paramètres!$A$1:$I$89,3,0)*0.475*44/12</f>
        <v>4.3471519223127683E-2</v>
      </c>
      <c r="EC175" s="23">
        <f>EXP(-LN(2)/2)*EC174+(1-EXP(-LN(2)/2))/(LN(2)/2)*DW175*DZ175*VLOOKUP('Données projet'!$B$14,Paramètres!$A$1:$I$89,3,0)*0.475*44/12</f>
        <v>5.5169545099305901E-21</v>
      </c>
      <c r="ED175" s="24">
        <f t="shared" si="178"/>
        <v>1.2129363148826531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499.92116338695428</v>
      </c>
      <c r="T176" s="62">
        <f t="shared" si="142"/>
        <v>316.79403154855652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4.5514654624123879E-2</v>
      </c>
      <c r="AB176" s="23">
        <f>EXP(-LN(2)/2)*AB175+(1-EXP(-LN(2)/2))/(LN(2)/2)*V176*Y176*VLOOKUP('Données projet'!$B$9,Paramètres!$A$1:$I$89,3,0)*0.475*44/12</f>
        <v>7.040163131875958E-21</v>
      </c>
      <c r="AC176" s="24">
        <f t="shared" si="163"/>
        <v>4.5514654624123879E-2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286.58450341884543</v>
      </c>
      <c r="AN176" s="62">
        <f ca="1">AVERAGE(OFFSET($AM$3,0,0,'Données projet'!$E$10+1,1))-AVERAGE(OFFSET($H$3,0,0,'Données projet'!$E$10+1,1))</f>
        <v>225.71928466161592</v>
      </c>
      <c r="AO176" s="62">
        <f t="shared" si="144"/>
        <v>385.98818770742025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211.70619219850786</v>
      </c>
      <c r="BJ176" s="62">
        <f t="shared" si="146"/>
        <v>426.883837098247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5.8189515365137554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7.965487569499599E-20</v>
      </c>
      <c r="BS176" s="24">
        <f t="shared" si="169"/>
        <v>5.8189515365137554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1.9895196601282805E-13</v>
      </c>
      <c r="BZ176" s="14">
        <f>BY176*VLOOKUP('Données projet'!$B$12,Paramètres!$A$1:$I$89,3,0)*VLOOKUP('Données projet'!$B$12,Paramètres!$A$1:$I$89,5,0)</f>
        <v>1.8001173884840681E-13</v>
      </c>
      <c r="CA176" s="14">
        <f t="shared" si="170"/>
        <v>2.5254331426407198E-12</v>
      </c>
      <c r="CB176" s="22">
        <f t="shared" si="171"/>
        <v>4.7119831685935622E-12</v>
      </c>
      <c r="CC176" s="62">
        <f t="shared" si="119"/>
        <v>286.58450341884907</v>
      </c>
      <c r="CD176" s="62">
        <f ca="1">AVERAGE(OFFSET($CC$3,0,0,'Données projet'!$E$12+1,1))-AVERAGE(OFFSET($H$3,0,0,'Données projet'!$E$12+1,1))</f>
        <v>327.07074355218322</v>
      </c>
      <c r="CE176" s="62">
        <f t="shared" si="148"/>
        <v>462.01668587029087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0.80884364905761241</v>
      </c>
      <c r="CL176" s="23">
        <f>EXP(-LN(2)/25)*CL175+(1-EXP(-LN(2)/25))/(LN(2)/25)*Calculateur!CG176*Calculateur!CI176*VLOOKUP('Données projet'!$B$12,Paramètres!$A$1:$I$89,3,0)*0.475*44/12</f>
        <v>5.9497809861009499E-2</v>
      </c>
      <c r="CM176" s="23">
        <f>EXP(-LN(2)/2)*CM175+(1-EXP(-LN(2)/2))/(LN(2)/2)*CG176*CJ176*VLOOKUP('Données projet'!$B$12,Paramètres!$A$1:$I$89,3,0)*0.475*44/12</f>
        <v>1.7654167412171987E-25</v>
      </c>
      <c r="CN176" s="24">
        <f t="shared" si="172"/>
        <v>0.86834145891862191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93.836028041880496</v>
      </c>
      <c r="CZ176" s="62">
        <f t="shared" si="150"/>
        <v>465.96044964631358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4.7484273336817076</v>
      </c>
      <c r="DG176" s="23">
        <f>EXP(-LN(2)/25)*DG175+(1-EXP(-LN(2)/25))/(LN(2)/25)*Calculateur!DB176*Calculateur!DD176*VLOOKUP('Données projet'!$B$13,Paramètres!$A$1:$I$89,3,0)*0.475*44/12</f>
        <v>0.34362358843310331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5.0920509221148107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-3.4106051316484809E-13</v>
      </c>
      <c r="DP176" s="18">
        <f>DO176*VLOOKUP('Données projet'!$B$14,Paramètres!$A$1:$I$89,3,0)*VLOOKUP('Données projet'!$B$14,Paramètres!$A$1:$I$89,5,0)</f>
        <v>-2.0395418687257919E-13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386.56102661082468</v>
      </c>
      <c r="DU176" s="62">
        <f t="shared" si="152"/>
        <v>410.28336627719011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1.1465323043197346</v>
      </c>
      <c r="EB176" s="23">
        <f>EXP(-LN(2)/25)*EB175+(1-EXP(-LN(2)/25))/(LN(2)/25)*Calculateur!DW176*Calculateur!DY176*VLOOKUP('Données projet'!$B$14,Paramètres!$A$1:$I$89,3,0)*0.475*44/12</f>
        <v>4.2282788243903413E-2</v>
      </c>
      <c r="EC176" s="23">
        <f>EXP(-LN(2)/2)*EC175+(1-EXP(-LN(2)/2))/(LN(2)/2)*DW176*DZ176*VLOOKUP('Données projet'!$B$14,Paramètres!$A$1:$I$89,3,0)*0.475*44/12</f>
        <v>3.9010759454696262E-21</v>
      </c>
      <c r="ED176" s="24">
        <f t="shared" si="178"/>
        <v>1.188815092563638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499.92116338695428</v>
      </c>
      <c r="T177" s="62">
        <f t="shared" si="142"/>
        <v>316.79403154855652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4.427005399991555E-2</v>
      </c>
      <c r="AB177" s="23">
        <f>EXP(-LN(2)/2)*AB176+(1-EXP(-LN(2)/2))/(LN(2)/2)*V177*Y177*VLOOKUP('Données projet'!$B$9,Paramètres!$A$1:$I$89,3,0)*0.475*44/12</f>
        <v>4.9781470912090121E-21</v>
      </c>
      <c r="AC177" s="24">
        <f t="shared" si="163"/>
        <v>4.427005399991555E-2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286.70158052973852</v>
      </c>
      <c r="AN177" s="62">
        <f ca="1">AVERAGE(OFFSET($AM$3,0,0,'Données projet'!$E$10+1,1))-AVERAGE(OFFSET($H$3,0,0,'Données projet'!$E$10+1,1))</f>
        <v>225.71928466161592</v>
      </c>
      <c r="AO177" s="62">
        <f t="shared" si="144"/>
        <v>385.98818770742025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211.70619219850786</v>
      </c>
      <c r="BJ177" s="62">
        <f t="shared" si="146"/>
        <v>426.883837098247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5.7048454460927029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5.6324502758503171E-20</v>
      </c>
      <c r="BS177" s="24">
        <f t="shared" si="169"/>
        <v>5.7048454460927029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1.9895196601282805E-13</v>
      </c>
      <c r="BZ177" s="14">
        <f>BY177*VLOOKUP('Données projet'!$B$12,Paramètres!$A$1:$I$89,3,0)*VLOOKUP('Données projet'!$B$12,Paramètres!$A$1:$I$89,5,0)</f>
        <v>1.8001173884840681E-13</v>
      </c>
      <c r="CA177" s="14">
        <f t="shared" si="170"/>
        <v>2.5254331426407198E-12</v>
      </c>
      <c r="CB177" s="22">
        <f t="shared" si="171"/>
        <v>4.7119831685935622E-12</v>
      </c>
      <c r="CC177" s="62">
        <f t="shared" si="119"/>
        <v>286.70158052974216</v>
      </c>
      <c r="CD177" s="62">
        <f ca="1">AVERAGE(OFFSET($CC$3,0,0,'Données projet'!$E$12+1,1))-AVERAGE(OFFSET($H$3,0,0,'Données projet'!$E$12+1,1))</f>
        <v>327.07074355218322</v>
      </c>
      <c r="CE177" s="62">
        <f t="shared" si="148"/>
        <v>462.01668587029087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0.79298271844550472</v>
      </c>
      <c r="CL177" s="23">
        <f>EXP(-LN(2)/25)*CL176+(1-EXP(-LN(2)/25))/(LN(2)/25)*Calculateur!CG177*Calculateur!CI177*VLOOKUP('Données projet'!$B$12,Paramètres!$A$1:$I$89,3,0)*0.475*44/12</f>
        <v>5.7870839121506354E-2</v>
      </c>
      <c r="CM177" s="23">
        <f>EXP(-LN(2)/2)*CM176+(1-EXP(-LN(2)/2))/(LN(2)/2)*CG177*CJ177*VLOOKUP('Données projet'!$B$12,Paramètres!$A$1:$I$89,3,0)*0.475*44/12</f>
        <v>1.2483381493349375E-25</v>
      </c>
      <c r="CN177" s="24">
        <f t="shared" si="172"/>
        <v>0.85085355756701109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93.836028041880496</v>
      </c>
      <c r="CZ177" s="62">
        <f t="shared" si="150"/>
        <v>465.96044964631358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4.6553135699229014</v>
      </c>
      <c r="DG177" s="23">
        <f>EXP(-LN(2)/25)*DG176+(1-EXP(-LN(2)/25))/(LN(2)/25)*Calculateur!DB177*Calculateur!DD177*VLOOKUP('Données projet'!$B$13,Paramètres!$A$1:$I$89,3,0)*0.475*44/12</f>
        <v>0.33422718333702095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4.9895407532599219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-3.4106051316484809E-13</v>
      </c>
      <c r="DP177" s="18">
        <f>DO177*VLOOKUP('Données projet'!$B$14,Paramètres!$A$1:$I$89,3,0)*VLOOKUP('Données projet'!$B$14,Paramètres!$A$1:$I$89,5,0)</f>
        <v>-2.0395418687257919E-13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386.56102661082468</v>
      </c>
      <c r="DU177" s="62">
        <f t="shared" si="152"/>
        <v>410.28336627719011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1.1240495051476787</v>
      </c>
      <c r="EB177" s="23">
        <f>EXP(-LN(2)/25)*EB176+(1-EXP(-LN(2)/25))/(LN(2)/25)*Calculateur!DW177*Calculateur!DY177*VLOOKUP('Données projet'!$B$14,Paramètres!$A$1:$I$89,3,0)*0.475*44/12</f>
        <v>4.1126563175818677E-2</v>
      </c>
      <c r="EC177" s="23">
        <f>EXP(-LN(2)/2)*EC176+(1-EXP(-LN(2)/2))/(LN(2)/2)*DW177*DZ177*VLOOKUP('Données projet'!$B$14,Paramètres!$A$1:$I$89,3,0)*0.475*44/12</f>
        <v>2.758477254965295E-21</v>
      </c>
      <c r="ED177" s="24">
        <f t="shared" si="178"/>
        <v>1.1651760683234973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499.92116338695428</v>
      </c>
      <c r="T178" s="62">
        <f t="shared" si="142"/>
        <v>316.79403154855652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4.3059487045226899E-2</v>
      </c>
      <c r="AB178" s="23">
        <f>EXP(-LN(2)/2)*AB177+(1-EXP(-LN(2)/2))/(LN(2)/2)*V178*Y178*VLOOKUP('Données projet'!$B$9,Paramètres!$A$1:$I$89,3,0)*0.475*44/12</f>
        <v>3.520081565937979E-21</v>
      </c>
      <c r="AC178" s="24">
        <f t="shared" si="163"/>
        <v>4.3059487045226899E-2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286.81662661450275</v>
      </c>
      <c r="AN178" s="62">
        <f ca="1">AVERAGE(OFFSET($AM$3,0,0,'Données projet'!$E$10+1,1))-AVERAGE(OFFSET($H$3,0,0,'Données projet'!$E$10+1,1))</f>
        <v>225.71928466161592</v>
      </c>
      <c r="AO178" s="62">
        <f t="shared" si="144"/>
        <v>385.98818770742025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211.70619219850786</v>
      </c>
      <c r="BJ178" s="62">
        <f t="shared" si="146"/>
        <v>426.883837098247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5.5929769065069639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3.9827437847497995E-20</v>
      </c>
      <c r="BS178" s="24">
        <f t="shared" si="169"/>
        <v>5.5929769065069639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1.9895196601282805E-13</v>
      </c>
      <c r="BZ178" s="14">
        <f>BY178*VLOOKUP('Données projet'!$B$12,Paramètres!$A$1:$I$89,3,0)*VLOOKUP('Données projet'!$B$12,Paramètres!$A$1:$I$89,5,0)</f>
        <v>1.8001173884840681E-13</v>
      </c>
      <c r="CA178" s="14">
        <f t="shared" si="170"/>
        <v>2.5254331426407198E-12</v>
      </c>
      <c r="CB178" s="22">
        <f t="shared" si="171"/>
        <v>4.7119831685935622E-12</v>
      </c>
      <c r="CC178" s="62">
        <f t="shared" si="119"/>
        <v>286.81662661450639</v>
      </c>
      <c r="CD178" s="62">
        <f ca="1">AVERAGE(OFFSET($CC$3,0,0,'Données projet'!$E$12+1,1))-AVERAGE(OFFSET($H$3,0,0,'Données projet'!$E$12+1,1))</f>
        <v>327.07074355218322</v>
      </c>
      <c r="CE178" s="62">
        <f t="shared" si="148"/>
        <v>462.01668587029087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0.77743281100848804</v>
      </c>
      <c r="CL178" s="23">
        <f>EXP(-LN(2)/25)*CL177+(1-EXP(-LN(2)/25))/(LN(2)/25)*Calculateur!CG178*Calculateur!CI178*VLOOKUP('Données projet'!$B$12,Paramètres!$A$1:$I$89,3,0)*0.475*44/12</f>
        <v>5.6288357982433597E-2</v>
      </c>
      <c r="CM178" s="23">
        <f>EXP(-LN(2)/2)*CM177+(1-EXP(-LN(2)/2))/(LN(2)/2)*CG178*CJ178*VLOOKUP('Données projet'!$B$12,Paramètres!$A$1:$I$89,3,0)*0.475*44/12</f>
        <v>8.8270837060859936E-26</v>
      </c>
      <c r="CN178" s="24">
        <f t="shared" si="172"/>
        <v>0.83372116899092164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93.836028041880496</v>
      </c>
      <c r="CZ178" s="62">
        <f t="shared" si="150"/>
        <v>465.96044964631358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4.5640257102776172</v>
      </c>
      <c r="DG178" s="23">
        <f>EXP(-LN(2)/25)*DG177+(1-EXP(-LN(2)/25))/(LN(2)/25)*Calculateur!DB178*Calculateur!DD178*VLOOKUP('Données projet'!$B$13,Paramètres!$A$1:$I$89,3,0)*0.475*44/12</f>
        <v>0.32508772343242642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4.8891134337100439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-3.4106051316484809E-13</v>
      </c>
      <c r="DP178" s="18">
        <f>DO178*VLOOKUP('Données projet'!$B$14,Paramètres!$A$1:$I$89,3,0)*VLOOKUP('Données projet'!$B$14,Paramètres!$A$1:$I$89,5,0)</f>
        <v>-2.0395418687257919E-13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386.56102661082468</v>
      </c>
      <c r="DU178" s="62">
        <f t="shared" si="152"/>
        <v>410.28336627719011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1.1020075799542333</v>
      </c>
      <c r="EB178" s="23">
        <f>EXP(-LN(2)/25)*EB177+(1-EXP(-LN(2)/25))/(LN(2)/25)*Calculateur!DW178*Calculateur!DY178*VLOOKUP('Données projet'!$B$14,Paramètres!$A$1:$I$89,3,0)*0.475*44/12</f>
        <v>4.0001955143023953E-2</v>
      </c>
      <c r="EC178" s="23">
        <f>EXP(-LN(2)/2)*EC177+(1-EXP(-LN(2)/2))/(LN(2)/2)*DW178*DZ178*VLOOKUP('Données projet'!$B$14,Paramètres!$A$1:$I$89,3,0)*0.475*44/12</f>
        <v>1.9505379727348131E-21</v>
      </c>
      <c r="ED178" s="24">
        <f t="shared" si="178"/>
        <v>1.1420095350972572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499.92116338695428</v>
      </c>
      <c r="T179" s="62">
        <f t="shared" si="142"/>
        <v>316.79403154855652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4.1882023107575161E-2</v>
      </c>
      <c r="AB179" s="23">
        <f>EXP(-LN(2)/2)*AB178+(1-EXP(-LN(2)/2))/(LN(2)/2)*V179*Y179*VLOOKUP('Données projet'!$B$9,Paramètres!$A$1:$I$89,3,0)*0.475*44/12</f>
        <v>2.4890735456045061E-21</v>
      </c>
      <c r="AC179" s="24">
        <f t="shared" si="163"/>
        <v>4.1882023107575161E-2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286.92967690690091</v>
      </c>
      <c r="AN179" s="62">
        <f ca="1">AVERAGE(OFFSET($AM$3,0,0,'Données projet'!$E$10+1,1))-AVERAGE(OFFSET($H$3,0,0,'Données projet'!$E$10+1,1))</f>
        <v>225.71928466161592</v>
      </c>
      <c r="AO179" s="62">
        <f t="shared" si="144"/>
        <v>385.98818770742025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211.70619219850786</v>
      </c>
      <c r="BJ179" s="62">
        <f t="shared" si="146"/>
        <v>426.883837098247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5.4833020407494297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2.8162251379251586E-20</v>
      </c>
      <c r="BS179" s="24">
        <f t="shared" si="169"/>
        <v>5.4833020407494297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1.9895196601282805E-13</v>
      </c>
      <c r="BZ179" s="14">
        <f>BY179*VLOOKUP('Données projet'!$B$12,Paramètres!$A$1:$I$89,3,0)*VLOOKUP('Données projet'!$B$12,Paramètres!$A$1:$I$89,5,0)</f>
        <v>1.8001173884840681E-13</v>
      </c>
      <c r="CA179" s="14">
        <f t="shared" si="170"/>
        <v>2.5254331426407198E-12</v>
      </c>
      <c r="CB179" s="22">
        <f t="shared" si="171"/>
        <v>4.7119831685935622E-12</v>
      </c>
      <c r="CC179" s="62">
        <f t="shared" si="119"/>
        <v>286.92967690690455</v>
      </c>
      <c r="CD179" s="62">
        <f ca="1">AVERAGE(OFFSET($CC$3,0,0,'Données projet'!$E$12+1,1))-AVERAGE(OFFSET($H$3,0,0,'Données projet'!$E$12+1,1))</f>
        <v>327.07074355218322</v>
      </c>
      <c r="CE179" s="62">
        <f t="shared" si="148"/>
        <v>462.01668587029087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0.76218782777180416</v>
      </c>
      <c r="CL179" s="23">
        <f>EXP(-LN(2)/25)*CL178+(1-EXP(-LN(2)/25))/(LN(2)/25)*Calculateur!CG179*Calculateur!CI179*VLOOKUP('Données projet'!$B$12,Paramètres!$A$1:$I$89,3,0)*0.475*44/12</f>
        <v>5.4749149873327851E-2</v>
      </c>
      <c r="CM179" s="23">
        <f>EXP(-LN(2)/2)*CM178+(1-EXP(-LN(2)/2))/(LN(2)/2)*CG179*CJ179*VLOOKUP('Données projet'!$B$12,Paramètres!$A$1:$I$89,3,0)*0.475*44/12</f>
        <v>6.2416907466746876E-26</v>
      </c>
      <c r="CN179" s="24">
        <f t="shared" si="172"/>
        <v>0.81693697764513207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93.836028041880496</v>
      </c>
      <c r="CZ179" s="62">
        <f t="shared" si="150"/>
        <v>465.96044964631358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4.4745279498798807</v>
      </c>
      <c r="DG179" s="23">
        <f>EXP(-LN(2)/25)*DG178+(1-EXP(-LN(2)/25))/(LN(2)/25)*Calculateur!DB179*Calculateur!DD179*VLOOKUP('Données projet'!$B$13,Paramètres!$A$1:$I$89,3,0)*0.475*44/12</f>
        <v>0.31619818253954635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4.7907261324194268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-3.4106051316484809E-13</v>
      </c>
      <c r="DP179" s="18">
        <f>DO179*VLOOKUP('Données projet'!$B$14,Paramètres!$A$1:$I$89,3,0)*VLOOKUP('Données projet'!$B$14,Paramètres!$A$1:$I$89,5,0)</f>
        <v>-2.0395418687257919E-13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386.56102661082468</v>
      </c>
      <c r="DU179" s="62">
        <f t="shared" si="152"/>
        <v>410.28336627719011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1.0803978834695844</v>
      </c>
      <c r="EB179" s="23">
        <f>EXP(-LN(2)/25)*EB178+(1-EXP(-LN(2)/25))/(LN(2)/25)*Calculateur!DW179*Calculateur!DY179*VLOOKUP('Données projet'!$B$14,Paramètres!$A$1:$I$89,3,0)*0.475*44/12</f>
        <v>3.8908099576026568E-2</v>
      </c>
      <c r="EC179" s="23">
        <f>EXP(-LN(2)/2)*EC178+(1-EXP(-LN(2)/2))/(LN(2)/2)*DW179*DZ179*VLOOKUP('Données projet'!$B$14,Paramètres!$A$1:$I$89,3,0)*0.475*44/12</f>
        <v>1.3792386274826475E-21</v>
      </c>
      <c r="ED179" s="24">
        <f t="shared" si="178"/>
        <v>1.1193059830456109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499.92116338695428</v>
      </c>
      <c r="T180" s="62">
        <f t="shared" si="142"/>
        <v>316.79403154855652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4.0736756983218644E-2</v>
      </c>
      <c r="AB180" s="23">
        <f>EXP(-LN(2)/2)*AB179+(1-EXP(-LN(2)/2))/(LN(2)/2)*V180*Y180*VLOOKUP('Données projet'!$B$9,Paramètres!$A$1:$I$89,3,0)*0.475*44/12</f>
        <v>1.7600407829689895E-21</v>
      </c>
      <c r="AC180" s="24">
        <f t="shared" si="163"/>
        <v>4.0736756983218644E-2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287.0407660294685</v>
      </c>
      <c r="AN180" s="62">
        <f ca="1">AVERAGE(OFFSET($AM$3,0,0,'Données projet'!$E$10+1,1))-AVERAGE(OFFSET($H$3,0,0,'Données projet'!$E$10+1,1))</f>
        <v>225.71928466161592</v>
      </c>
      <c r="AO180" s="62">
        <f t="shared" si="144"/>
        <v>385.98818770742025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211.70619219850786</v>
      </c>
      <c r="BJ180" s="62">
        <f t="shared" si="146"/>
        <v>426.883837098247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5.3757778322143377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1.9913718923748998E-20</v>
      </c>
      <c r="BS180" s="24">
        <f t="shared" si="169"/>
        <v>5.3757778322143377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1.9895196601282805E-13</v>
      </c>
      <c r="BZ180" s="14">
        <f>BY180*VLOOKUP('Données projet'!$B$12,Paramètres!$A$1:$I$89,3,0)*VLOOKUP('Données projet'!$B$12,Paramètres!$A$1:$I$89,5,0)</f>
        <v>1.8001173884840681E-13</v>
      </c>
      <c r="CA180" s="14">
        <f t="shared" si="170"/>
        <v>2.5254331426407198E-12</v>
      </c>
      <c r="CB180" s="22">
        <f t="shared" si="171"/>
        <v>4.7119831685935622E-12</v>
      </c>
      <c r="CC180" s="62">
        <f t="shared" si="119"/>
        <v>287.04076602947214</v>
      </c>
      <c r="CD180" s="62">
        <f ca="1">AVERAGE(OFFSET($CC$3,0,0,'Données projet'!$E$12+1,1))-AVERAGE(OFFSET($H$3,0,0,'Données projet'!$E$12+1,1))</f>
        <v>327.07074355218322</v>
      </c>
      <c r="CE180" s="62">
        <f t="shared" si="148"/>
        <v>462.01668587029087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0.74724178935787011</v>
      </c>
      <c r="CL180" s="23">
        <f>EXP(-LN(2)/25)*CL179+(1-EXP(-LN(2)/25))/(LN(2)/25)*Calculateur!CG180*Calculateur!CI180*VLOOKUP('Données projet'!$B$12,Paramètres!$A$1:$I$89,3,0)*0.475*44/12</f>
        <v>5.3252031490909041E-2</v>
      </c>
      <c r="CM180" s="23">
        <f>EXP(-LN(2)/2)*CM179+(1-EXP(-LN(2)/2))/(LN(2)/2)*CG180*CJ180*VLOOKUP('Données projet'!$B$12,Paramètres!$A$1:$I$89,3,0)*0.475*44/12</f>
        <v>4.4135418530429968E-26</v>
      </c>
      <c r="CN180" s="24">
        <f t="shared" si="172"/>
        <v>0.80049382084877918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93.836028041880496</v>
      </c>
      <c r="CZ180" s="62">
        <f t="shared" si="150"/>
        <v>465.96044964631358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4.3867851859753006</v>
      </c>
      <c r="DG180" s="23">
        <f>EXP(-LN(2)/25)*DG179+(1-EXP(-LN(2)/25))/(LN(2)/25)*Calculateur!DB180*Calculateur!DD180*VLOOKUP('Données projet'!$B$13,Paramètres!$A$1:$I$89,3,0)*0.475*44/12</f>
        <v>0.30755172660986269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4.6943369125851637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-3.4106051316484809E-13</v>
      </c>
      <c r="DP180" s="18">
        <f>DO180*VLOOKUP('Données projet'!$B$14,Paramètres!$A$1:$I$89,3,0)*VLOOKUP('Données projet'!$B$14,Paramètres!$A$1:$I$89,5,0)</f>
        <v>-2.0395418687257919E-13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386.56102661082468</v>
      </c>
      <c r="DU180" s="62">
        <f t="shared" si="152"/>
        <v>410.28336627719011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1.0592119399523861</v>
      </c>
      <c r="EB180" s="23">
        <f>EXP(-LN(2)/25)*EB179+(1-EXP(-LN(2)/25))/(LN(2)/25)*Calculateur!DW180*Calculateur!DY180*VLOOKUP('Données projet'!$B$14,Paramètres!$A$1:$I$89,3,0)*0.475*44/12</f>
        <v>3.7844155547032091E-2</v>
      </c>
      <c r="EC180" s="23">
        <f>EXP(-LN(2)/2)*EC179+(1-EXP(-LN(2)/2))/(LN(2)/2)*DW180*DZ180*VLOOKUP('Données projet'!$B$14,Paramètres!$A$1:$I$89,3,0)*0.475*44/12</f>
        <v>9.7526898636740655E-22</v>
      </c>
      <c r="ED180" s="24">
        <f t="shared" si="178"/>
        <v>1.0970560954994182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499.92116338695428</v>
      </c>
      <c r="T181" s="62">
        <f t="shared" si="142"/>
        <v>316.79403154855652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3.9622808221259583E-2</v>
      </c>
      <c r="AB181" s="23">
        <f>EXP(-LN(2)/2)*AB180+(1-EXP(-LN(2)/2))/(LN(2)/2)*V181*Y181*VLOOKUP('Données projet'!$B$9,Paramètres!$A$1:$I$89,3,0)*0.475*44/12</f>
        <v>1.244536772802253E-21</v>
      </c>
      <c r="AC181" s="24">
        <f t="shared" si="163"/>
        <v>3.9622808221259583E-2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287.14992800411767</v>
      </c>
      <c r="AN181" s="62">
        <f ca="1">AVERAGE(OFFSET($AM$3,0,0,'Données projet'!$E$10+1,1))-AVERAGE(OFFSET($H$3,0,0,'Données projet'!$E$10+1,1))</f>
        <v>225.71928466161592</v>
      </c>
      <c r="AO181" s="62">
        <f t="shared" si="144"/>
        <v>385.98818770742025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211.70619219850786</v>
      </c>
      <c r="BJ181" s="62">
        <f t="shared" si="146"/>
        <v>426.883837098247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5.2703621078253278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1.4081125689625793E-20</v>
      </c>
      <c r="BS181" s="24">
        <f t="shared" si="169"/>
        <v>5.2703621078253278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1.9895196601282805E-13</v>
      </c>
      <c r="BZ181" s="14">
        <f>BY181*VLOOKUP('Données projet'!$B$12,Paramètres!$A$1:$I$89,3,0)*VLOOKUP('Données projet'!$B$12,Paramètres!$A$1:$I$89,5,0)</f>
        <v>1.8001173884840681E-13</v>
      </c>
      <c r="CA181" s="14">
        <f t="shared" si="170"/>
        <v>2.5254331426407198E-12</v>
      </c>
      <c r="CB181" s="22">
        <f t="shared" si="171"/>
        <v>4.7119831685935622E-12</v>
      </c>
      <c r="CC181" s="62">
        <f t="shared" si="119"/>
        <v>287.14992800412131</v>
      </c>
      <c r="CD181" s="62">
        <f ca="1">AVERAGE(OFFSET($CC$3,0,0,'Données projet'!$E$12+1,1))-AVERAGE(OFFSET($H$3,0,0,'Données projet'!$E$12+1,1))</f>
        <v>327.07074355218322</v>
      </c>
      <c r="CE181" s="62">
        <f t="shared" si="148"/>
        <v>462.01668587029087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0.73258883364104999</v>
      </c>
      <c r="CL181" s="23">
        <f>EXP(-LN(2)/25)*CL180+(1-EXP(-LN(2)/25))/(LN(2)/25)*Calculateur!CG181*Calculateur!CI181*VLOOKUP('Données projet'!$B$12,Paramètres!$A$1:$I$89,3,0)*0.475*44/12</f>
        <v>5.1795851889387505E-2</v>
      </c>
      <c r="CM181" s="23">
        <f>EXP(-LN(2)/2)*CM180+(1-EXP(-LN(2)/2))/(LN(2)/2)*CG181*CJ181*VLOOKUP('Données projet'!$B$12,Paramètres!$A$1:$I$89,3,0)*0.475*44/12</f>
        <v>3.1208453733373438E-26</v>
      </c>
      <c r="CN181" s="24">
        <f t="shared" si="172"/>
        <v>0.7843846855304375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93.836028041880496</v>
      </c>
      <c r="CZ181" s="62">
        <f t="shared" si="150"/>
        <v>465.96044964631358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4.3007630041530875</v>
      </c>
      <c r="DG181" s="23">
        <f>EXP(-LN(2)/25)*DG180+(1-EXP(-LN(2)/25))/(LN(2)/25)*Calculateur!DB181*Calculateur!DD181*VLOOKUP('Données projet'!$B$13,Paramètres!$A$1:$I$89,3,0)*0.475*44/12</f>
        <v>0.29914170847227362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4.5999047126253609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-3.4106051316484809E-13</v>
      </c>
      <c r="DP181" s="18">
        <f>DO181*VLOOKUP('Données projet'!$B$14,Paramètres!$A$1:$I$89,3,0)*VLOOKUP('Données projet'!$B$14,Paramètres!$A$1:$I$89,5,0)</f>
        <v>-2.0395418687257919E-13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386.56102661082468</v>
      </c>
      <c r="DU181" s="62">
        <f t="shared" si="152"/>
        <v>410.28336627719011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1.0384414398654105</v>
      </c>
      <c r="EB181" s="23">
        <f>EXP(-LN(2)/25)*EB180+(1-EXP(-LN(2)/25))/(LN(2)/25)*Calculateur!DW181*Calculateur!DY181*VLOOKUP('Données projet'!$B$14,Paramètres!$A$1:$I$89,3,0)*0.475*44/12</f>
        <v>3.6809305123460853E-2</v>
      </c>
      <c r="EC181" s="23">
        <f>EXP(-LN(2)/2)*EC180+(1-EXP(-LN(2)/2))/(LN(2)/2)*DW181*DZ181*VLOOKUP('Données projet'!$B$14,Paramètres!$A$1:$I$89,3,0)*0.475*44/12</f>
        <v>6.8961931374132376E-22</v>
      </c>
      <c r="ED181" s="24">
        <f t="shared" si="178"/>
        <v>1.0752507449888713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499.92116338695428</v>
      </c>
      <c r="T182" s="62">
        <f t="shared" si="142"/>
        <v>316.79403154855652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3.8539320446776312E-2</v>
      </c>
      <c r="AB182" s="23">
        <f>EXP(-LN(2)/2)*AB181+(1-EXP(-LN(2)/2))/(LN(2)/2)*V182*Y182*VLOOKUP('Données projet'!$B$9,Paramètres!$A$1:$I$89,3,0)*0.475*44/12</f>
        <v>8.8002039148449475E-22</v>
      </c>
      <c r="AC182" s="24">
        <f t="shared" si="163"/>
        <v>3.8539320446776312E-2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287.25719626255619</v>
      </c>
      <c r="AN182" s="62">
        <f ca="1">AVERAGE(OFFSET($AM$3,0,0,'Données projet'!$E$10+1,1))-AVERAGE(OFFSET($H$3,0,0,'Données projet'!$E$10+1,1))</f>
        <v>225.71928466161592</v>
      </c>
      <c r="AO182" s="62">
        <f t="shared" si="144"/>
        <v>385.98818770742025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211.70619219850786</v>
      </c>
      <c r="BJ182" s="62">
        <f t="shared" si="146"/>
        <v>426.883837098247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5.1670135214943436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9.9568594618744988E-21</v>
      </c>
      <c r="BS182" s="24">
        <f t="shared" si="169"/>
        <v>5.1670135214943436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1.9895196601282805E-13</v>
      </c>
      <c r="BZ182" s="14">
        <f>BY182*VLOOKUP('Données projet'!$B$12,Paramètres!$A$1:$I$89,3,0)*VLOOKUP('Données projet'!$B$12,Paramètres!$A$1:$I$89,5,0)</f>
        <v>1.8001173884840681E-13</v>
      </c>
      <c r="CA182" s="14">
        <f t="shared" si="170"/>
        <v>2.5254331426407198E-12</v>
      </c>
      <c r="CB182" s="22">
        <f t="shared" si="171"/>
        <v>4.7119831685935622E-12</v>
      </c>
      <c r="CC182" s="62">
        <f t="shared" si="119"/>
        <v>287.25719626255983</v>
      </c>
      <c r="CD182" s="62">
        <f ca="1">AVERAGE(OFFSET($CC$3,0,0,'Données projet'!$E$12+1,1))-AVERAGE(OFFSET($H$3,0,0,'Données projet'!$E$12+1,1))</f>
        <v>327.07074355218322</v>
      </c>
      <c r="CE182" s="62">
        <f t="shared" si="148"/>
        <v>462.01668587029087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0.71822321344841622</v>
      </c>
      <c r="CL182" s="23">
        <f>EXP(-LN(2)/25)*CL181+(1-EXP(-LN(2)/25))/(LN(2)/25)*Calculateur!CG182*Calculateur!CI182*VLOOKUP('Données projet'!$B$12,Paramètres!$A$1:$I$89,3,0)*0.475*44/12</f>
        <v>5.0379491595646732E-2</v>
      </c>
      <c r="CM182" s="23">
        <f>EXP(-LN(2)/2)*CM181+(1-EXP(-LN(2)/2))/(LN(2)/2)*CG182*CJ182*VLOOKUP('Données projet'!$B$12,Paramètres!$A$1:$I$89,3,0)*0.475*44/12</f>
        <v>2.2067709265214984E-26</v>
      </c>
      <c r="CN182" s="24">
        <f t="shared" si="172"/>
        <v>0.76860270504406292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93.836028041880496</v>
      </c>
      <c r="CZ182" s="62">
        <f t="shared" si="150"/>
        <v>465.96044964631358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4.2164276648480579</v>
      </c>
      <c r="DG182" s="23">
        <f>EXP(-LN(2)/25)*DG181+(1-EXP(-LN(2)/25))/(LN(2)/25)*Calculateur!DB182*Calculateur!DD182*VLOOKUP('Données projet'!$B$13,Paramètres!$A$1:$I$89,3,0)*0.475*44/12</f>
        <v>0.29096166272292057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4.5073893275709782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-3.4106051316484809E-13</v>
      </c>
      <c r="DP182" s="18">
        <f>DO182*VLOOKUP('Données projet'!$B$14,Paramètres!$A$1:$I$89,3,0)*VLOOKUP('Données projet'!$B$14,Paramètres!$A$1:$I$89,5,0)</f>
        <v>-2.0395418687257919E-13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386.56102661082468</v>
      </c>
      <c r="DU182" s="62">
        <f t="shared" si="152"/>
        <v>410.28336627719011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1.0180782366163863</v>
      </c>
      <c r="EB182" s="23">
        <f>EXP(-LN(2)/25)*EB181+(1-EXP(-LN(2)/25))/(LN(2)/25)*Calculateur!DW182*Calculateur!DY182*VLOOKUP('Données projet'!$B$14,Paramètres!$A$1:$I$89,3,0)*0.475*44/12</f>
        <v>3.5802752739142588E-2</v>
      </c>
      <c r="EC182" s="23">
        <f>EXP(-LN(2)/2)*EC181+(1-EXP(-LN(2)/2))/(LN(2)/2)*DW182*DZ182*VLOOKUP('Données projet'!$B$14,Paramètres!$A$1:$I$89,3,0)*0.475*44/12</f>
        <v>4.8763449318370328E-22</v>
      </c>
      <c r="ED182" s="24">
        <f t="shared" si="178"/>
        <v>1.053880989355529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499.92116338695428</v>
      </c>
      <c r="T183" s="62">
        <f t="shared" si="142"/>
        <v>316.79403154855652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3.7485460702464432E-2</v>
      </c>
      <c r="AB183" s="23">
        <f>EXP(-LN(2)/2)*AB182+(1-EXP(-LN(2)/2))/(LN(2)/2)*V183*Y183*VLOOKUP('Données projet'!$B$9,Paramètres!$A$1:$I$89,3,0)*0.475*44/12</f>
        <v>6.2226838640112652E-22</v>
      </c>
      <c r="AC183" s="24">
        <f t="shared" si="163"/>
        <v>3.7485460702464432E-2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287.3626036565268</v>
      </c>
      <c r="AN183" s="62">
        <f ca="1">AVERAGE(OFFSET($AM$3,0,0,'Données projet'!$E$10+1,1))-AVERAGE(OFFSET($H$3,0,0,'Données projet'!$E$10+1,1))</f>
        <v>225.71928466161592</v>
      </c>
      <c r="AO183" s="62">
        <f t="shared" si="144"/>
        <v>385.98818770742025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211.70619219850786</v>
      </c>
      <c r="BJ183" s="62">
        <f t="shared" si="146"/>
        <v>426.883837098247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5.0656915379048959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7.0405628448128964E-21</v>
      </c>
      <c r="BS183" s="24">
        <f t="shared" si="169"/>
        <v>5.0656915379048959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1.9895196601282805E-13</v>
      </c>
      <c r="BZ183" s="14">
        <f>BY183*VLOOKUP('Données projet'!$B$12,Paramètres!$A$1:$I$89,3,0)*VLOOKUP('Données projet'!$B$12,Paramètres!$A$1:$I$89,5,0)</f>
        <v>1.8001173884840681E-13</v>
      </c>
      <c r="CA183" s="14">
        <f t="shared" si="170"/>
        <v>2.5254331426407198E-12</v>
      </c>
      <c r="CB183" s="22">
        <f t="shared" si="171"/>
        <v>4.7119831685935622E-12</v>
      </c>
      <c r="CC183" s="62">
        <f t="shared" si="119"/>
        <v>287.36260365653044</v>
      </c>
      <c r="CD183" s="62">
        <f ca="1">AVERAGE(OFFSET($CC$3,0,0,'Données projet'!$E$12+1,1))-AVERAGE(OFFSET($H$3,0,0,'Données projet'!$E$12+1,1))</f>
        <v>327.07074355218322</v>
      </c>
      <c r="CE183" s="62">
        <f t="shared" si="148"/>
        <v>462.01668587029087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0.70413929430559685</v>
      </c>
      <c r="CL183" s="23">
        <f>EXP(-LN(2)/25)*CL182+(1-EXP(-LN(2)/25))/(LN(2)/25)*Calculateur!CG183*Calculateur!CI183*VLOOKUP('Données projet'!$B$12,Paramètres!$A$1:$I$89,3,0)*0.475*44/12</f>
        <v>4.900186174862145E-2</v>
      </c>
      <c r="CM183" s="23">
        <f>EXP(-LN(2)/2)*CM182+(1-EXP(-LN(2)/2))/(LN(2)/2)*CG183*CJ183*VLOOKUP('Données projet'!$B$12,Paramètres!$A$1:$I$89,3,0)*0.475*44/12</f>
        <v>1.5604226866686719E-26</v>
      </c>
      <c r="CN183" s="24">
        <f t="shared" si="172"/>
        <v>0.75314115605421827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93.836028041880496</v>
      </c>
      <c r="CZ183" s="62">
        <f t="shared" si="150"/>
        <v>465.96044964631358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4.133746090107322</v>
      </c>
      <c r="DG183" s="23">
        <f>EXP(-LN(2)/25)*DG182+(1-EXP(-LN(2)/25))/(LN(2)/25)*Calculateur!DB183*Calculateur!DD183*VLOOKUP('Données projet'!$B$13,Paramètres!$A$1:$I$89,3,0)*0.475*44/12</f>
        <v>0.28300530075475344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4.4167513908620757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-3.4106051316484809E-13</v>
      </c>
      <c r="DP183" s="18">
        <f>DO183*VLOOKUP('Données projet'!$B$14,Paramètres!$A$1:$I$89,3,0)*VLOOKUP('Données projet'!$B$14,Paramètres!$A$1:$I$89,5,0)</f>
        <v>-2.0395418687257919E-13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386.56102661082468</v>
      </c>
      <c r="DU183" s="62">
        <f t="shared" si="152"/>
        <v>410.28336627719011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0.99811434336274796</v>
      </c>
      <c r="EB183" s="23">
        <f>EXP(-LN(2)/25)*EB182+(1-EXP(-LN(2)/25))/(LN(2)/25)*Calculateur!DW183*Calculateur!DY183*VLOOKUP('Données projet'!$B$14,Paramètres!$A$1:$I$89,3,0)*0.475*44/12</f>
        <v>3.4823724582705794E-2</v>
      </c>
      <c r="EC183" s="23">
        <f>EXP(-LN(2)/2)*EC182+(1-EXP(-LN(2)/2))/(LN(2)/2)*DW183*DZ183*VLOOKUP('Données projet'!$B$14,Paramètres!$A$1:$I$89,3,0)*0.475*44/12</f>
        <v>3.4480965687066188E-22</v>
      </c>
      <c r="ED183" s="24">
        <f t="shared" si="178"/>
        <v>1.0329380679454538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499.92116338695428</v>
      </c>
      <c r="T184" s="62">
        <f t="shared" si="142"/>
        <v>316.79403154855652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3.6460418808280839E-2</v>
      </c>
      <c r="AB184" s="23">
        <f>EXP(-LN(2)/2)*AB183+(1-EXP(-LN(2)/2))/(LN(2)/2)*V184*Y184*VLOOKUP('Données projet'!$B$9,Paramètres!$A$1:$I$89,3,0)*0.475*44/12</f>
        <v>4.4001019574224737E-22</v>
      </c>
      <c r="AC184" s="24">
        <f t="shared" si="163"/>
        <v>3.6460418808280839E-2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287.46618246786761</v>
      </c>
      <c r="AN184" s="62">
        <f ca="1">AVERAGE(OFFSET($AM$3,0,0,'Données projet'!$E$10+1,1))-AVERAGE(OFFSET($H$3,0,0,'Données projet'!$E$10+1,1))</f>
        <v>225.71928466161592</v>
      </c>
      <c r="AO184" s="62">
        <f t="shared" si="144"/>
        <v>385.98818770742025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211.70619219850786</v>
      </c>
      <c r="BJ184" s="62">
        <f t="shared" si="146"/>
        <v>426.883837098247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4.9663564166133298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4.9784297309372494E-21</v>
      </c>
      <c r="BS184" s="24">
        <f t="shared" si="169"/>
        <v>4.9663564166133298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1.9895196601282805E-13</v>
      </c>
      <c r="BZ184" s="14">
        <f>BY184*VLOOKUP('Données projet'!$B$12,Paramètres!$A$1:$I$89,3,0)*VLOOKUP('Données projet'!$B$12,Paramètres!$A$1:$I$89,5,0)</f>
        <v>1.8001173884840681E-13</v>
      </c>
      <c r="CA184" s="14">
        <f t="shared" si="170"/>
        <v>2.5254331426407198E-12</v>
      </c>
      <c r="CB184" s="22">
        <f t="shared" si="171"/>
        <v>4.7119831685935622E-12</v>
      </c>
      <c r="CC184" s="62">
        <f t="shared" si="119"/>
        <v>287.46618246787125</v>
      </c>
      <c r="CD184" s="62">
        <f ca="1">AVERAGE(OFFSET($CC$3,0,0,'Données projet'!$E$12+1,1))-AVERAGE(OFFSET($H$3,0,0,'Données projet'!$E$12+1,1))</f>
        <v>327.07074355218322</v>
      </c>
      <c r="CE184" s="62">
        <f t="shared" si="148"/>
        <v>462.01668587029087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0.69033155222682574</v>
      </c>
      <c r="CL184" s="23">
        <f>EXP(-LN(2)/25)*CL183+(1-EXP(-LN(2)/25))/(LN(2)/25)*Calculateur!CG184*Calculateur!CI184*VLOOKUP('Données projet'!$B$12,Paramètres!$A$1:$I$89,3,0)*0.475*44/12</f>
        <v>4.7661903262209482E-2</v>
      </c>
      <c r="CM184" s="23">
        <f>EXP(-LN(2)/2)*CM183+(1-EXP(-LN(2)/2))/(LN(2)/2)*CG184*CJ184*VLOOKUP('Données projet'!$B$12,Paramètres!$A$1:$I$89,3,0)*0.475*44/12</f>
        <v>1.1033854632607492E-26</v>
      </c>
      <c r="CN184" s="24">
        <f t="shared" si="172"/>
        <v>0.73799345548903528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93.836028041880496</v>
      </c>
      <c r="CZ184" s="62">
        <f t="shared" si="150"/>
        <v>465.96044964631358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4.0526858506164709</v>
      </c>
      <c r="DG184" s="23">
        <f>EXP(-LN(2)/25)*DG183+(1-EXP(-LN(2)/25))/(LN(2)/25)*Calculateur!DB184*Calculateur!DD184*VLOOKUP('Données projet'!$B$13,Paramètres!$A$1:$I$89,3,0)*0.475*44/12</f>
        <v>0.27526650592301277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4.327952356539484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-3.4106051316484809E-13</v>
      </c>
      <c r="DP184" s="18">
        <f>DO184*VLOOKUP('Données projet'!$B$14,Paramètres!$A$1:$I$89,3,0)*VLOOKUP('Données projet'!$B$14,Paramètres!$A$1:$I$89,5,0)</f>
        <v>-2.0395418687257919E-13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386.56102661082468</v>
      </c>
      <c r="DU184" s="62">
        <f t="shared" si="152"/>
        <v>410.28336627719011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0.97854192987904098</v>
      </c>
      <c r="EB184" s="23">
        <f>EXP(-LN(2)/25)*EB183+(1-EXP(-LN(2)/25))/(LN(2)/25)*Calculateur!DW184*Calculateur!DY184*VLOOKUP('Données projet'!$B$14,Paramètres!$A$1:$I$89,3,0)*0.475*44/12</f>
        <v>3.387146800269162E-2</v>
      </c>
      <c r="EC184" s="23">
        <f>EXP(-LN(2)/2)*EC183+(1-EXP(-LN(2)/2))/(LN(2)/2)*DW184*DZ184*VLOOKUP('Données projet'!$B$14,Paramètres!$A$1:$I$89,3,0)*0.475*44/12</f>
        <v>2.4381724659185164E-22</v>
      </c>
      <c r="ED184" s="24">
        <f t="shared" si="178"/>
        <v>1.0124133978817327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499.92116338695428</v>
      </c>
      <c r="T185" s="62">
        <f t="shared" si="142"/>
        <v>316.79403154855652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3.5463406738598303E-2</v>
      </c>
      <c r="AB185" s="23">
        <f>EXP(-LN(2)/2)*AB184+(1-EXP(-LN(2)/2))/(LN(2)/2)*V185*Y185*VLOOKUP('Données projet'!$B$9,Paramètres!$A$1:$I$89,3,0)*0.475*44/12</f>
        <v>3.1113419320056326E-22</v>
      </c>
      <c r="AC185" s="24">
        <f t="shared" si="163"/>
        <v>3.5463406738598303E-2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287.56796441839919</v>
      </c>
      <c r="AN185" s="62">
        <f ca="1">AVERAGE(OFFSET($AM$3,0,0,'Données projet'!$E$10+1,1))-AVERAGE(OFFSET($H$3,0,0,'Données projet'!$E$10+1,1))</f>
        <v>225.71928466161592</v>
      </c>
      <c r="AO185" s="62">
        <f t="shared" si="144"/>
        <v>385.98818770742025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211.70619219850786</v>
      </c>
      <c r="BJ185" s="62">
        <f t="shared" si="146"/>
        <v>426.883837098247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4.8689691964618502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3.5202814224064482E-21</v>
      </c>
      <c r="BS185" s="24">
        <f t="shared" si="169"/>
        <v>4.8689691964618502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1.9895196601282805E-13</v>
      </c>
      <c r="BZ185" s="14">
        <f>BY185*VLOOKUP('Données projet'!$B$12,Paramètres!$A$1:$I$89,3,0)*VLOOKUP('Données projet'!$B$12,Paramètres!$A$1:$I$89,5,0)</f>
        <v>1.8001173884840681E-13</v>
      </c>
      <c r="CA185" s="14">
        <f t="shared" si="170"/>
        <v>2.5254331426407198E-12</v>
      </c>
      <c r="CB185" s="22">
        <f t="shared" si="171"/>
        <v>4.7119831685935622E-12</v>
      </c>
      <c r="CC185" s="62">
        <f t="shared" si="119"/>
        <v>287.56796441840282</v>
      </c>
      <c r="CD185" s="62">
        <f ca="1">AVERAGE(OFFSET($CC$3,0,0,'Données projet'!$E$12+1,1))-AVERAGE(OFFSET($H$3,0,0,'Données projet'!$E$12+1,1))</f>
        <v>327.07074355218322</v>
      </c>
      <c r="CE185" s="62">
        <f t="shared" si="148"/>
        <v>462.01668587029087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0.67679457154832823</v>
      </c>
      <c r="CL185" s="23">
        <f>EXP(-LN(2)/25)*CL184+(1-EXP(-LN(2)/25))/(LN(2)/25)*Calculateur!CG185*Calculateur!CI185*VLOOKUP('Données projet'!$B$12,Paramètres!$A$1:$I$89,3,0)*0.475*44/12</f>
        <v>4.6358586011073802E-2</v>
      </c>
      <c r="CM185" s="23">
        <f>EXP(-LN(2)/2)*CM184+(1-EXP(-LN(2)/2))/(LN(2)/2)*CG185*CJ185*VLOOKUP('Données projet'!$B$12,Paramètres!$A$1:$I$89,3,0)*0.475*44/12</f>
        <v>7.8021134333433595E-27</v>
      </c>
      <c r="CN185" s="24">
        <f t="shared" si="172"/>
        <v>0.72315315755940202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93.836028041880496</v>
      </c>
      <c r="CZ185" s="62">
        <f t="shared" si="150"/>
        <v>465.96044964631358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3.9732151529801714</v>
      </c>
      <c r="DG185" s="23">
        <f>EXP(-LN(2)/25)*DG184+(1-EXP(-LN(2)/25))/(LN(2)/25)*Calculateur!DB185*Calculateur!DD185*VLOOKUP('Données projet'!$B$13,Paramètres!$A$1:$I$89,3,0)*0.475*44/12</f>
        <v>0.26773932884291157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4.2409544818230831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-3.4106051316484809E-13</v>
      </c>
      <c r="DP185" s="18">
        <f>DO185*VLOOKUP('Données projet'!$B$14,Paramètres!$A$1:$I$89,3,0)*VLOOKUP('Données projet'!$B$14,Paramètres!$A$1:$I$89,5,0)</f>
        <v>-2.0395418687257919E-13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386.56102661082468</v>
      </c>
      <c r="DU185" s="62">
        <f t="shared" si="152"/>
        <v>410.28336627719011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0.95935331948575597</v>
      </c>
      <c r="EB185" s="23">
        <f>EXP(-LN(2)/25)*EB184+(1-EXP(-LN(2)/25))/(LN(2)/25)*Calculateur!DW185*Calculateur!DY185*VLOOKUP('Données projet'!$B$14,Paramètres!$A$1:$I$89,3,0)*0.475*44/12</f>
        <v>3.2945250928934931E-2</v>
      </c>
      <c r="EC185" s="23">
        <f>EXP(-LN(2)/2)*EC184+(1-EXP(-LN(2)/2))/(LN(2)/2)*DW185*DZ185*VLOOKUP('Données projet'!$B$14,Paramètres!$A$1:$I$89,3,0)*0.475*44/12</f>
        <v>1.7240482843533094E-22</v>
      </c>
      <c r="ED185" s="24">
        <f t="shared" si="178"/>
        <v>0.99229857041469094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499.92116338695428</v>
      </c>
      <c r="T186" s="62">
        <f t="shared" si="142"/>
        <v>316.79403154855652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3.4493658016391822E-2</v>
      </c>
      <c r="AB186" s="23">
        <f>EXP(-LN(2)/2)*AB185+(1-EXP(-LN(2)/2))/(LN(2)/2)*V186*Y186*VLOOKUP('Données projet'!$B$9,Paramètres!$A$1:$I$89,3,0)*0.475*44/12</f>
        <v>2.2000509787112369E-22</v>
      </c>
      <c r="AC186" s="24">
        <f t="shared" si="163"/>
        <v>3.4493658016391822E-2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287.66798067963941</v>
      </c>
      <c r="AN186" s="62">
        <f ca="1">AVERAGE(OFFSET($AM$3,0,0,'Données projet'!$E$10+1,1))-AVERAGE(OFFSET($H$3,0,0,'Données projet'!$E$10+1,1))</f>
        <v>225.71928466161592</v>
      </c>
      <c r="AO186" s="62">
        <f t="shared" si="144"/>
        <v>385.98818770742025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211.70619219850786</v>
      </c>
      <c r="BJ186" s="62">
        <f t="shared" si="146"/>
        <v>426.883837098247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4.7734916802972016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2.4892148654686247E-21</v>
      </c>
      <c r="BS186" s="24">
        <f t="shared" si="169"/>
        <v>4.7734916802972016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1.9895196601282805E-13</v>
      </c>
      <c r="BZ186" s="14">
        <f>BY186*VLOOKUP('Données projet'!$B$12,Paramètres!$A$1:$I$89,3,0)*VLOOKUP('Données projet'!$B$12,Paramètres!$A$1:$I$89,5,0)</f>
        <v>1.8001173884840681E-13</v>
      </c>
      <c r="CA186" s="14">
        <f t="shared" si="170"/>
        <v>2.5254331426407198E-12</v>
      </c>
      <c r="CB186" s="22">
        <f t="shared" si="171"/>
        <v>4.7119831685935622E-12</v>
      </c>
      <c r="CC186" s="62">
        <f t="shared" si="119"/>
        <v>287.66798067964305</v>
      </c>
      <c r="CD186" s="62">
        <f ca="1">AVERAGE(OFFSET($CC$3,0,0,'Données projet'!$E$12+1,1))-AVERAGE(OFFSET($H$3,0,0,'Données projet'!$E$12+1,1))</f>
        <v>327.07074355218322</v>
      </c>
      <c r="CE186" s="62">
        <f t="shared" si="148"/>
        <v>462.01668587029087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0.66352304280419316</v>
      </c>
      <c r="CL186" s="23">
        <f>EXP(-LN(2)/25)*CL185+(1-EXP(-LN(2)/25))/(LN(2)/25)*Calculateur!CG186*Calculateur!CI186*VLOOKUP('Données projet'!$B$12,Paramètres!$A$1:$I$89,3,0)*0.475*44/12</f>
        <v>4.5090908038708903E-2</v>
      </c>
      <c r="CM186" s="23">
        <f>EXP(-LN(2)/2)*CM185+(1-EXP(-LN(2)/2))/(LN(2)/2)*CG186*CJ186*VLOOKUP('Données projet'!$B$12,Paramètres!$A$1:$I$89,3,0)*0.475*44/12</f>
        <v>5.516927316303746E-27</v>
      </c>
      <c r="CN186" s="24">
        <f t="shared" si="172"/>
        <v>0.70861395084290202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93.836028041880496</v>
      </c>
      <c r="CZ186" s="62">
        <f t="shared" si="150"/>
        <v>465.96044964631358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3.8953028272521806</v>
      </c>
      <c r="DG186" s="23">
        <f>EXP(-LN(2)/25)*DG185+(1-EXP(-LN(2)/25))/(LN(2)/25)*Calculateur!DB186*Calculateur!DD186*VLOOKUP('Données projet'!$B$13,Paramètres!$A$1:$I$89,3,0)*0.475*44/12</f>
        <v>0.26041798281590278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4.1557208100680834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-3.4106051316484809E-13</v>
      </c>
      <c r="DP186" s="18">
        <f>DO186*VLOOKUP('Données projet'!$B$14,Paramètres!$A$1:$I$89,3,0)*VLOOKUP('Données projet'!$B$14,Paramètres!$A$1:$I$89,5,0)</f>
        <v>-2.0395418687257919E-13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386.56102661082468</v>
      </c>
      <c r="DU186" s="62">
        <f t="shared" si="152"/>
        <v>410.28336627719011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0.94054098603838665</v>
      </c>
      <c r="EB186" s="23">
        <f>EXP(-LN(2)/25)*EB185+(1-EXP(-LN(2)/25))/(LN(2)/25)*Calculateur!DW186*Calculateur!DY186*VLOOKUP('Données projet'!$B$14,Paramètres!$A$1:$I$89,3,0)*0.475*44/12</f>
        <v>3.2044361309767753E-2</v>
      </c>
      <c r="EC186" s="23">
        <f>EXP(-LN(2)/2)*EC185+(1-EXP(-LN(2)/2))/(LN(2)/2)*DW186*DZ186*VLOOKUP('Données projet'!$B$14,Paramètres!$A$1:$I$89,3,0)*0.475*44/12</f>
        <v>1.2190862329592582E-22</v>
      </c>
      <c r="ED186" s="24">
        <f t="shared" si="178"/>
        <v>0.97258534734815438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499.92116338695428</v>
      </c>
      <c r="T187" s="62">
        <f t="shared" si="142"/>
        <v>316.79403154855652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3.355042712399095E-2</v>
      </c>
      <c r="AB187" s="23">
        <f>EXP(-LN(2)/2)*AB186+(1-EXP(-LN(2)/2))/(LN(2)/2)*V187*Y187*VLOOKUP('Données projet'!$B$9,Paramètres!$A$1:$I$89,3,0)*0.475*44/12</f>
        <v>1.5556709660028163E-22</v>
      </c>
      <c r="AC187" s="24">
        <f t="shared" si="163"/>
        <v>3.355042712399095E-2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287.76626188234991</v>
      </c>
      <c r="AN187" s="62">
        <f ca="1">AVERAGE(OFFSET($AM$3,0,0,'Données projet'!$E$10+1,1))-AVERAGE(OFFSET($H$3,0,0,'Données projet'!$E$10+1,1))</f>
        <v>225.71928466161592</v>
      </c>
      <c r="AO187" s="62">
        <f t="shared" si="144"/>
        <v>385.98818770742025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211.70619219850786</v>
      </c>
      <c r="BJ187" s="62">
        <f t="shared" si="146"/>
        <v>426.883837098247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4.6798864199890078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1.7601407112032241E-21</v>
      </c>
      <c r="BS187" s="24">
        <f t="shared" si="169"/>
        <v>4.6798864199890078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1.9895196601282805E-13</v>
      </c>
      <c r="BZ187" s="14">
        <f>BY187*VLOOKUP('Données projet'!$B$12,Paramètres!$A$1:$I$89,3,0)*VLOOKUP('Données projet'!$B$12,Paramètres!$A$1:$I$89,5,0)</f>
        <v>1.8001173884840681E-13</v>
      </c>
      <c r="CA187" s="14">
        <f t="shared" si="170"/>
        <v>2.5254331426407198E-12</v>
      </c>
      <c r="CB187" s="22">
        <f t="shared" si="171"/>
        <v>4.7119831685935622E-12</v>
      </c>
      <c r="CC187" s="62">
        <f t="shared" si="119"/>
        <v>287.76626188235355</v>
      </c>
      <c r="CD187" s="62">
        <f ca="1">AVERAGE(OFFSET($CC$3,0,0,'Données projet'!$E$12+1,1))-AVERAGE(OFFSET($H$3,0,0,'Données projet'!$E$12+1,1))</f>
        <v>327.07074355218322</v>
      </c>
      <c r="CE187" s="62">
        <f t="shared" si="148"/>
        <v>462.01668587029087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0.65051176064389737</v>
      </c>
      <c r="CL187" s="23">
        <f>EXP(-LN(2)/25)*CL186+(1-EXP(-LN(2)/25))/(LN(2)/25)*Calculateur!CG187*Calculateur!CI187*VLOOKUP('Données projet'!$B$12,Paramètres!$A$1:$I$89,3,0)*0.475*44/12</f>
        <v>4.3857894787162614E-2</v>
      </c>
      <c r="CM187" s="23">
        <f>EXP(-LN(2)/2)*CM186+(1-EXP(-LN(2)/2))/(LN(2)/2)*CG187*CJ187*VLOOKUP('Données projet'!$B$12,Paramètres!$A$1:$I$89,3,0)*0.475*44/12</f>
        <v>3.9010567166716798E-27</v>
      </c>
      <c r="CN187" s="24">
        <f t="shared" si="172"/>
        <v>0.69436965543106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93.836028041880496</v>
      </c>
      <c r="CZ187" s="62">
        <f t="shared" si="150"/>
        <v>465.96044964631358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3.8189183147098893</v>
      </c>
      <c r="DG187" s="23">
        <f>EXP(-LN(2)/25)*DG186+(1-EXP(-LN(2)/25))/(LN(2)/25)*Calculateur!DB187*Calculateur!DD187*VLOOKUP('Données projet'!$B$13,Paramètres!$A$1:$I$89,3,0)*0.475*44/12</f>
        <v>0.25329683938101538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4.0722151540909044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-3.4106051316484809E-13</v>
      </c>
      <c r="DP187" s="18">
        <f>DO187*VLOOKUP('Données projet'!$B$14,Paramètres!$A$1:$I$89,3,0)*VLOOKUP('Données projet'!$B$14,Paramètres!$A$1:$I$89,5,0)</f>
        <v>-2.0395418687257919E-13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386.56102661082468</v>
      </c>
      <c r="DU187" s="62">
        <f t="shared" si="152"/>
        <v>410.28336627719011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0.92209755097552981</v>
      </c>
      <c r="EB187" s="23">
        <f>EXP(-LN(2)/25)*EB186+(1-EXP(-LN(2)/25))/(LN(2)/25)*Calculateur!DW187*Calculateur!DY187*VLOOKUP('Données projet'!$B$14,Paramètres!$A$1:$I$89,3,0)*0.475*44/12</f>
        <v>3.1168106564612431E-2</v>
      </c>
      <c r="EC187" s="23">
        <f>EXP(-LN(2)/2)*EC186+(1-EXP(-LN(2)/2))/(LN(2)/2)*DW187*DZ187*VLOOKUP('Données projet'!$B$14,Paramètres!$A$1:$I$89,3,0)*0.475*44/12</f>
        <v>8.620241421766547E-23</v>
      </c>
      <c r="ED187" s="24">
        <f t="shared" si="178"/>
        <v>0.95326565754014225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499.92116338695428</v>
      </c>
      <c r="T188" s="62">
        <f t="shared" si="142"/>
        <v>316.79403154855652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3.2632988929945136E-2</v>
      </c>
      <c r="AB188" s="23">
        <f>EXP(-LN(2)/2)*AB187+(1-EXP(-LN(2)/2))/(LN(2)/2)*V188*Y188*VLOOKUP('Données projet'!$B$9,Paramètres!$A$1:$I$89,3,0)*0.475*44/12</f>
        <v>1.1000254893556184E-22</v>
      </c>
      <c r="AC188" s="24">
        <f t="shared" si="163"/>
        <v>3.2632988929945136E-2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287.86283812591734</v>
      </c>
      <c r="AN188" s="62">
        <f ca="1">AVERAGE(OFFSET($AM$3,0,0,'Données projet'!$E$10+1,1))-AVERAGE(OFFSET($H$3,0,0,'Données projet'!$E$10+1,1))</f>
        <v>225.71928466161592</v>
      </c>
      <c r="AO188" s="62">
        <f t="shared" si="144"/>
        <v>385.98818770742025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211.70619219850786</v>
      </c>
      <c r="BJ188" s="62">
        <f t="shared" si="146"/>
        <v>426.883837098247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4.5881167017418862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1.2446074327343123E-21</v>
      </c>
      <c r="BS188" s="24">
        <f t="shared" si="169"/>
        <v>4.5881167017418862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1.9895196601282805E-13</v>
      </c>
      <c r="BZ188" s="14">
        <f>BY188*VLOOKUP('Données projet'!$B$12,Paramètres!$A$1:$I$89,3,0)*VLOOKUP('Données projet'!$B$12,Paramètres!$A$1:$I$89,5,0)</f>
        <v>1.8001173884840681E-13</v>
      </c>
      <c r="CA188" s="14">
        <f t="shared" si="170"/>
        <v>2.5254331426407198E-12</v>
      </c>
      <c r="CB188" s="22">
        <f t="shared" si="171"/>
        <v>4.7119831685935622E-12</v>
      </c>
      <c r="CC188" s="62">
        <f t="shared" si="119"/>
        <v>287.86283812592097</v>
      </c>
      <c r="CD188" s="62">
        <f ca="1">AVERAGE(OFFSET($CC$3,0,0,'Données projet'!$E$12+1,1))-AVERAGE(OFFSET($H$3,0,0,'Données projet'!$E$12+1,1))</f>
        <v>327.07074355218322</v>
      </c>
      <c r="CE188" s="62">
        <f t="shared" si="148"/>
        <v>462.01668587029087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0.63775562179066647</v>
      </c>
      <c r="CL188" s="23">
        <f>EXP(-LN(2)/25)*CL187+(1-EXP(-LN(2)/25))/(LN(2)/25)*Calculateur!CG188*Calculateur!CI188*VLOOKUP('Données projet'!$B$12,Paramètres!$A$1:$I$89,3,0)*0.475*44/12</f>
        <v>4.2658598347821201E-2</v>
      </c>
      <c r="CM188" s="23">
        <f>EXP(-LN(2)/2)*CM187+(1-EXP(-LN(2)/2))/(LN(2)/2)*CG188*CJ188*VLOOKUP('Données projet'!$B$12,Paramètres!$A$1:$I$89,3,0)*0.475*44/12</f>
        <v>2.758463658151873E-27</v>
      </c>
      <c r="CN188" s="24">
        <f t="shared" si="172"/>
        <v>0.68041422013848762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93.836028041880496</v>
      </c>
      <c r="CZ188" s="62">
        <f t="shared" si="150"/>
        <v>465.96044964631358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3.7440316558686</v>
      </c>
      <c r="DG188" s="23">
        <f>EXP(-LN(2)/25)*DG187+(1-EXP(-LN(2)/25))/(LN(2)/25)*Calculateur!DB188*Calculateur!DD188*VLOOKUP('Données projet'!$B$13,Paramètres!$A$1:$I$89,3,0)*0.475*44/12</f>
        <v>0.24637042398783965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3.9904020798564397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-3.4106051316484809E-13</v>
      </c>
      <c r="DP188" s="18">
        <f>DO188*VLOOKUP('Données projet'!$B$14,Paramètres!$A$1:$I$89,3,0)*VLOOKUP('Données projet'!$B$14,Paramètres!$A$1:$I$89,5,0)</f>
        <v>-2.0395418687257919E-13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386.56102661082468</v>
      </c>
      <c r="DU188" s="62">
        <f t="shared" si="152"/>
        <v>410.28336627719011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0.90401578042487096</v>
      </c>
      <c r="EB188" s="23">
        <f>EXP(-LN(2)/25)*EB187+(1-EXP(-LN(2)/25))/(LN(2)/25)*Calculateur!DW188*Calculateur!DY188*VLOOKUP('Données projet'!$B$14,Paramètres!$A$1:$I$89,3,0)*0.475*44/12</f>
        <v>3.0315813051543614E-2</v>
      </c>
      <c r="EC188" s="23">
        <f>EXP(-LN(2)/2)*EC187+(1-EXP(-LN(2)/2))/(LN(2)/2)*DW188*DZ188*VLOOKUP('Données projet'!$B$14,Paramètres!$A$1:$I$89,3,0)*0.475*44/12</f>
        <v>6.0954311647962909E-23</v>
      </c>
      <c r="ED188" s="24">
        <f t="shared" si="178"/>
        <v>0.93433159347641459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499.92116338695428</v>
      </c>
      <c r="T189" s="62">
        <f t="shared" si="142"/>
        <v>316.79403154855652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3.1740638131561486E-2</v>
      </c>
      <c r="AB189" s="23">
        <f>EXP(-LN(2)/2)*AB188+(1-EXP(-LN(2)/2))/(LN(2)/2)*V189*Y189*VLOOKUP('Données projet'!$B$9,Paramètres!$A$1:$I$89,3,0)*0.475*44/12</f>
        <v>7.7783548300140815E-23</v>
      </c>
      <c r="AC189" s="24">
        <f t="shared" si="163"/>
        <v>3.1740638131561486E-2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287.95773898757091</v>
      </c>
      <c r="AN189" s="62">
        <f ca="1">AVERAGE(OFFSET($AM$3,0,0,'Données projet'!$E$10+1,1))-AVERAGE(OFFSET($H$3,0,0,'Données projet'!$E$10+1,1))</f>
        <v>225.71928466161592</v>
      </c>
      <c r="AO189" s="62">
        <f t="shared" si="144"/>
        <v>385.98818770742025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211.70619219850786</v>
      </c>
      <c r="BJ189" s="62">
        <f t="shared" si="146"/>
        <v>426.883837098247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4.4981465316955891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8.8007035560161205E-22</v>
      </c>
      <c r="BS189" s="24">
        <f t="shared" si="169"/>
        <v>4.4981465316955891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1.9895196601282805E-13</v>
      </c>
      <c r="BZ189" s="14">
        <f>BY189*VLOOKUP('Données projet'!$B$12,Paramètres!$A$1:$I$89,3,0)*VLOOKUP('Données projet'!$B$12,Paramètres!$A$1:$I$89,5,0)</f>
        <v>1.8001173884840681E-13</v>
      </c>
      <c r="CA189" s="14">
        <f t="shared" si="170"/>
        <v>2.5254331426407198E-12</v>
      </c>
      <c r="CB189" s="22">
        <f t="shared" si="171"/>
        <v>4.7119831685935622E-12</v>
      </c>
      <c r="CC189" s="62">
        <f t="shared" si="119"/>
        <v>287.95773898757454</v>
      </c>
      <c r="CD189" s="62">
        <f ca="1">AVERAGE(OFFSET($CC$3,0,0,'Données projet'!$E$12+1,1))-AVERAGE(OFFSET($H$3,0,0,'Données projet'!$E$12+1,1))</f>
        <v>327.07074355218322</v>
      </c>
      <c r="CE189" s="62">
        <f t="shared" si="148"/>
        <v>462.01668587029087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0.62524962303987097</v>
      </c>
      <c r="CL189" s="23">
        <f>EXP(-LN(2)/25)*CL188+(1-EXP(-LN(2)/25))/(LN(2)/25)*Calculateur!CG189*Calculateur!CI189*VLOOKUP('Données projet'!$B$12,Paramètres!$A$1:$I$89,3,0)*0.475*44/12</f>
        <v>4.1492096732681838E-2</v>
      </c>
      <c r="CM189" s="23">
        <f>EXP(-LN(2)/2)*CM188+(1-EXP(-LN(2)/2))/(LN(2)/2)*CG189*CJ189*VLOOKUP('Données projet'!$B$12,Paramètres!$A$1:$I$89,3,0)*0.475*44/12</f>
        <v>1.9505283583358399E-27</v>
      </c>
      <c r="CN189" s="24">
        <f t="shared" si="172"/>
        <v>0.66674171977255281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93.836028041880496</v>
      </c>
      <c r="CZ189" s="62">
        <f t="shared" si="150"/>
        <v>465.96044964631358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3.6706134787308367</v>
      </c>
      <c r="DG189" s="23">
        <f>EXP(-LN(2)/25)*DG188+(1-EXP(-LN(2)/25))/(LN(2)/25)*Calculateur!DB189*Calculateur!DD189*VLOOKUP('Données projet'!$B$13,Paramètres!$A$1:$I$89,3,0)*0.475*44/12</f>
        <v>0.23963341178783465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3.9102468905186711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-3.4106051316484809E-13</v>
      </c>
      <c r="DP189" s="18">
        <f>DO189*VLOOKUP('Données projet'!$B$14,Paramètres!$A$1:$I$89,3,0)*VLOOKUP('Données projet'!$B$14,Paramètres!$A$1:$I$89,5,0)</f>
        <v>-2.0395418687257919E-13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386.56102661082468</v>
      </c>
      <c r="DU189" s="62">
        <f t="shared" si="152"/>
        <v>410.28336627719011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0.88628858236591956</v>
      </c>
      <c r="EB189" s="23">
        <f>EXP(-LN(2)/25)*EB188+(1-EXP(-LN(2)/25))/(LN(2)/25)*Calculateur!DW189*Calculateur!DY189*VLOOKUP('Données projet'!$B$14,Paramètres!$A$1:$I$89,3,0)*0.475*44/12</f>
        <v>2.9486825549409831E-2</v>
      </c>
      <c r="EC189" s="23">
        <f>EXP(-LN(2)/2)*EC188+(1-EXP(-LN(2)/2))/(LN(2)/2)*DW189*DZ189*VLOOKUP('Données projet'!$B$14,Paramètres!$A$1:$I$89,3,0)*0.475*44/12</f>
        <v>4.3101207108832735E-23</v>
      </c>
      <c r="ED189" s="24">
        <f t="shared" si="178"/>
        <v>0.91577540791532941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499.92116338695428</v>
      </c>
      <c r="T190" s="62">
        <f t="shared" si="142"/>
        <v>316.79403154855652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3.0872688712686322E-2</v>
      </c>
      <c r="AB190" s="23">
        <f>EXP(-LN(2)/2)*AB189+(1-EXP(-LN(2)/2))/(LN(2)/2)*V190*Y190*VLOOKUP('Données projet'!$B$9,Paramètres!$A$1:$I$89,3,0)*0.475*44/12</f>
        <v>5.5001274467780922E-23</v>
      </c>
      <c r="AC190" s="24">
        <f t="shared" si="163"/>
        <v>3.0872688712686322E-2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288.05099353144146</v>
      </c>
      <c r="AN190" s="62">
        <f ca="1">AVERAGE(OFFSET($AM$3,0,0,'Données projet'!$E$10+1,1))-AVERAGE(OFFSET($H$3,0,0,'Données projet'!$E$10+1,1))</f>
        <v>225.71928466161592</v>
      </c>
      <c r="AO190" s="62">
        <f t="shared" si="144"/>
        <v>385.98818770742025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211.70619219850786</v>
      </c>
      <c r="BJ190" s="62">
        <f t="shared" si="146"/>
        <v>426.883837098247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4.4099406218075154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6.2230371636715617E-22</v>
      </c>
      <c r="BS190" s="24">
        <f t="shared" si="169"/>
        <v>4.4099406218075154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1.9895196601282805E-13</v>
      </c>
      <c r="BZ190" s="14">
        <f>BY190*VLOOKUP('Données projet'!$B$12,Paramètres!$A$1:$I$89,3,0)*VLOOKUP('Données projet'!$B$12,Paramètres!$A$1:$I$89,5,0)</f>
        <v>1.8001173884840681E-13</v>
      </c>
      <c r="CA190" s="14">
        <f t="shared" si="170"/>
        <v>2.5254331426407198E-12</v>
      </c>
      <c r="CB190" s="22">
        <f t="shared" si="171"/>
        <v>4.7119831685935622E-12</v>
      </c>
      <c r="CC190" s="62">
        <f t="shared" si="119"/>
        <v>288.0509935314451</v>
      </c>
      <c r="CD190" s="62">
        <f ca="1">AVERAGE(OFFSET($CC$3,0,0,'Données projet'!$E$12+1,1))-AVERAGE(OFFSET($H$3,0,0,'Données projet'!$E$12+1,1))</f>
        <v>327.07074355218322</v>
      </c>
      <c r="CE190" s="62">
        <f t="shared" si="148"/>
        <v>462.01668587029087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0.61298885929667257</v>
      </c>
      <c r="CL190" s="23">
        <f>EXP(-LN(2)/25)*CL189+(1-EXP(-LN(2)/25))/(LN(2)/25)*Calculateur!CG190*Calculateur!CI190*VLOOKUP('Données projet'!$B$12,Paramètres!$A$1:$I$89,3,0)*0.475*44/12</f>
        <v>4.0357493165552115E-2</v>
      </c>
      <c r="CM190" s="23">
        <f>EXP(-LN(2)/2)*CM189+(1-EXP(-LN(2)/2))/(LN(2)/2)*CG190*CJ190*VLOOKUP('Données projet'!$B$12,Paramètres!$A$1:$I$89,3,0)*0.475*44/12</f>
        <v>1.3792318290759365E-27</v>
      </c>
      <c r="CN190" s="24">
        <f t="shared" si="172"/>
        <v>0.65334635246222472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93.836028041880496</v>
      </c>
      <c r="CZ190" s="62">
        <f t="shared" si="150"/>
        <v>465.96044964631358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3.5986349872660788</v>
      </c>
      <c r="DG190" s="23">
        <f>EXP(-LN(2)/25)*DG189+(1-EXP(-LN(2)/25))/(LN(2)/25)*Calculateur!DB190*Calculateur!DD190*VLOOKUP('Données projet'!$B$13,Paramètres!$A$1:$I$89,3,0)*0.475*44/12</f>
        <v>0.23308062354072287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3.8317156108068016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-3.4106051316484809E-13</v>
      </c>
      <c r="DP190" s="18">
        <f>DO190*VLOOKUP('Données projet'!$B$14,Paramètres!$A$1:$I$89,3,0)*VLOOKUP('Données projet'!$B$14,Paramètres!$A$1:$I$89,5,0)</f>
        <v>-2.0395418687257919E-13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386.56102661082468</v>
      </c>
      <c r="DU190" s="62">
        <f t="shared" si="152"/>
        <v>410.28336627719011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0.86890900384838099</v>
      </c>
      <c r="EB190" s="23">
        <f>EXP(-LN(2)/25)*EB189+(1-EXP(-LN(2)/25))/(LN(2)/25)*Calculateur!DW190*Calculateur!DY190*VLOOKUP('Données projet'!$B$14,Paramètres!$A$1:$I$89,3,0)*0.475*44/12</f>
        <v>2.8680506754116458E-2</v>
      </c>
      <c r="EC190" s="23">
        <f>EXP(-LN(2)/2)*EC189+(1-EXP(-LN(2)/2))/(LN(2)/2)*DW190*DZ190*VLOOKUP('Données projet'!$B$14,Paramètres!$A$1:$I$89,3,0)*0.475*44/12</f>
        <v>3.0477155823981455E-23</v>
      </c>
      <c r="ED190" s="24">
        <f t="shared" si="178"/>
        <v>0.89758951060249748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499.92116338695428</v>
      </c>
      <c r="T191" s="62">
        <f t="shared" si="142"/>
        <v>316.79403154855652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3.0028473416313775E-2</v>
      </c>
      <c r="AB191" s="23">
        <f>EXP(-LN(2)/2)*AB190+(1-EXP(-LN(2)/2))/(LN(2)/2)*V191*Y191*VLOOKUP('Données projet'!$B$9,Paramètres!$A$1:$I$89,3,0)*0.475*44/12</f>
        <v>3.8891774150070407E-23</v>
      </c>
      <c r="AC191" s="24">
        <f t="shared" si="163"/>
        <v>3.0028473416313775E-2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288.14263031746168</v>
      </c>
      <c r="AN191" s="62">
        <f ca="1">AVERAGE(OFFSET($AM$3,0,0,'Données projet'!$E$10+1,1))-AVERAGE(OFFSET($H$3,0,0,'Données projet'!$E$10+1,1))</f>
        <v>225.71928466161592</v>
      </c>
      <c r="AO191" s="62">
        <f t="shared" si="144"/>
        <v>385.98818770742025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211.70619219850786</v>
      </c>
      <c r="BJ191" s="62">
        <f t="shared" si="146"/>
        <v>426.883837098247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4.3234643760120539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4.4003517780080603E-22</v>
      </c>
      <c r="BS191" s="24">
        <f t="shared" si="169"/>
        <v>4.3234643760120539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1.9895196601282805E-13</v>
      </c>
      <c r="BZ191" s="14">
        <f>BY191*VLOOKUP('Données projet'!$B$12,Paramètres!$A$1:$I$89,3,0)*VLOOKUP('Données projet'!$B$12,Paramètres!$A$1:$I$89,5,0)</f>
        <v>1.8001173884840681E-13</v>
      </c>
      <c r="CA191" s="14">
        <f t="shared" si="170"/>
        <v>2.5254331426407198E-12</v>
      </c>
      <c r="CB191" s="22">
        <f t="shared" si="171"/>
        <v>4.7119831685935622E-12</v>
      </c>
      <c r="CC191" s="62">
        <f t="shared" si="119"/>
        <v>288.14263031746532</v>
      </c>
      <c r="CD191" s="62">
        <f ca="1">AVERAGE(OFFSET($CC$3,0,0,'Données projet'!$E$12+1,1))-AVERAGE(OFFSET($H$3,0,0,'Données projet'!$E$12+1,1))</f>
        <v>327.07074355218322</v>
      </c>
      <c r="CE191" s="62">
        <f t="shared" si="148"/>
        <v>462.01668587029087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0.60096852165215076</v>
      </c>
      <c r="CL191" s="23">
        <f>EXP(-LN(2)/25)*CL190+(1-EXP(-LN(2)/25))/(LN(2)/25)*Calculateur!CG191*Calculateur!CI191*VLOOKUP('Données projet'!$B$12,Paramètres!$A$1:$I$89,3,0)*0.475*44/12</f>
        <v>3.9253915392631768E-2</v>
      </c>
      <c r="CM191" s="23">
        <f>EXP(-LN(2)/2)*CM190+(1-EXP(-LN(2)/2))/(LN(2)/2)*CG191*CJ191*VLOOKUP('Données projet'!$B$12,Paramètres!$A$1:$I$89,3,0)*0.475*44/12</f>
        <v>9.7526417916791994E-28</v>
      </c>
      <c r="CN191" s="24">
        <f t="shared" si="172"/>
        <v>0.64022243704478254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93.836028041880496</v>
      </c>
      <c r="CZ191" s="62">
        <f t="shared" si="150"/>
        <v>465.96044964631358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3.5280679501163998</v>
      </c>
      <c r="DG191" s="23">
        <f>EXP(-LN(2)/25)*DG190+(1-EXP(-LN(2)/25))/(LN(2)/25)*Calculateur!DB191*Calculateur!DD191*VLOOKUP('Données projet'!$B$13,Paramètres!$A$1:$I$89,3,0)*0.475*44/12</f>
        <v>0.22670702163282452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3.7547749717492245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-3.4106051316484809E-13</v>
      </c>
      <c r="DP191" s="18">
        <f>DO191*VLOOKUP('Données projet'!$B$14,Paramètres!$A$1:$I$89,3,0)*VLOOKUP('Données projet'!$B$14,Paramètres!$A$1:$I$89,5,0)</f>
        <v>-2.0395418687257919E-13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386.56102661082468</v>
      </c>
      <c r="DU191" s="62">
        <f t="shared" si="152"/>
        <v>410.28336627719011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0.85187022826507519</v>
      </c>
      <c r="EB191" s="23">
        <f>EXP(-LN(2)/25)*EB190+(1-EXP(-LN(2)/25))/(LN(2)/25)*Calculateur!DW191*Calculateur!DY191*VLOOKUP('Données projet'!$B$14,Paramètres!$A$1:$I$89,3,0)*0.475*44/12</f>
        <v>2.7896236788682843E-2</v>
      </c>
      <c r="EC191" s="23">
        <f>EXP(-LN(2)/2)*EC190+(1-EXP(-LN(2)/2))/(LN(2)/2)*DW191*DZ191*VLOOKUP('Données projet'!$B$14,Paramètres!$A$1:$I$89,3,0)*0.475*44/12</f>
        <v>2.1550603554416367E-23</v>
      </c>
      <c r="ED191" s="24">
        <f t="shared" si="178"/>
        <v>0.879766465053758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499.92116338695428</v>
      </c>
      <c r="T192" s="62">
        <f t="shared" si="142"/>
        <v>316.79403154855652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2.920734323161589E-2</v>
      </c>
      <c r="AB192" s="23">
        <f>EXP(-LN(2)/2)*AB191+(1-EXP(-LN(2)/2))/(LN(2)/2)*V192*Y192*VLOOKUP('Données projet'!$B$9,Paramètres!$A$1:$I$89,3,0)*0.475*44/12</f>
        <v>2.7500637233890461E-23</v>
      </c>
      <c r="AC192" s="24">
        <f t="shared" si="163"/>
        <v>2.920734323161589E-2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288.23267741011364</v>
      </c>
      <c r="AN192" s="62">
        <f ca="1">AVERAGE(OFFSET($AM$3,0,0,'Données projet'!$E$10+1,1))-AVERAGE(OFFSET($H$3,0,0,'Données projet'!$E$10+1,1))</f>
        <v>225.71928466161592</v>
      </c>
      <c r="AO192" s="62">
        <f t="shared" si="144"/>
        <v>385.98818770742025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211.70619219850786</v>
      </c>
      <c r="BJ192" s="62">
        <f t="shared" si="146"/>
        <v>426.883837098247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4.2386838766513399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3.1115185818357809E-22</v>
      </c>
      <c r="BS192" s="24">
        <f t="shared" si="169"/>
        <v>4.2386838766513399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1.9895196601282805E-13</v>
      </c>
      <c r="BZ192" s="14">
        <f>BY192*VLOOKUP('Données projet'!$B$12,Paramètres!$A$1:$I$89,3,0)*VLOOKUP('Données projet'!$B$12,Paramètres!$A$1:$I$89,5,0)</f>
        <v>1.8001173884840681E-13</v>
      </c>
      <c r="CA192" s="14">
        <f t="shared" si="170"/>
        <v>2.5254331426407198E-12</v>
      </c>
      <c r="CB192" s="22">
        <f t="shared" si="171"/>
        <v>4.7119831685935622E-12</v>
      </c>
      <c r="CC192" s="62">
        <f t="shared" si="119"/>
        <v>288.23267741011728</v>
      </c>
      <c r="CD192" s="62">
        <f ca="1">AVERAGE(OFFSET($CC$3,0,0,'Données projet'!$E$12+1,1))-AVERAGE(OFFSET($H$3,0,0,'Données projet'!$E$12+1,1))</f>
        <v>327.07074355218322</v>
      </c>
      <c r="CE192" s="62">
        <f t="shared" si="148"/>
        <v>462.01668587029087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0.589183895497156</v>
      </c>
      <c r="CL192" s="23">
        <f>EXP(-LN(2)/25)*CL191+(1-EXP(-LN(2)/25))/(LN(2)/25)*Calculateur!CG192*Calculateur!CI192*VLOOKUP('Données projet'!$B$12,Paramètres!$A$1:$I$89,3,0)*0.475*44/12</f>
        <v>3.818051501194656E-2</v>
      </c>
      <c r="CM192" s="23">
        <f>EXP(-LN(2)/2)*CM191+(1-EXP(-LN(2)/2))/(LN(2)/2)*CG192*CJ192*VLOOKUP('Données projet'!$B$12,Paramètres!$A$1:$I$89,3,0)*0.475*44/12</f>
        <v>6.8961591453796825E-28</v>
      </c>
      <c r="CN192" s="24">
        <f t="shared" si="172"/>
        <v>0.62736441050910252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93.836028041880496</v>
      </c>
      <c r="CZ192" s="62">
        <f t="shared" si="150"/>
        <v>465.96044964631358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3.4588846895235834</v>
      </c>
      <c r="DG192" s="23">
        <f>EXP(-LN(2)/25)*DG191+(1-EXP(-LN(2)/25))/(LN(2)/25)*Calculateur!DB192*Calculateur!DD192*VLOOKUP('Données projet'!$B$13,Paramètres!$A$1:$I$89,3,0)*0.475*44/12</f>
        <v>0.22050770620427082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3.679392395727854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-3.4106051316484809E-13</v>
      </c>
      <c r="DP192" s="18">
        <f>DO192*VLOOKUP('Données projet'!$B$14,Paramètres!$A$1:$I$89,3,0)*VLOOKUP('Données projet'!$B$14,Paramètres!$A$1:$I$89,5,0)</f>
        <v>-2.0395418687257919E-13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386.56102661082468</v>
      </c>
      <c r="DU192" s="62">
        <f t="shared" si="152"/>
        <v>410.28336627719011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0.83516557267833114</v>
      </c>
      <c r="EB192" s="23">
        <f>EXP(-LN(2)/25)*EB191+(1-EXP(-LN(2)/25))/(LN(2)/25)*Calculateur!DW192*Calculateur!DY192*VLOOKUP('Données projet'!$B$14,Paramètres!$A$1:$I$89,3,0)*0.475*44/12</f>
        <v>2.7133412726696976E-2</v>
      </c>
      <c r="EC192" s="23">
        <f>EXP(-LN(2)/2)*EC191+(1-EXP(-LN(2)/2))/(LN(2)/2)*DW192*DZ192*VLOOKUP('Données projet'!$B$14,Paramètres!$A$1:$I$89,3,0)*0.475*44/12</f>
        <v>1.5238577911990727E-23</v>
      </c>
      <c r="ED192" s="24">
        <f t="shared" si="178"/>
        <v>0.86229898540502814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499.92116338695428</v>
      </c>
      <c r="T193" s="62">
        <f t="shared" si="142"/>
        <v>316.79403154855652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2.8408666894999927E-2</v>
      </c>
      <c r="AB193" s="23">
        <f>EXP(-LN(2)/2)*AB192+(1-EXP(-LN(2)/2))/(LN(2)/2)*V193*Y193*VLOOKUP('Données projet'!$B$9,Paramètres!$A$1:$I$89,3,0)*0.475*44/12</f>
        <v>1.9445887075035204E-23</v>
      </c>
      <c r="AC193" s="24">
        <f t="shared" si="163"/>
        <v>2.8408666894999927E-2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288.32116238702321</v>
      </c>
      <c r="AN193" s="62">
        <f ca="1">AVERAGE(OFFSET($AM$3,0,0,'Données projet'!$E$10+1,1))-AVERAGE(OFFSET($H$3,0,0,'Données projet'!$E$10+1,1))</f>
        <v>225.71928466161592</v>
      </c>
      <c r="AO193" s="62">
        <f t="shared" si="144"/>
        <v>385.98818770742025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211.70619219850786</v>
      </c>
      <c r="BJ193" s="62">
        <f t="shared" si="146"/>
        <v>426.883837098247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4.1555658711720902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2.2001758890040301E-22</v>
      </c>
      <c r="BS193" s="24">
        <f t="shared" si="169"/>
        <v>4.1555658711720902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1.9895196601282805E-13</v>
      </c>
      <c r="BZ193" s="14">
        <f>BY193*VLOOKUP('Données projet'!$B$12,Paramètres!$A$1:$I$89,3,0)*VLOOKUP('Données projet'!$B$12,Paramètres!$A$1:$I$89,5,0)</f>
        <v>1.8001173884840681E-13</v>
      </c>
      <c r="CA193" s="14">
        <f t="shared" si="170"/>
        <v>2.5254331426407198E-12</v>
      </c>
      <c r="CB193" s="22">
        <f t="shared" si="171"/>
        <v>4.7119831685935622E-12</v>
      </c>
      <c r="CC193" s="62">
        <f t="shared" si="119"/>
        <v>288.32116238702685</v>
      </c>
      <c r="CD193" s="62">
        <f ca="1">AVERAGE(OFFSET($CC$3,0,0,'Données projet'!$E$12+1,1))-AVERAGE(OFFSET($H$3,0,0,'Données projet'!$E$12+1,1))</f>
        <v>327.07074355218322</v>
      </c>
      <c r="CE193" s="62">
        <f t="shared" si="148"/>
        <v>462.01668587029087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0.57763035867314849</v>
      </c>
      <c r="CL193" s="23">
        <f>EXP(-LN(2)/25)*CL192+(1-EXP(-LN(2)/25))/(LN(2)/25)*Calculateur!CG193*Calculateur!CI193*VLOOKUP('Données projet'!$B$12,Paramètres!$A$1:$I$89,3,0)*0.475*44/12</f>
        <v>3.713646682111886E-2</v>
      </c>
      <c r="CM193" s="23">
        <f>EXP(-LN(2)/2)*CM192+(1-EXP(-LN(2)/2))/(LN(2)/2)*CG193*CJ193*VLOOKUP('Données projet'!$B$12,Paramètres!$A$1:$I$89,3,0)*0.475*44/12</f>
        <v>4.8763208958395997E-28</v>
      </c>
      <c r="CN193" s="24">
        <f t="shared" si="172"/>
        <v>0.61476682549426731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93.836028041880496</v>
      </c>
      <c r="CZ193" s="62">
        <f t="shared" si="150"/>
        <v>465.96044964631358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3.3910580704733699</v>
      </c>
      <c r="DG193" s="23">
        <f>EXP(-LN(2)/25)*DG192+(1-EXP(-LN(2)/25))/(LN(2)/25)*Calculateur!DB193*Calculateur!DD193*VLOOKUP('Données projet'!$B$13,Paramètres!$A$1:$I$89,3,0)*0.475*44/12</f>
        <v>0.21447791138211875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3.6055359818554886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-3.4106051316484809E-13</v>
      </c>
      <c r="DP193" s="18">
        <f>DO193*VLOOKUP('Données projet'!$B$14,Paramètres!$A$1:$I$89,3,0)*VLOOKUP('Données projet'!$B$14,Paramètres!$A$1:$I$89,5,0)</f>
        <v>-2.0395418687257919E-13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386.56102661082468</v>
      </c>
      <c r="DU193" s="62">
        <f t="shared" si="152"/>
        <v>410.28336627719011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0.8187884851988092</v>
      </c>
      <c r="EB193" s="23">
        <f>EXP(-LN(2)/25)*EB192+(1-EXP(-LN(2)/25))/(LN(2)/25)*Calculateur!DW193*Calculateur!DY193*VLOOKUP('Données projet'!$B$14,Paramètres!$A$1:$I$89,3,0)*0.475*44/12</f>
        <v>2.6391448128801287E-2</v>
      </c>
      <c r="EC193" s="23">
        <f>EXP(-LN(2)/2)*EC192+(1-EXP(-LN(2)/2))/(LN(2)/2)*DW193*DZ193*VLOOKUP('Données projet'!$B$14,Paramètres!$A$1:$I$89,3,0)*0.475*44/12</f>
        <v>1.0775301777208184E-23</v>
      </c>
      <c r="ED193" s="24">
        <f t="shared" si="178"/>
        <v>0.84517993332761043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499.92116338695428</v>
      </c>
      <c r="T194" s="62">
        <f t="shared" si="142"/>
        <v>316.79403154855652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2.763183040480929E-2</v>
      </c>
      <c r="AB194" s="23">
        <f>EXP(-LN(2)/2)*AB193+(1-EXP(-LN(2)/2))/(LN(2)/2)*V194*Y194*VLOOKUP('Données projet'!$B$9,Paramètres!$A$1:$I$89,3,0)*0.475*44/12</f>
        <v>1.375031861694523E-23</v>
      </c>
      <c r="AC194" s="24">
        <f t="shared" si="163"/>
        <v>2.763183040480929E-2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288.40811234740619</v>
      </c>
      <c r="AN194" s="62">
        <f ca="1">AVERAGE(OFFSET($AM$3,0,0,'Données projet'!$E$10+1,1))-AVERAGE(OFFSET($H$3,0,0,'Données projet'!$E$10+1,1))</f>
        <v>225.71928466161592</v>
      </c>
      <c r="AO194" s="62">
        <f t="shared" si="144"/>
        <v>385.98818770742025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211.70619219850786</v>
      </c>
      <c r="BJ194" s="62">
        <f t="shared" si="146"/>
        <v>426.883837098247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4.0740777590833117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1.5557592909178904E-22</v>
      </c>
      <c r="BS194" s="24">
        <f t="shared" si="169"/>
        <v>4.0740777590833117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1.9895196601282805E-13</v>
      </c>
      <c r="BZ194" s="14">
        <f>BY194*VLOOKUP('Données projet'!$B$12,Paramètres!$A$1:$I$89,3,0)*VLOOKUP('Données projet'!$B$12,Paramètres!$A$1:$I$89,5,0)</f>
        <v>1.8001173884840681E-13</v>
      </c>
      <c r="CA194" s="14">
        <f t="shared" si="170"/>
        <v>2.5254331426407198E-12</v>
      </c>
      <c r="CB194" s="22">
        <f t="shared" si="171"/>
        <v>4.7119831685935622E-12</v>
      </c>
      <c r="CC194" s="62">
        <f t="shared" si="119"/>
        <v>288.40811234740983</v>
      </c>
      <c r="CD194" s="62">
        <f ca="1">AVERAGE(OFFSET($CC$3,0,0,'Données projet'!$E$12+1,1))-AVERAGE(OFFSET($H$3,0,0,'Données projet'!$E$12+1,1))</f>
        <v>327.07074355218322</v>
      </c>
      <c r="CE194" s="62">
        <f t="shared" si="148"/>
        <v>462.01668587029087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0.56630337965929811</v>
      </c>
      <c r="CL194" s="23">
        <f>EXP(-LN(2)/25)*CL193+(1-EXP(-LN(2)/25))/(LN(2)/25)*Calculateur!CG194*Calculateur!CI194*VLOOKUP('Données projet'!$B$12,Paramètres!$A$1:$I$89,3,0)*0.475*44/12</f>
        <v>3.6120968182973452E-2</v>
      </c>
      <c r="CM194" s="23">
        <f>EXP(-LN(2)/2)*CM193+(1-EXP(-LN(2)/2))/(LN(2)/2)*CG194*CJ194*VLOOKUP('Données projet'!$B$12,Paramètres!$A$1:$I$89,3,0)*0.475*44/12</f>
        <v>3.4480795726898412E-28</v>
      </c>
      <c r="CN194" s="24">
        <f t="shared" si="172"/>
        <v>0.60242434784227161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93.836028041880496</v>
      </c>
      <c r="CZ194" s="62">
        <f t="shared" si="150"/>
        <v>465.96044964631358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3.3245614900525786</v>
      </c>
      <c r="DG194" s="23">
        <f>EXP(-LN(2)/25)*DG193+(1-EXP(-LN(2)/25))/(LN(2)/25)*Calculateur!DB194*Calculateur!DD194*VLOOKUP('Données projet'!$B$13,Paramètres!$A$1:$I$89,3,0)*0.475*44/12</f>
        <v>0.20861300161647153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3.5331744916690502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-3.4106051316484809E-13</v>
      </c>
      <c r="DP194" s="18">
        <f>DO194*VLOOKUP('Données projet'!$B$14,Paramètres!$A$1:$I$89,3,0)*VLOOKUP('Données projet'!$B$14,Paramètres!$A$1:$I$89,5,0)</f>
        <v>-2.0395418687257919E-13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386.56102661082468</v>
      </c>
      <c r="DU194" s="62">
        <f t="shared" si="152"/>
        <v>410.28336627719011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0.80273254241572367</v>
      </c>
      <c r="EB194" s="23">
        <f>EXP(-LN(2)/25)*EB193+(1-EXP(-LN(2)/25))/(LN(2)/25)*Calculateur!DW194*Calculateur!DY194*VLOOKUP('Données projet'!$B$14,Paramètres!$A$1:$I$89,3,0)*0.475*44/12</f>
        <v>2.5669772591853279E-2</v>
      </c>
      <c r="EC194" s="23">
        <f>EXP(-LN(2)/2)*EC193+(1-EXP(-LN(2)/2))/(LN(2)/2)*DW194*DZ194*VLOOKUP('Données projet'!$B$14,Paramètres!$A$1:$I$89,3,0)*0.475*44/12</f>
        <v>7.6192889559953637E-24</v>
      </c>
      <c r="ED194" s="24">
        <f t="shared" si="178"/>
        <v>0.82840231500757699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499.92116338695428</v>
      </c>
      <c r="T195" s="62">
        <f t="shared" si="142"/>
        <v>316.79403154855652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2.6876236549294972E-2</v>
      </c>
      <c r="AB195" s="23">
        <f>EXP(-LN(2)/2)*AB194+(1-EXP(-LN(2)/2))/(LN(2)/2)*V195*Y195*VLOOKUP('Données projet'!$B$9,Paramètres!$A$1:$I$89,3,0)*0.475*44/12</f>
        <v>9.7229435375176018E-24</v>
      </c>
      <c r="AC195" s="24">
        <f t="shared" si="163"/>
        <v>2.6876236549294972E-2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288.4935539203675</v>
      </c>
      <c r="AN195" s="62">
        <f ca="1">AVERAGE(OFFSET($AM$3,0,0,'Données projet'!$E$10+1,1))-AVERAGE(OFFSET($H$3,0,0,'Données projet'!$E$10+1,1))</f>
        <v>225.71928466161592</v>
      </c>
      <c r="AO195" s="62">
        <f t="shared" si="144"/>
        <v>385.98818770742025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211.70619219850786</v>
      </c>
      <c r="BJ195" s="62">
        <f t="shared" si="146"/>
        <v>426.883837098247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3.9941875791697532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1.1000879445020151E-22</v>
      </c>
      <c r="BS195" s="24">
        <f t="shared" si="169"/>
        <v>3.9941875791697532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1.9895196601282805E-13</v>
      </c>
      <c r="BZ195" s="14">
        <f>BY195*VLOOKUP('Données projet'!$B$12,Paramètres!$A$1:$I$89,3,0)*VLOOKUP('Données projet'!$B$12,Paramètres!$A$1:$I$89,5,0)</f>
        <v>1.8001173884840681E-13</v>
      </c>
      <c r="CA195" s="14">
        <f t="shared" si="170"/>
        <v>2.5254331426407198E-12</v>
      </c>
      <c r="CB195" s="22">
        <f t="shared" si="171"/>
        <v>4.7119831685935622E-12</v>
      </c>
      <c r="CC195" s="62">
        <f t="shared" si="119"/>
        <v>288.49355392037114</v>
      </c>
      <c r="CD195" s="62">
        <f ca="1">AVERAGE(OFFSET($CC$3,0,0,'Données projet'!$E$12+1,1))-AVERAGE(OFFSET($H$3,0,0,'Données projet'!$E$12+1,1))</f>
        <v>327.07074355218322</v>
      </c>
      <c r="CE195" s="62">
        <f t="shared" si="148"/>
        <v>462.01668587029087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0.55519851579513435</v>
      </c>
      <c r="CL195" s="23">
        <f>EXP(-LN(2)/25)*CL194+(1-EXP(-LN(2)/25))/(LN(2)/25)*Calculateur!CG195*Calculateur!CI195*VLOOKUP('Données projet'!$B$12,Paramètres!$A$1:$I$89,3,0)*0.475*44/12</f>
        <v>3.5133238408490884E-2</v>
      </c>
      <c r="CM195" s="23">
        <f>EXP(-LN(2)/2)*CM194+(1-EXP(-LN(2)/2))/(LN(2)/2)*CG195*CJ195*VLOOKUP('Données projet'!$B$12,Paramètres!$A$1:$I$89,3,0)*0.475*44/12</f>
        <v>2.4381604479197999E-28</v>
      </c>
      <c r="CN195" s="24">
        <f t="shared" si="172"/>
        <v>0.59033175420362527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93.836028041880496</v>
      </c>
      <c r="CZ195" s="62">
        <f t="shared" si="150"/>
        <v>465.96044964631358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3.2593688670149294</v>
      </c>
      <c r="DG195" s="23">
        <f>EXP(-LN(2)/25)*DG194+(1-EXP(-LN(2)/25))/(LN(2)/25)*Calculateur!DB195*Calculateur!DD195*VLOOKUP('Données projet'!$B$13,Paramètres!$A$1:$I$89,3,0)*0.475*44/12</f>
        <v>0.20290846811678814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3.4622773351317178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-3.4106051316484809E-13</v>
      </c>
      <c r="DP195" s="18">
        <f>DO195*VLOOKUP('Données projet'!$B$14,Paramètres!$A$1:$I$89,3,0)*VLOOKUP('Données projet'!$B$14,Paramètres!$A$1:$I$89,5,0)</f>
        <v>-2.0395418687257919E-13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386.56102661082468</v>
      </c>
      <c r="DU195" s="62">
        <f t="shared" si="152"/>
        <v>410.28336627719011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0.78699144687745637</v>
      </c>
      <c r="EB195" s="23">
        <f>EXP(-LN(2)/25)*EB194+(1-EXP(-LN(2)/25))/(LN(2)/25)*Calculateur!DW195*Calculateur!DY195*VLOOKUP('Données projet'!$B$14,Paramètres!$A$1:$I$89,3,0)*0.475*44/12</f>
        <v>2.4967831310414378E-2</v>
      </c>
      <c r="EC195" s="23">
        <f>EXP(-LN(2)/2)*EC194+(1-EXP(-LN(2)/2))/(LN(2)/2)*DW195*DZ195*VLOOKUP('Données projet'!$B$14,Paramètres!$A$1:$I$89,3,0)*0.475*44/12</f>
        <v>5.3876508886040919E-24</v>
      </c>
      <c r="ED195" s="24">
        <f t="shared" si="178"/>
        <v>0.81195927818787073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499.92116338695428</v>
      </c>
      <c r="T196" s="62">
        <f t="shared" si="142"/>
        <v>316.79403154855652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2.6141304447494646E-2</v>
      </c>
      <c r="AB196" s="23">
        <f>EXP(-LN(2)/2)*AB195+(1-EXP(-LN(2)/2))/(LN(2)/2)*V196*Y196*VLOOKUP('Données projet'!$B$9,Paramètres!$A$1:$I$89,3,0)*0.475*44/12</f>
        <v>6.8751593084726152E-24</v>
      </c>
      <c r="AC196" s="24">
        <f t="shared" si="163"/>
        <v>2.6141304447494646E-2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288.5775132730567</v>
      </c>
      <c r="AN196" s="62">
        <f ca="1">AVERAGE(OFFSET($AM$3,0,0,'Données projet'!$E$10+1,1))-AVERAGE(OFFSET($H$3,0,0,'Données projet'!$E$10+1,1))</f>
        <v>225.71928466161592</v>
      </c>
      <c r="AO196" s="62">
        <f t="shared" si="144"/>
        <v>385.98818770742025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211.70619219850786</v>
      </c>
      <c r="BJ196" s="62">
        <f t="shared" si="146"/>
        <v>426.883837098247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3.9158639969561015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7.7787964545894522E-23</v>
      </c>
      <c r="BS196" s="24">
        <f t="shared" si="169"/>
        <v>3.9158639969561015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1.9895196601282805E-13</v>
      </c>
      <c r="BZ196" s="14">
        <f>BY196*VLOOKUP('Données projet'!$B$12,Paramètres!$A$1:$I$89,3,0)*VLOOKUP('Données projet'!$B$12,Paramètres!$A$1:$I$89,5,0)</f>
        <v>1.8001173884840681E-13</v>
      </c>
      <c r="CA196" s="14">
        <f t="shared" si="170"/>
        <v>2.5254331426407198E-12</v>
      </c>
      <c r="CB196" s="22">
        <f t="shared" si="171"/>
        <v>4.7119831685935622E-12</v>
      </c>
      <c r="CC196" s="62">
        <f t="shared" ref="CC196:CC203" si="195">CB196+(BT196+BU196)*44/12</f>
        <v>288.57751327306033</v>
      </c>
      <c r="CD196" s="62">
        <f ca="1">AVERAGE(OFFSET($CC$3,0,0,'Données projet'!$E$12+1,1))-AVERAGE(OFFSET($H$3,0,0,'Données projet'!$E$12+1,1))</f>
        <v>327.07074355218322</v>
      </c>
      <c r="CE196" s="62">
        <f t="shared" si="148"/>
        <v>462.01668587029087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0.54431141153804874</v>
      </c>
      <c r="CL196" s="23">
        <f>EXP(-LN(2)/25)*CL195+(1-EXP(-LN(2)/25))/(LN(2)/25)*Calculateur!CG196*Calculateur!CI196*VLOOKUP('Données projet'!$B$12,Paramètres!$A$1:$I$89,3,0)*0.475*44/12</f>
        <v>3.4172518156633989E-2</v>
      </c>
      <c r="CM196" s="23">
        <f>EXP(-LN(2)/2)*CM195+(1-EXP(-LN(2)/2))/(LN(2)/2)*CG196*CJ196*VLOOKUP('Données projet'!$B$12,Paramètres!$A$1:$I$89,3,0)*0.475*44/12</f>
        <v>1.7240397863449206E-28</v>
      </c>
      <c r="CN196" s="24">
        <f t="shared" si="172"/>
        <v>0.57848392969468276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93.836028041880496</v>
      </c>
      <c r="CZ196" s="62">
        <f t="shared" si="150"/>
        <v>465.96044964631358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3.1954546315514749</v>
      </c>
      <c r="DG196" s="23">
        <f>EXP(-LN(2)/25)*DG195+(1-EXP(-LN(2)/25))/(LN(2)/25)*Calculateur!DB196*Calculateur!DD196*VLOOKUP('Données projet'!$B$13,Paramètres!$A$1:$I$89,3,0)*0.475*44/12</f>
        <v>0.19735992538564198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3.3928145569371169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-3.4106051316484809E-13</v>
      </c>
      <c r="DP196" s="18">
        <f>DO196*VLOOKUP('Données projet'!$B$14,Paramètres!$A$1:$I$89,3,0)*VLOOKUP('Données projet'!$B$14,Paramètres!$A$1:$I$89,5,0)</f>
        <v>-2.0395418687257919E-13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386.56102661082468</v>
      </c>
      <c r="DU196" s="62">
        <f t="shared" si="152"/>
        <v>410.28336627719011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0.77155902462157422</v>
      </c>
      <c r="EB196" s="23">
        <f>EXP(-LN(2)/25)*EB195+(1-EXP(-LN(2)/25))/(LN(2)/25)*Calculateur!DW196*Calculateur!DY196*VLOOKUP('Données projet'!$B$14,Paramètres!$A$1:$I$89,3,0)*0.475*44/12</f>
        <v>2.4285084650229913E-2</v>
      </c>
      <c r="EC196" s="23">
        <f>EXP(-LN(2)/2)*EC195+(1-EXP(-LN(2)/2))/(LN(2)/2)*DW196*DZ196*VLOOKUP('Données projet'!$B$14,Paramètres!$A$1:$I$89,3,0)*0.475*44/12</f>
        <v>3.8096444779976818E-24</v>
      </c>
      <c r="ED196" s="24">
        <f t="shared" si="178"/>
        <v>0.79584410927180416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499.92116338695428</v>
      </c>
      <c r="T197" s="62">
        <f t="shared" ref="T197:T203" si="204">$T$3</f>
        <v>316.79403154855652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2.5426469102666452E-2</v>
      </c>
      <c r="AB197" s="23">
        <f>EXP(-LN(2)/2)*AB196+(1-EXP(-LN(2)/2))/(LN(2)/2)*V197*Y197*VLOOKUP('Données projet'!$B$9,Paramètres!$A$1:$I$89,3,0)*0.475*44/12</f>
        <v>4.8614717687588009E-24</v>
      </c>
      <c r="AC197" s="24">
        <f t="shared" si="163"/>
        <v>2.5426469102666452E-2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288.66001611868171</v>
      </c>
      <c r="AN197" s="62">
        <f ca="1">AVERAGE(OFFSET($AM$3,0,0,'Données projet'!$E$10+1,1))-AVERAGE(OFFSET($H$3,0,0,'Données projet'!$E$10+1,1))</f>
        <v>225.71928466161592</v>
      </c>
      <c r="AO197" s="62">
        <f t="shared" ref="AO197:AO203" si="205">$AO$3</f>
        <v>385.98818770742025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211.70619219850786</v>
      </c>
      <c r="BJ197" s="62">
        <f t="shared" ref="BJ197:BJ203" si="206">$BJ$3</f>
        <v>426.883837098247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3.8390762924169914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5.5004397225100753E-23</v>
      </c>
      <c r="BS197" s="24">
        <f t="shared" si="169"/>
        <v>3.8390762924169914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1.9895196601282805E-13</v>
      </c>
      <c r="BZ197" s="14">
        <f>BY197*VLOOKUP('Données projet'!$B$12,Paramètres!$A$1:$I$89,3,0)*VLOOKUP('Données projet'!$B$12,Paramètres!$A$1:$I$89,5,0)</f>
        <v>1.8001173884840681E-13</v>
      </c>
      <c r="CA197" s="14">
        <f t="shared" si="170"/>
        <v>2.5254331426407198E-12</v>
      </c>
      <c r="CB197" s="22">
        <f t="shared" si="171"/>
        <v>4.7119831685935622E-12</v>
      </c>
      <c r="CC197" s="62">
        <f t="shared" si="195"/>
        <v>288.66001611868535</v>
      </c>
      <c r="CD197" s="62">
        <f ca="1">AVERAGE(OFFSET($CC$3,0,0,'Données projet'!$E$12+1,1))-AVERAGE(OFFSET($H$3,0,0,'Données projet'!$E$12+1,1))</f>
        <v>327.07074355218322</v>
      </c>
      <c r="CE197" s="62">
        <f t="shared" ref="CE197:CE203" si="207">$CE$3</f>
        <v>462.01668587029087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0.5336377967549667</v>
      </c>
      <c r="CL197" s="23">
        <f>EXP(-LN(2)/25)*CL196+(1-EXP(-LN(2)/25))/(LN(2)/25)*Calculateur!CG197*Calculateur!CI197*VLOOKUP('Données projet'!$B$12,Paramètres!$A$1:$I$89,3,0)*0.475*44/12</f>
        <v>3.3238068850586208E-2</v>
      </c>
      <c r="CM197" s="23">
        <f>EXP(-LN(2)/2)*CM196+(1-EXP(-LN(2)/2))/(LN(2)/2)*CG197*CJ197*VLOOKUP('Données projet'!$B$12,Paramètres!$A$1:$I$89,3,0)*0.475*44/12</f>
        <v>1.2190802239598999E-28</v>
      </c>
      <c r="CN197" s="24">
        <f t="shared" si="172"/>
        <v>0.56687586560555292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93.836028041880496</v>
      </c>
      <c r="CZ197" s="62">
        <f t="shared" ref="CZ197:CZ203" si="208">$CZ$3</f>
        <v>465.96044964631358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3.1327937152616245</v>
      </c>
      <c r="DG197" s="23">
        <f>EXP(-LN(2)/25)*DG196+(1-EXP(-LN(2)/25))/(LN(2)/25)*Calculateur!DB197*Calculateur!DD197*VLOOKUP('Données projet'!$B$13,Paramètres!$A$1:$I$89,3,0)*0.475*44/12</f>
        <v>0.1919631078472642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3.3247568231088889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-3.4106051316484809E-13</v>
      </c>
      <c r="DP197" s="18">
        <f>DO197*VLOOKUP('Données projet'!$B$14,Paramètres!$A$1:$I$89,3,0)*VLOOKUP('Données projet'!$B$14,Paramètres!$A$1:$I$89,5,0)</f>
        <v>-2.0395418687257919E-13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386.56102661082468</v>
      </c>
      <c r="DU197" s="62">
        <f t="shared" ref="DU197:DU203" si="209">$DU$3</f>
        <v>410.28336627719011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0.75642922275328184</v>
      </c>
      <c r="EB197" s="23">
        <f>EXP(-LN(2)/25)*EB196+(1-EXP(-LN(2)/25))/(LN(2)/25)*Calculateur!DW197*Calculateur!DY197*VLOOKUP('Données projet'!$B$14,Paramètres!$A$1:$I$89,3,0)*0.475*44/12</f>
        <v>2.3621007733372279E-2</v>
      </c>
      <c r="EC197" s="23">
        <f>EXP(-LN(2)/2)*EC196+(1-EXP(-LN(2)/2))/(LN(2)/2)*DW197*DZ197*VLOOKUP('Données projet'!$B$14,Paramètres!$A$1:$I$89,3,0)*0.475*44/12</f>
        <v>2.6938254443020459E-24</v>
      </c>
      <c r="ED197" s="24">
        <f t="shared" si="178"/>
        <v>0.78005023048665412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499.92116338695428</v>
      </c>
      <c r="T198" s="62">
        <f t="shared" si="204"/>
        <v>316.79403154855652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2.4731180967934141E-2</v>
      </c>
      <c r="AB198" s="23">
        <f>EXP(-LN(2)/2)*AB197+(1-EXP(-LN(2)/2))/(LN(2)/2)*V198*Y198*VLOOKUP('Données projet'!$B$9,Paramètres!$A$1:$I$89,3,0)*0.475*44/12</f>
        <v>3.4375796542363076E-24</v>
      </c>
      <c r="AC198" s="24">
        <f t="shared" si="163"/>
        <v>2.4731180967934141E-2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288.74108772438387</v>
      </c>
      <c r="AN198" s="62">
        <f ca="1">AVERAGE(OFFSET($AM$3,0,0,'Données projet'!$E$10+1,1))-AVERAGE(OFFSET($H$3,0,0,'Données projet'!$E$10+1,1))</f>
        <v>225.71928466161592</v>
      </c>
      <c r="AO198" s="62">
        <f t="shared" si="205"/>
        <v>385.98818770742025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211.70619219850786</v>
      </c>
      <c r="BJ198" s="62">
        <f t="shared" si="206"/>
        <v>426.883837098247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3.7637943479280183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3.8893982272947261E-23</v>
      </c>
      <c r="BS198" s="24">
        <f t="shared" si="169"/>
        <v>3.7637943479280183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1.9895196601282805E-13</v>
      </c>
      <c r="BZ198" s="14">
        <f>BY198*VLOOKUP('Données projet'!$B$12,Paramètres!$A$1:$I$89,3,0)*VLOOKUP('Données projet'!$B$12,Paramètres!$A$1:$I$89,5,0)</f>
        <v>1.8001173884840681E-13</v>
      </c>
      <c r="CA198" s="14">
        <f t="shared" si="170"/>
        <v>2.5254331426407198E-12</v>
      </c>
      <c r="CB198" s="22">
        <f t="shared" si="171"/>
        <v>4.7119831685935622E-12</v>
      </c>
      <c r="CC198" s="62">
        <f t="shared" si="195"/>
        <v>288.74108772438751</v>
      </c>
      <c r="CD198" s="62">
        <f ca="1">AVERAGE(OFFSET($CC$3,0,0,'Données projet'!$E$12+1,1))-AVERAGE(OFFSET($H$3,0,0,'Données projet'!$E$12+1,1))</f>
        <v>327.07074355218322</v>
      </c>
      <c r="CE198" s="62">
        <f t="shared" si="207"/>
        <v>462.01668587029087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0.5231734850475187</v>
      </c>
      <c r="CL198" s="23">
        <f>EXP(-LN(2)/25)*CL197+(1-EXP(-LN(2)/25))/(LN(2)/25)*Calculateur!CG198*Calculateur!CI198*VLOOKUP('Données projet'!$B$12,Paramètres!$A$1:$I$89,3,0)*0.475*44/12</f>
        <v>3.2329172109952856E-2</v>
      </c>
      <c r="CM198" s="23">
        <f>EXP(-LN(2)/2)*CM197+(1-EXP(-LN(2)/2))/(LN(2)/2)*CG198*CJ198*VLOOKUP('Données projet'!$B$12,Paramètres!$A$1:$I$89,3,0)*0.475*44/12</f>
        <v>8.6201989317246031E-29</v>
      </c>
      <c r="CN198" s="24">
        <f t="shared" si="172"/>
        <v>0.5555026571574716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93.836028041880496</v>
      </c>
      <c r="CZ198" s="62">
        <f t="shared" si="208"/>
        <v>465.96044964631358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3.0713615413208331</v>
      </c>
      <c r="DG198" s="23">
        <f>EXP(-LN(2)/25)*DG197+(1-EXP(-LN(2)/25))/(LN(2)/25)*Calculateur!DB198*Calculateur!DD198*VLOOKUP('Données projet'!$B$13,Paramètres!$A$1:$I$89,3,0)*0.475*44/12</f>
        <v>0.18671386656827965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3.2580754078891125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-3.4106051316484809E-13</v>
      </c>
      <c r="DP198" s="18">
        <f>DO198*VLOOKUP('Données projet'!$B$14,Paramètres!$A$1:$I$89,3,0)*VLOOKUP('Données projet'!$B$14,Paramètres!$A$1:$I$89,5,0)</f>
        <v>-2.0395418687257919E-13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386.56102661082468</v>
      </c>
      <c r="DU198" s="62">
        <f t="shared" si="209"/>
        <v>410.28336627719011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0.7415961070713587</v>
      </c>
      <c r="EB198" s="23">
        <f>EXP(-LN(2)/25)*EB197+(1-EXP(-LN(2)/25))/(LN(2)/25)*Calculateur!DW198*Calculateur!DY198*VLOOKUP('Données projet'!$B$14,Paramètres!$A$1:$I$89,3,0)*0.475*44/12</f>
        <v>2.2975090034728404E-2</v>
      </c>
      <c r="EC198" s="23">
        <f>EXP(-LN(2)/2)*EC197+(1-EXP(-LN(2)/2))/(LN(2)/2)*DW198*DZ198*VLOOKUP('Données projet'!$B$14,Paramètres!$A$1:$I$89,3,0)*0.475*44/12</f>
        <v>1.9048222389988409E-24</v>
      </c>
      <c r="ED198" s="24">
        <f t="shared" si="178"/>
        <v>0.76457119710608712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499.92116338695428</v>
      </c>
      <c r="T199" s="62">
        <f t="shared" si="204"/>
        <v>316.79403154855652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2.4054905523809698E-2</v>
      </c>
      <c r="AB199" s="23">
        <f>EXP(-LN(2)/2)*AB198+(1-EXP(-LN(2)/2))/(LN(2)/2)*V199*Y199*VLOOKUP('Données projet'!$B$9,Paramètres!$A$1:$I$89,3,0)*0.475*44/12</f>
        <v>2.4307358843794005E-24</v>
      </c>
      <c r="AC199" s="24">
        <f t="shared" si="163"/>
        <v>2.4054905523809698E-2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288.82075291897604</v>
      </c>
      <c r="AN199" s="62">
        <f ca="1">AVERAGE(OFFSET($AM$3,0,0,'Données projet'!$E$10+1,1))-AVERAGE(OFFSET($H$3,0,0,'Données projet'!$E$10+1,1))</f>
        <v>225.71928466161592</v>
      </c>
      <c r="AO199" s="62">
        <f t="shared" si="205"/>
        <v>385.98818770742025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211.70619219850786</v>
      </c>
      <c r="BJ199" s="62">
        <f t="shared" si="206"/>
        <v>426.883837098247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3.6899886364530219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2.7502198612550377E-23</v>
      </c>
      <c r="BS199" s="24">
        <f t="shared" si="169"/>
        <v>3.6899886364530219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1.9895196601282805E-13</v>
      </c>
      <c r="BZ199" s="14">
        <f>BY199*VLOOKUP('Données projet'!$B$12,Paramètres!$A$1:$I$89,3,0)*VLOOKUP('Données projet'!$B$12,Paramètres!$A$1:$I$89,5,0)</f>
        <v>1.8001173884840681E-13</v>
      </c>
      <c r="CA199" s="14">
        <f t="shared" si="170"/>
        <v>2.5254331426407198E-12</v>
      </c>
      <c r="CB199" s="22">
        <f t="shared" si="171"/>
        <v>4.7119831685935622E-12</v>
      </c>
      <c r="CC199" s="62">
        <f t="shared" si="195"/>
        <v>288.82075291897968</v>
      </c>
      <c r="CD199" s="62">
        <f ca="1">AVERAGE(OFFSET($CC$3,0,0,'Données projet'!$E$12+1,1))-AVERAGE(OFFSET($H$3,0,0,'Données projet'!$E$12+1,1))</f>
        <v>327.07074355218322</v>
      </c>
      <c r="CE199" s="62">
        <f t="shared" si="207"/>
        <v>462.01668587029087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0.51291437211005386</v>
      </c>
      <c r="CL199" s="23">
        <f>EXP(-LN(2)/25)*CL198+(1-EXP(-LN(2)/25))/(LN(2)/25)*Calculateur!CG199*Calculateur!CI199*VLOOKUP('Données projet'!$B$12,Paramètres!$A$1:$I$89,3,0)*0.475*44/12</f>
        <v>3.1445129198488922E-2</v>
      </c>
      <c r="CM199" s="23">
        <f>EXP(-LN(2)/2)*CM198+(1-EXP(-LN(2)/2))/(LN(2)/2)*CG199*CJ199*VLOOKUP('Données projet'!$B$12,Paramètres!$A$1:$I$89,3,0)*0.475*44/12</f>
        <v>6.0954011197994996E-29</v>
      </c>
      <c r="CN199" s="24">
        <f t="shared" si="172"/>
        <v>0.54435950130854283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93.836028041880496</v>
      </c>
      <c r="CZ199" s="62">
        <f t="shared" si="208"/>
        <v>465.96044964631358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3.0111340148410943</v>
      </c>
      <c r="DG199" s="23">
        <f>EXP(-LN(2)/25)*DG198+(1-EXP(-LN(2)/25))/(LN(2)/25)*Calculateur!DB199*Calculateur!DD199*VLOOKUP('Données projet'!$B$13,Paramètres!$A$1:$I$89,3,0)*0.475*44/12</f>
        <v>0.18160816606811453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3.1927421809092089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-3.4106051316484809E-13</v>
      </c>
      <c r="DP199" s="18">
        <f>DO199*VLOOKUP('Données projet'!$B$14,Paramètres!$A$1:$I$89,3,0)*VLOOKUP('Données projet'!$B$14,Paramètres!$A$1:$I$89,5,0)</f>
        <v>-2.0395418687257919E-13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386.56102661082468</v>
      </c>
      <c r="DU199" s="62">
        <f t="shared" si="209"/>
        <v>410.28336627719011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0.72705385974065084</v>
      </c>
      <c r="EB199" s="23">
        <f>EXP(-LN(2)/25)*EB198+(1-EXP(-LN(2)/25))/(LN(2)/25)*Calculateur!DW199*Calculateur!DY199*VLOOKUP('Données projet'!$B$14,Paramètres!$A$1:$I$89,3,0)*0.475*44/12</f>
        <v>2.234683498952128E-2</v>
      </c>
      <c r="EC199" s="23">
        <f>EXP(-LN(2)/2)*EC198+(1-EXP(-LN(2)/2))/(LN(2)/2)*DW199*DZ199*VLOOKUP('Données projet'!$B$14,Paramètres!$A$1:$I$89,3,0)*0.475*44/12</f>
        <v>1.346912722151023E-24</v>
      </c>
      <c r="ED199" s="24">
        <f t="shared" si="178"/>
        <v>0.74940069473017212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499.92116338695428</v>
      </c>
      <c r="T200" s="62">
        <f t="shared" si="204"/>
        <v>316.79403154855652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2.3397122867268617E-2</v>
      </c>
      <c r="AB200" s="23">
        <f>EXP(-LN(2)/2)*AB199+(1-EXP(-LN(2)/2))/(LN(2)/2)*V200*Y200*VLOOKUP('Données projet'!$B$9,Paramètres!$A$1:$I$89,3,0)*0.475*44/12</f>
        <v>1.7187898271181538E-24</v>
      </c>
      <c r="AC200" s="24">
        <f t="shared" si="163"/>
        <v>2.3397122867268617E-2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288.89903610054671</v>
      </c>
      <c r="AN200" s="62">
        <f ca="1">AVERAGE(OFFSET($AM$3,0,0,'Données projet'!$E$10+1,1))-AVERAGE(OFFSET($H$3,0,0,'Données projet'!$E$10+1,1))</f>
        <v>225.71928466161592</v>
      </c>
      <c r="AO200" s="62">
        <f t="shared" si="205"/>
        <v>385.98818770742025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211.70619219850786</v>
      </c>
      <c r="BJ200" s="62">
        <f t="shared" si="206"/>
        <v>426.883837098247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3.6176302099630111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1.944699113647363E-23</v>
      </c>
      <c r="BS200" s="24">
        <f t="shared" si="169"/>
        <v>3.6176302099630111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1.9895196601282805E-13</v>
      </c>
      <c r="BZ200" s="14">
        <f>BY200*VLOOKUP('Données projet'!$B$12,Paramètres!$A$1:$I$89,3,0)*VLOOKUP('Données projet'!$B$12,Paramètres!$A$1:$I$89,5,0)</f>
        <v>1.8001173884840681E-13</v>
      </c>
      <c r="CA200" s="14">
        <f t="shared" si="170"/>
        <v>2.5254331426407198E-12</v>
      </c>
      <c r="CB200" s="22">
        <f t="shared" si="171"/>
        <v>4.7119831685935622E-12</v>
      </c>
      <c r="CC200" s="62">
        <f t="shared" si="195"/>
        <v>288.89903610055035</v>
      </c>
      <c r="CD200" s="62">
        <f ca="1">AVERAGE(OFFSET($CC$3,0,0,'Données projet'!$E$12+1,1))-AVERAGE(OFFSET($H$3,0,0,'Données projet'!$E$12+1,1))</f>
        <v>327.07074355218322</v>
      </c>
      <c r="CE200" s="62">
        <f t="shared" si="207"/>
        <v>462.01668587029087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0.50285643411985159</v>
      </c>
      <c r="CL200" s="23">
        <f>EXP(-LN(2)/25)*CL199+(1-EXP(-LN(2)/25))/(LN(2)/25)*Calculateur!CG200*Calculateur!CI200*VLOOKUP('Données projet'!$B$12,Paramètres!$A$1:$I$89,3,0)*0.475*44/12</f>
        <v>3.0585260486928768E-2</v>
      </c>
      <c r="CM200" s="23">
        <f>EXP(-LN(2)/2)*CM199+(1-EXP(-LN(2)/2))/(LN(2)/2)*CG200*CJ200*VLOOKUP('Données projet'!$B$12,Paramètres!$A$1:$I$89,3,0)*0.475*44/12</f>
        <v>4.3100994658623016E-29</v>
      </c>
      <c r="CN200" s="24">
        <f t="shared" si="172"/>
        <v>0.53344169460678037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93.836028041880496</v>
      </c>
      <c r="CZ200" s="62">
        <f t="shared" si="208"/>
        <v>465.96044964631358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2.9520875134204592</v>
      </c>
      <c r="DG200" s="23">
        <f>EXP(-LN(2)/25)*DG199+(1-EXP(-LN(2)/25))/(LN(2)/25)*Calculateur!DB200*Calculateur!DD200*VLOOKUP('Données projet'!$B$13,Paramètres!$A$1:$I$89,3,0)*0.475*44/12</f>
        <v>0.17664208121662356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3.1287295946370826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-3.4106051316484809E-13</v>
      </c>
      <c r="DP200" s="18">
        <f>DO200*VLOOKUP('Données projet'!$B$14,Paramètres!$A$1:$I$89,3,0)*VLOOKUP('Données projet'!$B$14,Paramètres!$A$1:$I$89,5,0)</f>
        <v>-2.0395418687257919E-13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386.56102661082468</v>
      </c>
      <c r="DU200" s="62">
        <f t="shared" si="209"/>
        <v>410.28336627719011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0.71279677701020316</v>
      </c>
      <c r="EB200" s="23">
        <f>EXP(-LN(2)/25)*EB199+(1-EXP(-LN(2)/25))/(LN(2)/25)*Calculateur!DW200*Calculateur!DY200*VLOOKUP('Données projet'!$B$14,Paramètres!$A$1:$I$89,3,0)*0.475*44/12</f>
        <v>2.1735759611563842E-2</v>
      </c>
      <c r="EC200" s="23">
        <f>EXP(-LN(2)/2)*EC199+(1-EXP(-LN(2)/2))/(LN(2)/2)*DW200*DZ200*VLOOKUP('Données projet'!$B$14,Paramètres!$A$1:$I$89,3,0)*0.475*44/12</f>
        <v>9.5241111949942046E-25</v>
      </c>
      <c r="ED200" s="24">
        <f t="shared" si="178"/>
        <v>0.73453253662176698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499.92116338695428</v>
      </c>
      <c r="T201" s="62">
        <f t="shared" si="204"/>
        <v>316.79403154855652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2.275732731206194E-2</v>
      </c>
      <c r="AB201" s="23">
        <f>EXP(-LN(2)/2)*AB200+(1-EXP(-LN(2)/2))/(LN(2)/2)*V201*Y201*VLOOKUP('Données projet'!$B$9,Paramètres!$A$1:$I$89,3,0)*0.475*44/12</f>
        <v>1.2153679421897002E-24</v>
      </c>
      <c r="AC201" s="24">
        <f t="shared" si="163"/>
        <v>2.275732731206194E-2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288.97596124393215</v>
      </c>
      <c r="AN201" s="62">
        <f ca="1">AVERAGE(OFFSET($AM$3,0,0,'Données projet'!$E$10+1,1))-AVERAGE(OFFSET($H$3,0,0,'Données projet'!$E$10+1,1))</f>
        <v>225.71928466161592</v>
      </c>
      <c r="AO201" s="62">
        <f t="shared" si="205"/>
        <v>385.98818770742025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211.70619219850786</v>
      </c>
      <c r="BJ201" s="62">
        <f t="shared" si="206"/>
        <v>426.883837098247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3.5466906880821871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1.3751099306275188E-23</v>
      </c>
      <c r="BS201" s="24">
        <f t="shared" si="169"/>
        <v>3.5466906880821871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1.9895196601282805E-13</v>
      </c>
      <c r="BZ201" s="14">
        <f>BY201*VLOOKUP('Données projet'!$B$12,Paramètres!$A$1:$I$89,3,0)*VLOOKUP('Données projet'!$B$12,Paramètres!$A$1:$I$89,5,0)</f>
        <v>1.8001173884840681E-13</v>
      </c>
      <c r="CA201" s="14">
        <f t="shared" si="170"/>
        <v>2.5254331426407198E-12</v>
      </c>
      <c r="CB201" s="22">
        <f t="shared" si="171"/>
        <v>4.7119831685935622E-12</v>
      </c>
      <c r="CC201" s="62">
        <f t="shared" si="195"/>
        <v>288.97596124393579</v>
      </c>
      <c r="CD201" s="62">
        <f ca="1">AVERAGE(OFFSET($CC$3,0,0,'Données projet'!$E$12+1,1))-AVERAGE(OFFSET($H$3,0,0,'Données projet'!$E$12+1,1))</f>
        <v>327.07074355218322</v>
      </c>
      <c r="CE201" s="62">
        <f t="shared" si="207"/>
        <v>462.01668587029087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0.4929957261589008</v>
      </c>
      <c r="CL201" s="23">
        <f>EXP(-LN(2)/25)*CL200+(1-EXP(-LN(2)/25))/(LN(2)/25)*Calculateur!CG201*Calculateur!CI201*VLOOKUP('Données projet'!$B$12,Paramètres!$A$1:$I$89,3,0)*0.475*44/12</f>
        <v>2.9748904930504756E-2</v>
      </c>
      <c r="CM201" s="23">
        <f>EXP(-LN(2)/2)*CM200+(1-EXP(-LN(2)/2))/(LN(2)/2)*CG201*CJ201*VLOOKUP('Données projet'!$B$12,Paramètres!$A$1:$I$89,3,0)*0.475*44/12</f>
        <v>3.0477005598997498E-29</v>
      </c>
      <c r="CN201" s="24">
        <f t="shared" si="172"/>
        <v>0.52274463108940561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93.836028041880496</v>
      </c>
      <c r="CZ201" s="62">
        <f t="shared" si="208"/>
        <v>465.96044964631358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2.8941988778778729</v>
      </c>
      <c r="DG201" s="23">
        <f>EXP(-LN(2)/25)*DG200+(1-EXP(-LN(2)/25))/(LN(2)/25)*Calculateur!DB201*Calculateur!DD201*VLOOKUP('Données projet'!$B$13,Paramètres!$A$1:$I$89,3,0)*0.475*44/12</f>
        <v>0.17181179421655166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3.0660106720944245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-3.4106051316484809E-13</v>
      </c>
      <c r="DP201" s="18">
        <f>DO201*VLOOKUP('Données projet'!$B$14,Paramètres!$A$1:$I$89,3,0)*VLOOKUP('Données projet'!$B$14,Paramètres!$A$1:$I$89,5,0)</f>
        <v>-2.0395418687257919E-13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386.56102661082468</v>
      </c>
      <c r="DU201" s="62">
        <f t="shared" si="209"/>
        <v>410.28336627719011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0.69881926697613772</v>
      </c>
      <c r="EB201" s="23">
        <f>EXP(-LN(2)/25)*EB200+(1-EXP(-LN(2)/25))/(LN(2)/25)*Calculateur!DW201*Calculateur!DY201*VLOOKUP('Données projet'!$B$14,Paramètres!$A$1:$I$89,3,0)*0.475*44/12</f>
        <v>2.1141394121951707E-2</v>
      </c>
      <c r="EC201" s="23">
        <f>EXP(-LN(2)/2)*EC200+(1-EXP(-LN(2)/2))/(LN(2)/2)*DW201*DZ201*VLOOKUP('Données projet'!$B$14,Paramètres!$A$1:$I$89,3,0)*0.475*44/12</f>
        <v>6.7345636107551148E-25</v>
      </c>
      <c r="ED201" s="24">
        <f t="shared" si="178"/>
        <v>0.71996066109808943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499.92116338695428</v>
      </c>
      <c r="T202" s="62">
        <f t="shared" si="204"/>
        <v>316.79403154855652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2.2135026999957775E-2</v>
      </c>
      <c r="AB202" s="23">
        <f>EXP(-LN(2)/2)*AB201+(1-EXP(-LN(2)/2))/(LN(2)/2)*V202*Y202*VLOOKUP('Données projet'!$B$9,Paramètres!$A$1:$I$89,3,0)*0.475*44/12</f>
        <v>8.593949135590769E-25</v>
      </c>
      <c r="AC202" s="24">
        <f t="shared" si="163"/>
        <v>2.2135026999957775E-2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289.05155190805868</v>
      </c>
      <c r="AN202" s="62">
        <f ca="1">AVERAGE(OFFSET($AM$3,0,0,'Données projet'!$E$10+1,1))-AVERAGE(OFFSET($H$3,0,0,'Données projet'!$E$10+1,1))</f>
        <v>225.71928466161592</v>
      </c>
      <c r="AO202" s="62">
        <f t="shared" si="205"/>
        <v>385.98818770742025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211.70619219850786</v>
      </c>
      <c r="BJ202" s="62">
        <f t="shared" si="206"/>
        <v>426.883837098247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3.47714224695661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9.7234955682368152E-24</v>
      </c>
      <c r="BS202" s="24">
        <f t="shared" si="169"/>
        <v>3.47714224695661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1.9895196601282805E-13</v>
      </c>
      <c r="BZ202" s="14">
        <f>BY202*VLOOKUP('Données projet'!$B$12,Paramètres!$A$1:$I$89,3,0)*VLOOKUP('Données projet'!$B$12,Paramètres!$A$1:$I$89,5,0)</f>
        <v>1.8001173884840681E-13</v>
      </c>
      <c r="CA202" s="14">
        <f t="shared" si="170"/>
        <v>2.5254331426407198E-12</v>
      </c>
      <c r="CB202" s="22">
        <f t="shared" si="171"/>
        <v>4.7119831685935622E-12</v>
      </c>
      <c r="CC202" s="62">
        <f t="shared" si="195"/>
        <v>289.05155190806232</v>
      </c>
      <c r="CD202" s="62">
        <f ca="1">AVERAGE(OFFSET($CC$3,0,0,'Données projet'!$E$12+1,1))-AVERAGE(OFFSET($H$3,0,0,'Données projet'!$E$12+1,1))</f>
        <v>327.07074355218322</v>
      </c>
      <c r="CE202" s="62">
        <f t="shared" si="207"/>
        <v>462.01668587029087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0.48332838066662631</v>
      </c>
      <c r="CL202" s="23">
        <f>EXP(-LN(2)/25)*CL201+(1-EXP(-LN(2)/25))/(LN(2)/25)*Calculateur!CG202*Calculateur!CI202*VLOOKUP('Données projet'!$B$12,Paramètres!$A$1:$I$89,3,0)*0.475*44/12</f>
        <v>2.8935419560753184E-2</v>
      </c>
      <c r="CM202" s="23">
        <f>EXP(-LN(2)/2)*CM201+(1-EXP(-LN(2)/2))/(LN(2)/2)*CG202*CJ202*VLOOKUP('Données projet'!$B$12,Paramètres!$A$1:$I$89,3,0)*0.475*44/12</f>
        <v>2.1550497329311508E-29</v>
      </c>
      <c r="CN202" s="24">
        <f t="shared" si="172"/>
        <v>0.5122638002273795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93.836028041880496</v>
      </c>
      <c r="CZ202" s="62">
        <f t="shared" si="208"/>
        <v>465.96044964631358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2.8374454031696956</v>
      </c>
      <c r="DG202" s="23">
        <f>EXP(-LN(2)/25)*DG201+(1-EXP(-LN(2)/25))/(LN(2)/25)*Calculateur!DB202*Calculateur!DD202*VLOOKUP('Données projet'!$B$13,Paramètres!$A$1:$I$89,3,0)*0.475*44/12</f>
        <v>0.16711359166851047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3.0045589948382059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-3.4106051316484809E-13</v>
      </c>
      <c r="DP202" s="18">
        <f>DO202*VLOOKUP('Données projet'!$B$14,Paramètres!$A$1:$I$89,3,0)*VLOOKUP('Données projet'!$B$14,Paramètres!$A$1:$I$89,5,0)</f>
        <v>-2.0395418687257919E-13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386.56102661082468</v>
      </c>
      <c r="DU202" s="62">
        <f t="shared" si="209"/>
        <v>410.28336627719011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0.68511584738840103</v>
      </c>
      <c r="EB202" s="23">
        <f>EXP(-LN(2)/25)*EB201+(1-EXP(-LN(2)/25))/(LN(2)/25)*Calculateur!DW202*Calculateur!DY202*VLOOKUP('Données projet'!$B$14,Paramètres!$A$1:$I$89,3,0)*0.475*44/12</f>
        <v>2.0563281587909338E-2</v>
      </c>
      <c r="EC202" s="23">
        <f>EXP(-LN(2)/2)*EC201+(1-EXP(-LN(2)/2))/(LN(2)/2)*DW202*DZ202*VLOOKUP('Données projet'!$B$14,Paramètres!$A$1:$I$89,3,0)*0.475*44/12</f>
        <v>4.7620555974971023E-25</v>
      </c>
      <c r="ED202" s="24">
        <f t="shared" si="178"/>
        <v>0.70567912897631035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499.92116338695428</v>
      </c>
      <c r="T203" s="62">
        <f t="shared" si="204"/>
        <v>316.79403154855652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2.152974352261345E-2</v>
      </c>
      <c r="AB203" s="23">
        <f>EXP(-LN(2)/2)*AB202+(1-EXP(-LN(2)/2))/(LN(2)/2)*V203*Y203*VLOOKUP('Données projet'!$B$9,Paramètres!$A$1:$I$89,3,0)*0.475*44/12</f>
        <v>6.0768397109485011E-25</v>
      </c>
      <c r="AC203" s="24">
        <f t="shared" si="163"/>
        <v>2.152974352261345E-2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289.12583124315807</v>
      </c>
      <c r="AN203" s="62">
        <f ca="1">AVERAGE(OFFSET($AM$3,0,0,'Données projet'!$E$10+1,1))-AVERAGE(OFFSET($H$3,0,0,'Données projet'!$E$10+1,1))</f>
        <v>225.71928466161592</v>
      </c>
      <c r="AO203" s="62">
        <f t="shared" si="205"/>
        <v>385.98818770742025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211.70619219850786</v>
      </c>
      <c r="BJ203" s="62">
        <f t="shared" si="206"/>
        <v>426.883837098247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3.408957608341145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6.8755496531375942E-24</v>
      </c>
      <c r="BS203" s="24">
        <f t="shared" si="169"/>
        <v>3.408957608341145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1.9895196601282805E-13</v>
      </c>
      <c r="BZ203" s="14">
        <f>BY203*VLOOKUP('Données projet'!$B$12,Paramètres!$A$1:$I$89,3,0)*VLOOKUP('Données projet'!$B$12,Paramètres!$A$1:$I$89,5,0)</f>
        <v>1.8001173884840681E-13</v>
      </c>
      <c r="CA203" s="14">
        <f t="shared" si="170"/>
        <v>2.5254331426407198E-12</v>
      </c>
      <c r="CB203" s="22">
        <f t="shared" si="171"/>
        <v>4.7119831685935622E-12</v>
      </c>
      <c r="CC203" s="62">
        <f t="shared" si="195"/>
        <v>289.12583124316171</v>
      </c>
      <c r="CD203" s="62">
        <f ca="1">AVERAGE(OFFSET($CC$3,0,0,'Données projet'!$E$12+1,1))-AVERAGE(OFFSET($H$3,0,0,'Données projet'!$E$12+1,1))</f>
        <v>327.07074355218322</v>
      </c>
      <c r="CE203" s="62">
        <f t="shared" si="207"/>
        <v>462.01668587029087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0.4738506059229568</v>
      </c>
      <c r="CL203" s="23">
        <f>EXP(-LN(2)/25)*CL202+(1-EXP(-LN(2)/25))/(LN(2)/25)*Calculateur!CG203*Calculateur!CI203*VLOOKUP('Données projet'!$B$12,Paramètres!$A$1:$I$89,3,0)*0.475*44/12</f>
        <v>2.8144178991216805E-2</v>
      </c>
      <c r="CM203" s="23">
        <f>EXP(-LN(2)/2)*CM202+(1-EXP(-LN(2)/2))/(LN(2)/2)*CG203*CJ203*VLOOKUP('Données projet'!$B$12,Paramètres!$A$1:$I$89,3,0)*0.475*44/12</f>
        <v>1.5238502799498749E-29</v>
      </c>
      <c r="CN203" s="24">
        <f t="shared" si="172"/>
        <v>0.5019947849141736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93.836028041880496</v>
      </c>
      <c r="CZ203" s="62">
        <f t="shared" si="208"/>
        <v>465.96044964631358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2.7818048294843445</v>
      </c>
      <c r="DG203" s="23">
        <f>EXP(-LN(2)/25)*DG202+(1-EXP(-LN(2)/25))/(LN(2)/25)*Calculateur!DB203*Calculateur!DD203*VLOOKUP('Données projet'!$B$13,Paramètres!$A$1:$I$89,3,0)*0.475*44/12</f>
        <v>0.16254386171621321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2.9443486912005579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-3.4106051316484809E-13</v>
      </c>
      <c r="DP203" s="18">
        <f>DO203*VLOOKUP('Données projet'!$B$14,Paramètres!$A$1:$I$89,3,0)*VLOOKUP('Données projet'!$B$14,Paramètres!$A$1:$I$89,5,0)</f>
        <v>-2.0395418687257919E-13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386.56102661082468</v>
      </c>
      <c r="DU203" s="62">
        <f t="shared" si="209"/>
        <v>410.28336627719011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0.67168114350051922</v>
      </c>
      <c r="EB203" s="23">
        <f>EXP(-LN(2)/25)*EB202+(1-EXP(-LN(2)/25))/(LN(2)/25)*Calculateur!DW203*Calculateur!DY203*VLOOKUP('Données projet'!$B$14,Paramètres!$A$1:$I$89,3,0)*0.475*44/12</f>
        <v>2.0000977571511976E-2</v>
      </c>
      <c r="EC203" s="23">
        <f>EXP(-LN(2)/2)*EC202+(1-EXP(-LN(2)/2))/(LN(2)/2)*DW203*DZ203*VLOOKUP('Données projet'!$B$14,Paramètres!$A$1:$I$89,3,0)*0.475*44/12</f>
        <v>3.3672818053775574E-25</v>
      </c>
      <c r="ED203" s="24">
        <f t="shared" si="178"/>
        <v>0.6916821210720312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1.4261938757879591</v>
      </c>
      <c r="BV205" s="88">
        <f>EXP(LN('Données projet'!B114)/'Données projet'!A114)</f>
        <v>1.9472943612303364</v>
      </c>
      <c r="CQ205" s="88">
        <f>EXP(LN('Données projet'!B140)/'Données projet'!A140)</f>
        <v>1.4114030819650796</v>
      </c>
      <c r="DL205" s="88">
        <f>EXP(LN('Données projet'!B166)/'Données projet'!A166)</f>
        <v>1.3239616704988877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7" workbookViewId="0">
      <selection activeCell="C58" sqref="C58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2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3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2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4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4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3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2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3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22" sqref="L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3" t="s">
        <v>271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5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2.7469999999999999</v>
      </c>
      <c r="C6" s="156">
        <f ca="1">IF(OR('Données projet'!B9="",'Données projet'!C9="",'Données projet'!C9=0%),0,Calculateur!S3)</f>
        <v>499.92116338695428</v>
      </c>
      <c r="D6" s="156">
        <f>IF(OR('Données projet'!B9="",'Données projet'!C9="",'Données projet'!C9=0%),0,Calculateur!T3)</f>
        <v>316.79403154855652</v>
      </c>
      <c r="E6" s="156">
        <f ca="1">MIN(C6,D6)</f>
        <v>316.79403154855652</v>
      </c>
      <c r="F6" s="156">
        <f ca="1">E6*B6</f>
        <v>870.23320466388475</v>
      </c>
      <c r="G6" s="156">
        <f ca="1">F6*(100%-'Données projet'!$C$24)*(100%-'Données projet'!$C$25)*(100%-'Données projet'!$C$26)*(100%-'Données projet'!$C$27)</f>
        <v>744.04938998762145</v>
      </c>
      <c r="H6" s="157">
        <f>IF(OR('Données projet'!B9="",'Données projet'!C9="",'Données projet'!C9=0%),0,AVERAGE(Calculateur!$AC$3:$AC$33)*B6)</f>
        <v>9.7504931053401371</v>
      </c>
      <c r="I6" s="158">
        <f>H6*(100%-'Données projet'!$C$24)*(100%-'Données projet'!$C$25)*(100%-'Données projet'!$C$26)*(100%-'Données projet'!$C$27)</f>
        <v>8.3366716050658169</v>
      </c>
      <c r="J6" s="159">
        <f>IF(OR('Données projet'!B9="",'Données projet'!C9="",'Données projet'!C9=0%),0,SUM(Calculateur!$V$3:$V$33)*VLOOKUP('Données projet'!$B$9,Paramètres!$A$1:$I$89,9,0)*B6)</f>
        <v>42.578499999999998</v>
      </c>
      <c r="K6" s="160">
        <f>J6*(100%-'Données projet'!$C$24)*(100%-'Données projet'!$C$25)*(100%-'Données projet'!$C$26)*(100%-'Données projet'!$C$27)</f>
        <v>36.404617500000001</v>
      </c>
      <c r="L6" s="161">
        <f ca="1">G6+I6+K6</f>
        <v>788.79067909268724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2.8005999999999998</v>
      </c>
      <c r="C7" s="156">
        <f ca="1">IF(OR('Données projet'!B10="",'Données projet'!C10="",'Données projet'!C10=0%),0,Calculateur!AN3)</f>
        <v>225.71928466161592</v>
      </c>
      <c r="D7" s="156">
        <f>IF(OR('Données projet'!B10="",'Données projet'!C10="",'Données projet'!C10=0%),0,Calculateur!AO3)</f>
        <v>385.98818770742025</v>
      </c>
      <c r="E7" s="156">
        <f t="shared" ref="E7:E15" ca="1" si="0">MIN(C7,D7)</f>
        <v>225.71928466161592</v>
      </c>
      <c r="F7" s="156">
        <f t="shared" ref="F7:F15" ca="1" si="1">E7*B7</f>
        <v>632.14942862332146</v>
      </c>
      <c r="G7" s="156">
        <f ca="1">F7*(100%-'Données projet'!$C$24)*(100%-'Données projet'!$C$25)*(100%-'Données projet'!$C$26)*(100%-'Données projet'!$C$27)</f>
        <v>540.48776147293984</v>
      </c>
      <c r="H7" s="164">
        <f>IF(OR('Données projet'!B10="",'Données projet'!C10="",'Données projet'!C10=0%),0,AVERAGE(Calculateur!$AX$3:$AX$33)*B7)</f>
        <v>22.928651323625239</v>
      </c>
      <c r="I7" s="158">
        <f>H7*(100%-'Données projet'!$C$24)*(100%-'Données projet'!$C$25)*(100%-'Données projet'!$C$26)*(100%-'Données projet'!$C$27)</f>
        <v>19.60399688169958</v>
      </c>
      <c r="J7" s="159">
        <f>IF(OR('Données projet'!B10="",'Données projet'!C10="",'Données projet'!C10=0%),0,SUM(Calculateur!$AQ$3:$AQ$33)*VLOOKUP('Données projet'!$B$10,Paramètres!$A$1:$I$89,9,0)*B7)</f>
        <v>180.10658599999999</v>
      </c>
      <c r="K7" s="160">
        <f>J7*(100%-'Données projet'!$C$24)*(100%-'Données projet'!$C$25)*(100%-'Données projet'!$C$26)*(100%-'Données projet'!$C$27)</f>
        <v>153.99113102999999</v>
      </c>
      <c r="L7" s="161">
        <f t="shared" ref="L7:L15" ca="1" si="2">G7+I7+K7</f>
        <v>714.08288938463943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taeda</v>
      </c>
      <c r="B8" s="163">
        <f>'Données projet'!D11</f>
        <v>1.1523999999999999</v>
      </c>
      <c r="C8" s="156">
        <f ca="1">IF(OR('Données projet'!B11="",'Données projet'!C11="",'Données projet'!C11=0%),0,Calculateur!BI3)</f>
        <v>211.70619219850786</v>
      </c>
      <c r="D8" s="156">
        <f>IF(OR('Données projet'!B11="",'Données projet'!C11="",'Données projet'!C11=0%),0,Calculateur!BJ3)</f>
        <v>426.883837098247</v>
      </c>
      <c r="E8" s="156">
        <f t="shared" ca="1" si="0"/>
        <v>211.70619219850786</v>
      </c>
      <c r="F8" s="156">
        <f t="shared" ca="1" si="1"/>
        <v>243.97021588956042</v>
      </c>
      <c r="G8" s="156">
        <f ca="1">F8*(100%-'Données projet'!$C$24)*(100%-'Données projet'!$C$25)*(100%-'Données projet'!$C$26)*(100%-'Données projet'!$C$27)</f>
        <v>208.59453458557414</v>
      </c>
      <c r="H8" s="164">
        <f>IF(OR('Données projet'!B11="",'Données projet'!C11="",'Données projet'!C11=0%),0,AVERAGE(Calculateur!$BS$3:$BS$33)*B8)</f>
        <v>11.159820839242084</v>
      </c>
      <c r="I8" s="158">
        <f>H8*(100%-'Données projet'!$C$24)*(100%-'Données projet'!$C$25)*(100%-'Données projet'!$C$26)*(100%-'Données projet'!$C$27)</f>
        <v>9.54164681755198</v>
      </c>
      <c r="J8" s="159">
        <f>IF(OR('Données projet'!B11="",'Données projet'!C11="",'Données projet'!C11=0%),0,SUM(Calculateur!$BL$3:$BL$33)*VLOOKUP('Données projet'!$B$11,Paramètres!$A$1:$I$89,9,0)*B8)</f>
        <v>59.463839999999998</v>
      </c>
      <c r="K8" s="160">
        <f>J8*(100%-'Données projet'!$C$24)*(100%-'Données projet'!$C$25)*(100%-'Données projet'!$C$26)*(100%-'Données projet'!$C$27)</f>
        <v>50.841583199999995</v>
      </c>
      <c r="L8" s="161">
        <f t="shared" ca="1" si="2"/>
        <v>268.9777646031261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Robinier faux-acacia</v>
      </c>
      <c r="B9" s="163">
        <f>'Données projet'!D12</f>
        <v>2.1976</v>
      </c>
      <c r="C9" s="156">
        <f ca="1">IF(OR('Données projet'!B12="",'Données projet'!C12="",'Données projet'!C12=0%),0,Calculateur!CD3)</f>
        <v>327.07074355218322</v>
      </c>
      <c r="D9" s="156">
        <f>IF(OR('Données projet'!B12="",'Données projet'!C12="",'Données projet'!C12=0%),0,Calculateur!CE3)</f>
        <v>462.01668587029087</v>
      </c>
      <c r="E9" s="156">
        <f t="shared" ca="1" si="0"/>
        <v>327.07074355218322</v>
      </c>
      <c r="F9" s="156">
        <f t="shared" ca="1" si="1"/>
        <v>718.77066603027788</v>
      </c>
      <c r="G9" s="156">
        <f ca="1">F9*(100%-'Données projet'!$C$24)*(100%-'Données projet'!$C$25)*(100%-'Données projet'!$C$26)*(100%-'Données projet'!$C$27)</f>
        <v>614.54891945588759</v>
      </c>
      <c r="H9" s="164">
        <f>IF(OR('Données projet'!B12="",'Données projet'!C12="",'Données projet'!C12=0%),0,AVERAGE(Calculateur!$CN$3:$CN$33)*B9)</f>
        <v>17.884605529915856</v>
      </c>
      <c r="I9" s="158">
        <f>H9*(100%-'Données projet'!$C$24)*(100%-'Données projet'!$C$25)*(100%-'Données projet'!$C$26)*(100%-'Données projet'!$C$27)</f>
        <v>15.291337728078057</v>
      </c>
      <c r="J9" s="159">
        <f>IF(OR('Données projet'!B12="",'Données projet'!C12="",'Données projet'!C12=0%),0,SUM(Calculateur!$CG$3:$CG$33)*VLOOKUP('Données projet'!$B$12,Paramètres!$A$1:$I$89,9,0)*B9)</f>
        <v>41.754399999999997</v>
      </c>
      <c r="K9" s="160">
        <f>J9*(100%-'Données projet'!$C$24)*(100%-'Données projet'!$C$25)*(100%-'Données projet'!$C$26)*(100%-'Données projet'!$C$27)</f>
        <v>35.700011999999994</v>
      </c>
      <c r="L9" s="161">
        <f t="shared" ca="1" si="2"/>
        <v>665.54026918396562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Peuplier Soligo</v>
      </c>
      <c r="B10" s="163">
        <f>'Données projet'!D13</f>
        <v>0.69679999999999997</v>
      </c>
      <c r="C10" s="156">
        <f ca="1">IF(OR('Données projet'!B13="",'Données projet'!C13="",'Données projet'!C13=0%),0,Calculateur!CY3)</f>
        <v>93.836028041880496</v>
      </c>
      <c r="D10" s="156">
        <f>IF(OR('Données projet'!B13="",'Données projet'!C13="",'Données projet'!C13=0%),0,Calculateur!CZ3)</f>
        <v>465.96044964631358</v>
      </c>
      <c r="E10" s="156">
        <f t="shared" ca="1" si="0"/>
        <v>93.836028041880496</v>
      </c>
      <c r="F10" s="156">
        <f t="shared" ca="1" si="1"/>
        <v>65.384944339582333</v>
      </c>
      <c r="G10" s="156">
        <f ca="1">F10*(100%-'Données projet'!$C$24)*(100%-'Données projet'!$C$25)*(100%-'Données projet'!$C$26)*(100%-'Données projet'!$C$27)</f>
        <v>55.904127410342888</v>
      </c>
      <c r="H10" s="164">
        <f>IF(OR('Données projet'!B13="",'Données projet'!C13="",'Données projet'!C13=0%),0,AVERAGE(Calculateur!$DI$3:$DI$33)*B10)</f>
        <v>35.817058667226782</v>
      </c>
      <c r="I10" s="158">
        <f>H10*(100%-'Données projet'!$C$24)*(100%-'Données projet'!$C$25)*(100%-'Données projet'!$C$26)*(100%-'Données projet'!$C$27)</f>
        <v>30.623585160478896</v>
      </c>
      <c r="J10" s="159">
        <f>IF(OR('Données projet'!B13="",'Données projet'!C13="",'Données projet'!C13=0%),0,SUM(Calculateur!$DB$3:$DB$33)*VLOOKUP('Données projet'!$B$13,Paramètres!$A$1:$I$89,9,0)*B10)</f>
        <v>251.19639999999998</v>
      </c>
      <c r="K10" s="160">
        <f>J10*(100%-'Données projet'!$C$24)*(100%-'Données projet'!$C$25)*(100%-'Données projet'!$C$26)*(100%-'Données projet'!$C$27)</f>
        <v>214.77292199999997</v>
      </c>
      <c r="L10" s="161">
        <f t="shared" ca="1" si="2"/>
        <v>301.30063457082179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Pin laricio</v>
      </c>
      <c r="B11" s="163">
        <f>'Données projet'!D14</f>
        <v>3.8055999999999996</v>
      </c>
      <c r="C11" s="156">
        <f ca="1">IF(OR('Données projet'!B14="",'Données projet'!C14="",'Données projet'!C14=0%),0,Calculateur!DT3)</f>
        <v>386.56102661082468</v>
      </c>
      <c r="D11" s="156">
        <f>IF(OR('Données projet'!B14="",'Données projet'!C14="",'Données projet'!C14=0%),0,Calculateur!DU3)</f>
        <v>410.28336627719011</v>
      </c>
      <c r="E11" s="156">
        <f t="shared" ca="1" si="0"/>
        <v>386.56102661082468</v>
      </c>
      <c r="F11" s="156">
        <f t="shared" ca="1" si="1"/>
        <v>1471.0966428701543</v>
      </c>
      <c r="G11" s="156">
        <f ca="1">F11*(100%-'Données projet'!$C$24)*(100%-'Données projet'!$C$25)*(100%-'Données projet'!$C$26)*(100%-'Données projet'!$C$27)</f>
        <v>1257.7876296539819</v>
      </c>
      <c r="H11" s="164">
        <f>IF(OR('Données projet'!B14="",'Données projet'!C14="",'Données projet'!C14=0%),0,AVERAGE(Calculateur!$ED$3:$ED$33)*B11)</f>
        <v>21.051604094232488</v>
      </c>
      <c r="I11" s="158">
        <f>H11*(100%-'Données projet'!$C$24)*(100%-'Données projet'!$C$25)*(100%-'Données projet'!$C$26)*(100%-'Données projet'!$C$27)</f>
        <v>17.999121500568776</v>
      </c>
      <c r="J11" s="159">
        <f>IF(OR('Données projet'!B14="",'Données projet'!C14="",'Données projet'!C14=0%),0,SUM(Calculateur!$DW$3:$DW$33)*VLOOKUP('Données projet'!$B$14,Paramètres!$A$1:$I$89,9,0)*B11)</f>
        <v>196.36895999999999</v>
      </c>
      <c r="K11" s="160">
        <f>J11*(100%-'Données projet'!$C$24)*(100%-'Données projet'!$C$25)*(100%-'Données projet'!$C$26)*(100%-'Données projet'!$C$27)</f>
        <v>167.89546079999997</v>
      </c>
      <c r="L11" s="161">
        <f t="shared" ca="1" si="2"/>
        <v>1443.6822119545504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4001.6051024167818</v>
      </c>
      <c r="G16" s="175">
        <f t="shared" ca="1" si="3"/>
        <v>3421.3723625663479</v>
      </c>
      <c r="H16" s="176">
        <f t="shared" si="3"/>
        <v>118.59223355958258</v>
      </c>
      <c r="I16" s="176">
        <f t="shared" si="3"/>
        <v>101.3963596934431</v>
      </c>
      <c r="J16" s="177">
        <f t="shared" si="3"/>
        <v>771.46868599999993</v>
      </c>
      <c r="K16" s="177">
        <f t="shared" si="3"/>
        <v>659.60572652999986</v>
      </c>
      <c r="L16" s="178">
        <f t="shared" ca="1" si="3"/>
        <v>4182.3744487897911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5" t="s">
        <v>246</v>
      </c>
      <c r="G17" s="326"/>
      <c r="H17" s="326"/>
      <c r="I17" s="326"/>
      <c r="J17" s="326"/>
      <c r="K17" s="326"/>
      <c r="L17" s="326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7"/>
      <c r="G18" s="327"/>
      <c r="H18" s="327"/>
      <c r="I18" s="327"/>
      <c r="J18" s="327"/>
      <c r="K18" s="327"/>
      <c r="L18" s="327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taeda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Robinier faux-acacia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Peuplier Soligo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Pin laricio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3" zoomScale="90" zoomScaleNormal="90" workbookViewId="0">
      <selection activeCell="J31" sqref="J3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3" t="s">
        <v>272</v>
      </c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5" t="s">
        <v>315</v>
      </c>
      <c r="I4" s="345"/>
      <c r="K4" s="342" t="s">
        <v>253</v>
      </c>
      <c r="L4" s="343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902.103941500014</v>
      </c>
      <c r="U10" s="190">
        <f>'Données projet'!D9</f>
        <v>2.7469999999999999</v>
      </c>
      <c r="V10" s="189">
        <f>U10*T10</f>
        <v>2478.0795273005383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3204.3706320110359</v>
      </c>
      <c r="U11" s="190">
        <f>'Données projet'!D10</f>
        <v>2.8005999999999998</v>
      </c>
      <c r="V11" s="189">
        <f t="shared" ref="V11" si="0">U11*T11</f>
        <v>8974.1603920101061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taeda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4076.7071795105562</v>
      </c>
      <c r="U12" s="190">
        <f>'Données projet'!D11</f>
        <v>1.1523999999999999</v>
      </c>
      <c r="V12" s="189">
        <f t="shared" ref="V12:V19" si="1">U12*T12</f>
        <v>4697.9973536679645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Robinier faux-acacia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878.41340148668132</v>
      </c>
      <c r="U13" s="190">
        <f>'Données projet'!D12</f>
        <v>2.1976</v>
      </c>
      <c r="V13" s="189">
        <f t="shared" si="1"/>
        <v>1930.4012911071309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Peuplier Soligo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8280.5867452905768</v>
      </c>
      <c r="U14" s="190">
        <f>'Données projet'!D13</f>
        <v>0.69679999999999997</v>
      </c>
      <c r="V14" s="189">
        <f t="shared" si="1"/>
        <v>5769.9128441184739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6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Pin laricio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3314.3756984997212</v>
      </c>
      <c r="U15" s="190">
        <f>'Données projet'!D14</f>
        <v>3.8055999999999996</v>
      </c>
      <c r="V15" s="189">
        <f t="shared" si="1"/>
        <v>12613.188158210538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6"/>
      <c r="H16" s="203"/>
      <c r="I16" s="204"/>
      <c r="J16" s="216"/>
      <c r="K16" s="225"/>
      <c r="L16" s="342" t="s">
        <v>254</v>
      </c>
      <c r="M16" s="343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6"/>
      <c r="J17" s="216"/>
      <c r="K17" s="225"/>
      <c r="L17" s="300" t="s">
        <v>289</v>
      </c>
      <c r="M17" s="302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6"/>
      <c r="J18" s="216"/>
      <c r="K18" s="225"/>
      <c r="L18" s="300" t="s">
        <v>255</v>
      </c>
      <c r="M18" s="302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6"/>
      <c r="H19" s="232" t="s">
        <v>178</v>
      </c>
      <c r="I19" s="232" t="s">
        <v>287</v>
      </c>
      <c r="J19" s="260"/>
      <c r="K19" s="183"/>
      <c r="L19" s="342" t="s">
        <v>288</v>
      </c>
      <c r="M19" s="343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6"/>
      <c r="H20" s="203">
        <v>0</v>
      </c>
      <c r="I20" s="204">
        <v>4498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1398.87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990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6">
        <v>4</v>
      </c>
      <c r="D23" s="194">
        <f>B23*C23</f>
        <v>24</v>
      </c>
      <c r="E23" s="206"/>
      <c r="F23" s="261"/>
      <c r="H23" s="203">
        <v>3</v>
      </c>
      <c r="I23" s="204">
        <v>990</v>
      </c>
      <c r="K23" s="225"/>
      <c r="L23" s="344" t="s">
        <v>260</v>
      </c>
      <c r="M23" s="344"/>
      <c r="N23" s="344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-65520.147873987502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6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-65520.147873987502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6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6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6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6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6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6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6">
        <v>15</v>
      </c>
      <c r="D32" s="194">
        <f t="shared" si="2"/>
        <v>420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6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6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6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6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6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6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6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6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6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6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str">
        <f>IF(O50+1&lt;=MIN('Données projet'!$E$9:$E$18),O50+1,"STOP")</f>
        <v>STOP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92">
        <v>15</v>
      </c>
      <c r="D54" s="191">
        <f>B54*C54</f>
        <v>225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92">
        <v>20</v>
      </c>
      <c r="D55" s="191">
        <f t="shared" ref="D55:D73" si="4">B55*C55</f>
        <v>800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92">
        <v>30</v>
      </c>
      <c r="D56" s="191">
        <f t="shared" si="4"/>
        <v>1620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92">
        <v>40</v>
      </c>
      <c r="D58" s="191">
        <f t="shared" si="4"/>
        <v>13520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taeda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28</v>
      </c>
      <c r="C85" s="204">
        <v>15</v>
      </c>
      <c r="D85" s="191">
        <f>B85*C85</f>
        <v>420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18</v>
      </c>
      <c r="B86" s="193">
        <f>'Données projet'!D89</f>
        <v>40</v>
      </c>
      <c r="C86" s="204">
        <v>20</v>
      </c>
      <c r="D86" s="191">
        <f t="shared" ref="D86:D104" si="6">B86*C86</f>
        <v>800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23</v>
      </c>
      <c r="B87" s="193">
        <f>'Données projet'!D90</f>
        <v>52</v>
      </c>
      <c r="C87" s="204">
        <v>30</v>
      </c>
      <c r="D87" s="191">
        <f t="shared" si="6"/>
        <v>1560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34</v>
      </c>
      <c r="B89" s="193">
        <f>'Données projet'!D92</f>
        <v>325</v>
      </c>
      <c r="C89" s="204">
        <v>40</v>
      </c>
      <c r="D89" s="191">
        <f t="shared" si="6"/>
        <v>13000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Robinier faux-acacia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5</v>
      </c>
      <c r="B116" s="193">
        <f>'Données projet'!D114</f>
        <v>4</v>
      </c>
      <c r="C116" s="295">
        <v>8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10</v>
      </c>
      <c r="B117" s="193">
        <f>'Données projet'!D115</f>
        <v>21</v>
      </c>
      <c r="C117" s="295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15</v>
      </c>
      <c r="B118" s="193">
        <f>'Données projet'!D116</f>
        <v>17</v>
      </c>
      <c r="C118" s="295">
        <v>9</v>
      </c>
      <c r="D118" s="191">
        <f t="shared" si="8"/>
        <v>153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20</v>
      </c>
      <c r="B119" s="193">
        <f>'Données projet'!D117</f>
        <v>14</v>
      </c>
      <c r="C119" s="295">
        <v>12</v>
      </c>
      <c r="D119" s="191">
        <f t="shared" si="8"/>
        <v>168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25</v>
      </c>
      <c r="B120" s="193">
        <f>'Données projet'!D118</f>
        <v>11</v>
      </c>
      <c r="C120" s="295">
        <v>12</v>
      </c>
      <c r="D120" s="191">
        <f t="shared" si="8"/>
        <v>132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30</v>
      </c>
      <c r="B121" s="193">
        <f>'Données projet'!D119</f>
        <v>9</v>
      </c>
      <c r="C121" s="295">
        <v>13</v>
      </c>
      <c r="D121" s="191">
        <f t="shared" si="8"/>
        <v>117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35</v>
      </c>
      <c r="B122" s="193">
        <f>'Données projet'!D120</f>
        <v>7</v>
      </c>
      <c r="C122" s="295">
        <v>13</v>
      </c>
      <c r="D122" s="191">
        <f t="shared" si="8"/>
        <v>91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40</v>
      </c>
      <c r="B123" s="193">
        <f>'Données projet'!D121</f>
        <v>6</v>
      </c>
      <c r="C123" s="295">
        <v>14</v>
      </c>
      <c r="D123" s="191">
        <f t="shared" si="8"/>
        <v>84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45</v>
      </c>
      <c r="B124" s="193">
        <f>'Données projet'!D122</f>
        <v>252</v>
      </c>
      <c r="C124" s="295">
        <v>14</v>
      </c>
      <c r="D124" s="191">
        <f t="shared" si="8"/>
        <v>3528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Peuplier Soligo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17</v>
      </c>
      <c r="B147" s="187">
        <f>'Données projet'!D140</f>
        <v>350</v>
      </c>
      <c r="C147" s="204">
        <v>50</v>
      </c>
      <c r="D147" s="194">
        <f>B147*C147</f>
        <v>17500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Pin laricio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17</v>
      </c>
      <c r="B178" s="193">
        <f>'Données projet'!D166</f>
        <v>15</v>
      </c>
      <c r="C178" s="294">
        <v>12</v>
      </c>
      <c r="D178" s="191">
        <f>B178*C178</f>
        <v>180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20</v>
      </c>
      <c r="B179" s="193">
        <f>'Données projet'!D167</f>
        <v>15</v>
      </c>
      <c r="C179" s="294">
        <v>12</v>
      </c>
      <c r="D179" s="191">
        <f t="shared" ref="D179:D197" si="11">B179*C179</f>
        <v>180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25</v>
      </c>
      <c r="B180" s="193">
        <f>'Données projet'!D168</f>
        <v>36</v>
      </c>
      <c r="C180" s="294">
        <v>15</v>
      </c>
      <c r="D180" s="191">
        <f t="shared" si="11"/>
        <v>540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30</v>
      </c>
      <c r="B181" s="193">
        <f>'Données projet'!D169</f>
        <v>54</v>
      </c>
      <c r="C181" s="294">
        <v>17</v>
      </c>
      <c r="D181" s="191">
        <f t="shared" si="11"/>
        <v>918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35</v>
      </c>
      <c r="B182" s="193">
        <f>'Données projet'!D170</f>
        <v>52</v>
      </c>
      <c r="C182" s="294">
        <v>17</v>
      </c>
      <c r="D182" s="191">
        <f t="shared" si="11"/>
        <v>884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40</v>
      </c>
      <c r="B183" s="193">
        <f>'Données projet'!D171</f>
        <v>48</v>
      </c>
      <c r="C183" s="294">
        <v>17</v>
      </c>
      <c r="D183" s="191">
        <f t="shared" si="11"/>
        <v>816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45</v>
      </c>
      <c r="B184" s="193">
        <f>'Données projet'!D172</f>
        <v>57</v>
      </c>
      <c r="C184" s="294">
        <v>20</v>
      </c>
      <c r="D184" s="191">
        <f t="shared" si="11"/>
        <v>1140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50</v>
      </c>
      <c r="B185" s="193">
        <f>'Données projet'!D173</f>
        <v>47</v>
      </c>
      <c r="C185" s="294">
        <v>25</v>
      </c>
      <c r="D185" s="191">
        <f t="shared" si="11"/>
        <v>1175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55</v>
      </c>
      <c r="B186" s="193">
        <f>'Données projet'!D174</f>
        <v>48</v>
      </c>
      <c r="C186" s="294">
        <v>30</v>
      </c>
      <c r="D186" s="191">
        <f t="shared" si="11"/>
        <v>1440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60</v>
      </c>
      <c r="B187" s="193">
        <f>'Données projet'!D175</f>
        <v>32</v>
      </c>
      <c r="C187" s="294">
        <v>35</v>
      </c>
      <c r="D187" s="191">
        <f t="shared" si="11"/>
        <v>1120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65</v>
      </c>
      <c r="B188" s="193">
        <f>'Données projet'!D176</f>
        <v>555</v>
      </c>
      <c r="C188" s="294">
        <v>60</v>
      </c>
      <c r="D188" s="191">
        <f t="shared" si="11"/>
        <v>33300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7C795-45B0-4372-8321-5959A5D1E28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Feuil1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2025-06-02T13:50:29Z</dcterms:modified>
</cp:coreProperties>
</file>