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aa Dossier financés\ST CERNIN DE LABARDE (24) - FABIEN INDIV-SWC-A7\Dossier déposé le 13 09 2024\"/>
    </mc:Choice>
  </mc:AlternateContent>
  <xr:revisionPtr revIDLastSave="0" documentId="13_ncr:1_{0F10516A-E940-4399-8351-EA11F5B64EBD}" xr6:coauthVersionLast="36" xr6:coauthVersionMax="36" xr10:uidLastSave="{00000000-0000-0000-0000-000000000000}"/>
  <bookViews>
    <workbookView xWindow="0" yWindow="0" windowWidth="28800" windowHeight="12615" tabRatio="866" activeTab="7" xr2:uid="{00000000-000D-0000-FFFF-FFFF00000000}"/>
  </bookViews>
  <sheets>
    <sheet name="Accueil" sheetId="5" r:id="rId1"/>
    <sheet name="Données projet" sheetId="1" r:id="rId2"/>
    <sheet name="Feuil2" sheetId="9" state="hidden" r:id="rId3"/>
    <sheet name="Feuil1" sheetId="8" r:id="rId4"/>
    <sheet name="Scénario référence" sheetId="7" r:id="rId5"/>
    <sheet name="Calculateur" sheetId="2" state="hidden" r:id="rId6"/>
    <sheet name="Paramètres" sheetId="3" state="hidden" r:id="rId7"/>
    <sheet name="REE" sheetId="4" r:id="rId8"/>
    <sheet name="VAN" sheetId="6" r:id="rId9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Y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DH156" i="2"/>
  <c r="FS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G160" i="2"/>
  <c r="HI160" i="2"/>
  <c r="HH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EB161" i="2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FR164" i="2"/>
  <c r="DI163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J166" i="2"/>
  <c r="HH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H168" i="2"/>
  <c r="HI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V172" i="2"/>
  <c r="EY171" i="2"/>
  <c r="ED171" i="2"/>
  <c r="EB172" i="2"/>
  <c r="HI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HI175" i="2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FS186" i="2"/>
  <c r="EW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FQ194" i="2"/>
  <c r="ED193" i="2"/>
  <c r="EB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HG195" i="2"/>
  <c r="HI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W197" i="2"/>
  <c r="HG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H199" i="2"/>
  <c r="EB199" i="2"/>
  <c r="EA199" i="2"/>
  <c r="HG199" i="2"/>
  <c r="HJ199" i="2" s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EX202" i="2"/>
  <c r="ED201" i="2"/>
  <c r="HG202" i="2"/>
  <c r="HJ202" i="2" s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9" i="2" a="1"/>
  <c r="FD1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57" i="2" a="1"/>
  <c r="EI57" i="2" s="1"/>
  <c r="EI20" i="2" a="1"/>
  <c r="EI20" i="2" s="1"/>
  <c r="EI16" i="2" a="1"/>
  <c r="EI16" i="2" s="1"/>
  <c r="EI67" i="2" a="1"/>
  <c r="EI67" i="2" s="1"/>
  <c r="EI139" i="2" a="1"/>
  <c r="EI139" i="2" s="1"/>
  <c r="DN6" i="2" a="1"/>
  <c r="DN6" i="2" s="1"/>
  <c r="DO6" i="2" s="1"/>
  <c r="BX107" i="2" a="1"/>
  <c r="BX107" i="2" s="1"/>
  <c r="FD82" i="2" a="1"/>
  <c r="FD82" i="2" s="1"/>
  <c r="AX200" i="2"/>
  <c r="EI195" i="2" l="1" a="1"/>
  <c r="EI195" i="2" s="1"/>
  <c r="DN45" i="2" a="1"/>
  <c r="DN45" i="2" s="1"/>
  <c r="DN30" i="2" a="1"/>
  <c r="DN30" i="2" s="1"/>
  <c r="DN31" i="2" a="1"/>
  <c r="DN31" i="2" s="1"/>
  <c r="DN114" i="2" a="1"/>
  <c r="DN114" i="2" s="1"/>
  <c r="DN170" i="2" a="1"/>
  <c r="DN170" i="2" s="1"/>
  <c r="DN124" i="2" a="1"/>
  <c r="DN124" i="2" s="1"/>
  <c r="FD44" i="2" a="1"/>
  <c r="FD44" i="2" s="1"/>
  <c r="FD159" i="2" a="1"/>
  <c r="FD159" i="2" s="1"/>
  <c r="FD144" i="2" a="1"/>
  <c r="FD144" i="2" s="1"/>
  <c r="FD21" i="2" a="1"/>
  <c r="FD21" i="2" s="1"/>
  <c r="EI113" i="2" a="1"/>
  <c r="EI113" i="2" s="1"/>
  <c r="EI162" i="2" a="1"/>
  <c r="EI162" i="2" s="1"/>
  <c r="DN16" i="2" a="1"/>
  <c r="DN16" i="2" s="1"/>
  <c r="DN133" i="2" a="1"/>
  <c r="DN133" i="2" s="1"/>
  <c r="DN188" i="2" a="1"/>
  <c r="DN188" i="2" s="1"/>
  <c r="DN29" i="2" a="1"/>
  <c r="DN29" i="2" s="1"/>
  <c r="DN190" i="2" a="1"/>
  <c r="DN190" i="2" s="1"/>
  <c r="DN66" i="2" a="1"/>
  <c r="DN66" i="2" s="1"/>
  <c r="DN63" i="2" a="1"/>
  <c r="DN63" i="2" s="1"/>
  <c r="DN86" i="2" a="1"/>
  <c r="DN86" i="2" s="1"/>
  <c r="DN168" i="2" a="1"/>
  <c r="DN168" i="2" s="1"/>
  <c r="DN177" i="2" a="1"/>
  <c r="DN177" i="2" s="1"/>
  <c r="DN43" i="2" a="1"/>
  <c r="DN43" i="2" s="1"/>
  <c r="DN135" i="2" a="1"/>
  <c r="DN135" i="2" s="1"/>
  <c r="DN38" i="2" a="1"/>
  <c r="DN38" i="2" s="1"/>
  <c r="DN80" i="2" a="1"/>
  <c r="DN80" i="2" s="1"/>
  <c r="DN187" i="2" a="1"/>
  <c r="DN187" i="2" s="1"/>
  <c r="DN55" i="2" a="1"/>
  <c r="DN55" i="2" s="1"/>
  <c r="DN115" i="2" a="1"/>
  <c r="DN115" i="2" s="1"/>
  <c r="DN186" i="2" a="1"/>
  <c r="DN186" i="2" s="1"/>
  <c r="DN152" i="2" a="1"/>
  <c r="DN152" i="2" s="1"/>
  <c r="DN65" i="2" a="1"/>
  <c r="DN65" i="2" s="1"/>
  <c r="DN41" i="2" a="1"/>
  <c r="DN41" i="2" s="1"/>
  <c r="DN70" i="2" a="1"/>
  <c r="DN70" i="2" s="1"/>
  <c r="DN110" i="2" a="1"/>
  <c r="DN110" i="2" s="1"/>
  <c r="DN153" i="2" a="1"/>
  <c r="DN153" i="2" s="1"/>
  <c r="DN137" i="2" a="1"/>
  <c r="DN137" i="2" s="1"/>
  <c r="DN132" i="2" a="1"/>
  <c r="DN132" i="2" s="1"/>
  <c r="DN167" i="2" a="1"/>
  <c r="DN167" i="2" s="1"/>
  <c r="DN103" i="2" a="1"/>
  <c r="DN103" i="2" s="1"/>
  <c r="DN129" i="2" a="1"/>
  <c r="DN129" i="2" s="1"/>
  <c r="DN155" i="2" a="1"/>
  <c r="DN155" i="2" s="1"/>
  <c r="DN123" i="2" a="1"/>
  <c r="DN123" i="2" s="1"/>
  <c r="DN50" i="2" a="1"/>
  <c r="DN50" i="2" s="1"/>
  <c r="DN46" i="2" a="1"/>
  <c r="DN46" i="2" s="1"/>
  <c r="DN162" i="2" a="1"/>
  <c r="DN162" i="2" s="1"/>
  <c r="DN113" i="2" a="1"/>
  <c r="DN113" i="2" s="1"/>
  <c r="DN49" i="2" a="1"/>
  <c r="DN49" i="2" s="1"/>
  <c r="DN150" i="2" a="1"/>
  <c r="DN150" i="2" s="1"/>
  <c r="DN25" i="2" a="1"/>
  <c r="DN25" i="2" s="1"/>
  <c r="DN176" i="2" a="1"/>
  <c r="DN176" i="2" s="1"/>
  <c r="DN164" i="2" a="1"/>
  <c r="DN164" i="2" s="1"/>
  <c r="DN192" i="2" a="1"/>
  <c r="DN192" i="2" s="1"/>
  <c r="DN184" i="2" a="1"/>
  <c r="DN184" i="2" s="1"/>
  <c r="DN56" i="2" a="1"/>
  <c r="DN56" i="2" s="1"/>
  <c r="EI145" i="2" a="1"/>
  <c r="EI145" i="2" s="1"/>
  <c r="EI38" i="2" a="1"/>
  <c r="EI38" i="2" s="1"/>
  <c r="EI29" i="2" a="1"/>
  <c r="EI29" i="2" s="1"/>
  <c r="EI106" i="2" a="1"/>
  <c r="EI106" i="2" s="1"/>
  <c r="EI37" i="2" a="1"/>
  <c r="EI37" i="2" s="1"/>
  <c r="EI35" i="2" a="1"/>
  <c r="EI35" i="2" s="1"/>
  <c r="FD187" i="2" a="1"/>
  <c r="FD187" i="2" s="1"/>
  <c r="FD167" i="2" a="1"/>
  <c r="FD167" i="2" s="1"/>
  <c r="FD131" i="2" a="1"/>
  <c r="FD131" i="2" s="1"/>
  <c r="FD189" i="2" a="1"/>
  <c r="FD189" i="2" s="1"/>
  <c r="FD14" i="2" a="1"/>
  <c r="FD14" i="2" s="1"/>
  <c r="FD107" i="2" a="1"/>
  <c r="FD107" i="2" s="1"/>
  <c r="FD43" i="2" a="1"/>
  <c r="FD43" i="2" s="1"/>
  <c r="FD64" i="2" a="1"/>
  <c r="FD64" i="2" s="1"/>
  <c r="FD59" i="2" a="1"/>
  <c r="FD59" i="2" s="1"/>
  <c r="FD194" i="2" a="1"/>
  <c r="FD194" i="2" s="1"/>
  <c r="FD48" i="2" a="1"/>
  <c r="FD48" i="2" s="1"/>
  <c r="FD160" i="2" a="1"/>
  <c r="FD160" i="2" s="1"/>
  <c r="FD188" i="2" a="1"/>
  <c r="FD188" i="2" s="1"/>
  <c r="FD137" i="2" a="1"/>
  <c r="FD137" i="2" s="1"/>
  <c r="FD60" i="2" a="1"/>
  <c r="FD60" i="2" s="1"/>
  <c r="EY202" i="2"/>
  <c r="EI170" i="2" a="1"/>
  <c r="EI170" i="2" s="1"/>
  <c r="EI150" i="2" a="1"/>
  <c r="EI150" i="2" s="1"/>
  <c r="EI128" i="2" a="1"/>
  <c r="EI128" i="2" s="1"/>
  <c r="EI166" i="2" a="1"/>
  <c r="EI166" i="2" s="1"/>
  <c r="EI34" i="2" a="1"/>
  <c r="EI34" i="2" s="1"/>
  <c r="EI165" i="2" a="1"/>
  <c r="EI165" i="2" s="1"/>
  <c r="EI71" i="2" a="1"/>
  <c r="EI71" i="2" s="1"/>
  <c r="EI153" i="2" a="1"/>
  <c r="EI153" i="2" s="1"/>
  <c r="EI198" i="2" a="1"/>
  <c r="EI198" i="2" s="1"/>
  <c r="EI87" i="2" a="1"/>
  <c r="EI87" i="2" s="1"/>
  <c r="EI109" i="2" a="1"/>
  <c r="EI109" i="2" s="1"/>
  <c r="EI142" i="2" a="1"/>
  <c r="EI142" i="2" s="1"/>
  <c r="EI178" i="2" a="1"/>
  <c r="EI178" i="2" s="1"/>
  <c r="CS161" i="2" a="1"/>
  <c r="CS161" i="2" s="1"/>
  <c r="CS77" i="2" a="1"/>
  <c r="CS77" i="2" s="1"/>
  <c r="CS137" i="2" a="1"/>
  <c r="CS137" i="2" s="1"/>
  <c r="CS129" i="2" a="1"/>
  <c r="CS129" i="2" s="1"/>
  <c r="CS52" i="2" a="1"/>
  <c r="CS52" i="2" s="1"/>
  <c r="CS56" i="2" a="1"/>
  <c r="CS56" i="2" s="1"/>
  <c r="CS24" i="2" a="1"/>
  <c r="CS24" i="2" s="1"/>
  <c r="CS120" i="2" a="1"/>
  <c r="CS120" i="2" s="1"/>
  <c r="CS185" i="2" a="1"/>
  <c r="CS185" i="2" s="1"/>
  <c r="CS66" i="2" a="1"/>
  <c r="CS66" i="2" s="1"/>
  <c r="CS114" i="2" a="1"/>
  <c r="CS114" i="2" s="1"/>
  <c r="CS134" i="2" a="1"/>
  <c r="CS134" i="2" s="1"/>
  <c r="CS116" i="2" a="1"/>
  <c r="CS116" i="2" s="1"/>
  <c r="CS38" i="2" a="1"/>
  <c r="CS38" i="2" s="1"/>
  <c r="CS72" i="2" a="1"/>
  <c r="CS72" i="2" s="1"/>
  <c r="CS105" i="2" a="1"/>
  <c r="CS105" i="2" s="1"/>
  <c r="BC34" i="2" a="1"/>
  <c r="BC34" i="2" s="1"/>
  <c r="BC185" i="2" a="1"/>
  <c r="BC185" i="2" s="1"/>
  <c r="BC143" i="2" a="1"/>
  <c r="BC143" i="2" s="1"/>
  <c r="BC117" i="2" a="1"/>
  <c r="BC117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AH19" i="2" a="1"/>
  <c r="AH19" i="2" s="1"/>
  <c r="AH90" i="2" a="1"/>
  <c r="AH90" i="2" s="1"/>
  <c r="HG203" i="2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EY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M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M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<sst xmlns="http://schemas.openxmlformats.org/spreadsheetml/2006/main" count="1175" uniqueCount="324">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</sst>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407.72647230225533</c:v>
                </c:pt>
                <c:pt idx="57">
                  <c:v>424.11400709030062</c:v>
                </c:pt>
                <c:pt idx="58">
                  <c:v>440.48791991809298</c:v>
                </c:pt>
                <c:pt idx="59">
                  <c:v>456.84878825602186</c:v>
                </c:pt>
                <c:pt idx="60">
                  <c:v>473.19714485434088</c:v>
                </c:pt>
                <c:pt idx="61">
                  <c:v>443.07206797078328</c:v>
                </c:pt>
                <c:pt idx="62">
                  <c:v>458.1398961971957</c:v>
                </c:pt>
                <c:pt idx="63">
                  <c:v>473.19714485434088</c:v>
                </c:pt>
                <c:pt idx="64">
                  <c:v>488.24419789739949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531.61170588461948</c:v>
                </c:pt>
                <c:pt idx="77">
                  <c:v>553.48144970796784</c:v>
                </c:pt>
                <c:pt idx="78">
                  <c:v>575.33309228627434</c:v>
                </c:pt>
                <c:pt idx="79">
                  <c:v>597.16741718411038</c:v>
                </c:pt>
                <c:pt idx="80">
                  <c:v>618.98514605149205</c:v>
                </c:pt>
                <c:pt idx="81">
                  <c:v>586.03831044894594</c:v>
                </c:pt>
                <c:pt idx="82">
                  <c:v>598.02332252750443</c:v>
                </c:pt>
                <c:pt idx="83">
                  <c:v>610.00334132665182</c:v>
                </c:pt>
                <c:pt idx="84">
                  <c:v>621.97847870059002</c:v>
                </c:pt>
                <c:pt idx="85">
                  <c:v>633.94884184664056</c:v>
                </c:pt>
                <c:pt idx="86">
                  <c:v>600.59088588094369</c:v>
                </c:pt>
                <c:pt idx="87">
                  <c:v>612.14211357944771</c:v>
                </c:pt>
                <c:pt idx="88">
                  <c:v>623.68882043396718</c:v>
                </c:pt>
                <c:pt idx="89">
                  <c:v>635.23110191241904</c:v>
                </c:pt>
                <c:pt idx="90">
                  <c:v>646.76904973162061</c:v>
                </c:pt>
                <c:pt idx="91">
                  <c:v>612.56984940724203</c:v>
                </c:pt>
                <c:pt idx="92">
                  <c:v>623.26124411759099</c:v>
                </c:pt>
                <c:pt idx="93">
                  <c:v>633.94884184664045</c:v>
                </c:pt>
                <c:pt idx="94">
                  <c:v>644.63271561373756</c:v>
                </c:pt>
                <c:pt idx="95">
                  <c:v>655.31293582114643</c:v>
                </c:pt>
                <c:pt idx="96">
                  <c:v>620.69565848153741</c:v>
                </c:pt>
                <c:pt idx="97">
                  <c:v>630.95669294869867</c:v>
                </c:pt>
                <c:pt idx="98">
                  <c:v>641.21427683474178</c:v>
                </c:pt>
                <c:pt idx="99">
                  <c:v>651.46847310750468</c:v>
                </c:pt>
                <c:pt idx="100">
                  <c:v>661.71934259144541</c:v>
                </c:pt>
                <c:pt idx="101">
                  <c:v>626.25415102719774</c:v>
                </c:pt>
                <c:pt idx="102">
                  <c:v>635.65851003973046</c:v>
                </c:pt>
                <c:pt idx="103">
                  <c:v>645.05999411037931</c:v>
                </c:pt>
                <c:pt idx="104">
                  <c:v>654.45865104057782</c:v>
                </c:pt>
                <c:pt idx="105">
                  <c:v>663.85452714710493</c:v>
                </c:pt>
                <c:pt idx="106">
                  <c:v>630.10173942049789</c:v>
                </c:pt>
                <c:pt idx="107">
                  <c:v>639.07756161116583</c:v>
                </c:pt>
                <c:pt idx="108">
                  <c:v>648.05078028721744</c:v>
                </c:pt>
                <c:pt idx="109">
                  <c:v>657.02143657587078</c:v>
                </c:pt>
                <c:pt idx="110">
                  <c:v>665.9895703898718</c:v>
                </c:pt>
                <c:pt idx="111">
                  <c:v>633.5214099148418</c:v>
                </c:pt>
                <c:pt idx="112">
                  <c:v>641.64160221863142</c:v>
                </c:pt>
                <c:pt idx="113">
                  <c:v>649.75967303924392</c:v>
                </c:pt>
                <c:pt idx="114">
                  <c:v>657.87565261814939</c:v>
                </c:pt>
                <c:pt idx="115">
                  <c:v>665.9895703898718</c:v>
                </c:pt>
                <c:pt idx="116">
                  <c:v>635.23110191241881</c:v>
                </c:pt>
                <c:pt idx="117">
                  <c:v>642.92354312920986</c:v>
                </c:pt>
                <c:pt idx="118">
                  <c:v>650.6140846414612</c:v>
                </c:pt>
                <c:pt idx="119">
                  <c:v>658.30275207037221</c:v>
                </c:pt>
                <c:pt idx="120">
                  <c:v>665.98957038987214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1.9338651834201261</c:v>
                </c:pt>
                <c:pt idx="2">
                  <c:v>2.411469653450264</c:v>
                </c:pt>
                <c:pt idx="3">
                  <c:v>3.0074910655584675</c:v>
                </c:pt>
                <c:pt idx="4">
                  <c:v>3.7513982188950923</c:v>
                </c:pt>
                <c:pt idx="5">
                  <c:v>4.6800187437428216</c:v>
                </c:pt>
                <c:pt idx="6">
                  <c:v>5.8393826094325183</c:v>
                </c:pt>
                <c:pt idx="7">
                  <c:v>7.2870288257882292</c:v>
                </c:pt>
                <c:pt idx="8">
                  <c:v>9.0948920336569774</c:v>
                </c:pt>
                <c:pt idx="9">
                  <c:v>11.352915152558365</c:v>
                </c:pt>
                <c:pt idx="10">
                  <c:v>14.173571186161757</c:v>
                </c:pt>
                <c:pt idx="11">
                  <c:v>17.697523571336458</c:v>
                </c:pt>
                <c:pt idx="12">
                  <c:v>22.100712466888222</c:v>
                </c:pt>
                <c:pt idx="13">
                  <c:v>27.603227089921088</c:v>
                </c:pt>
                <c:pt idx="14">
                  <c:v>34.48041535389266</c:v>
                </c:pt>
                <c:pt idx="15">
                  <c:v>43.076796325131738</c:v>
                </c:pt>
                <c:pt idx="16">
                  <c:v>53.823484267399721</c:v>
                </c:pt>
                <c:pt idx="17">
                  <c:v>67.260012655349001</c:v>
                </c:pt>
                <c:pt idx="18">
                  <c:v>84.061671751601395</c:v>
                </c:pt>
                <c:pt idx="19">
                  <c:v>105.07375575677501</c:v>
                </c:pt>
                <c:pt idx="20">
                  <c:v>131.35446970954578</c:v>
                </c:pt>
                <c:pt idx="21">
                  <c:v>139.70382844505221</c:v>
                </c:pt>
                <c:pt idx="22">
                  <c:v>157.14740840280285</c:v>
                </c:pt>
                <c:pt idx="23">
                  <c:v>174.54501426785569</c:v>
                </c:pt>
                <c:pt idx="24">
                  <c:v>191.9018762611349</c:v>
                </c:pt>
                <c:pt idx="25">
                  <c:v>209.22219955438311</c:v>
                </c:pt>
                <c:pt idx="26">
                  <c:v>226.50943532106294</c:v>
                </c:pt>
                <c:pt idx="27">
                  <c:v>243.76646443655662</c:v>
                </c:pt>
                <c:pt idx="28">
                  <c:v>260.995726302734</c:v>
                </c:pt>
                <c:pt idx="29">
                  <c:v>278.19931180683267</c:v>
                </c:pt>
                <c:pt idx="30">
                  <c:v>295.37903204669755</c:v>
                </c:pt>
                <c:pt idx="31">
                  <c:v>284.35589788902757</c:v>
                </c:pt>
                <c:pt idx="32">
                  <c:v>301.52746504321459</c:v>
                </c:pt>
                <c:pt idx="33">
                  <c:v>318.67726971308429</c:v>
                </c:pt>
                <c:pt idx="34">
                  <c:v>335.80664766068833</c:v>
                </c:pt>
                <c:pt idx="35">
                  <c:v>352.91678725781031</c:v>
                </c:pt>
                <c:pt idx="36">
                  <c:v>370.00875225576243</c:v>
                </c:pt>
                <c:pt idx="37">
                  <c:v>387.08350012671536</c:v>
                </c:pt>
                <c:pt idx="38">
                  <c:v>404.14189699910884</c:v>
                </c:pt>
                <c:pt idx="39">
                  <c:v>421.1847299395431</c:v>
                </c:pt>
                <c:pt idx="40">
                  <c:v>438.21271714302674</c:v>
                </c:pt>
                <c:pt idx="41">
                  <c:v>409.2309055733586</c:v>
                </c:pt>
                <c:pt idx="42">
                  <c:v>424.74402100691003</c:v>
                </c:pt>
                <c:pt idx="43">
                  <c:v>440.24494914129082</c:v>
                </c:pt>
                <c:pt idx="44">
                  <c:v>455.73417939563393</c:v>
                </c:pt>
                <c:pt idx="45">
                  <c:v>471.21216521688046</c:v>
                </c:pt>
                <c:pt idx="46">
                  <c:v>486.67932784299177</c:v>
                </c:pt>
                <c:pt idx="47">
                  <c:v>502.13605956295174</c:v>
                </c:pt>
                <c:pt idx="48">
                  <c:v>517.58272655458029</c:v>
                </c:pt>
                <c:pt idx="49">
                  <c:v>533.01967136604617</c:v>
                </c:pt>
                <c:pt idx="50">
                  <c:v>548.44721509505166</c:v>
                </c:pt>
                <c:pt idx="51">
                  <c:v>508.34123843184221</c:v>
                </c:pt>
                <c:pt idx="52">
                  <c:v>521.37958529087553</c:v>
                </c:pt>
                <c:pt idx="53">
                  <c:v>534.41106038471059</c:v>
                </c:pt>
                <c:pt idx="54">
                  <c:v>547.43585484879611</c:v>
                </c:pt>
                <c:pt idx="55">
                  <c:v>560.45414998425224</c:v>
                </c:pt>
                <c:pt idx="56">
                  <c:v>573.46611798533218</c:v>
                </c:pt>
                <c:pt idx="57">
                  <c:v>586.47192259744713</c:v>
                </c:pt>
                <c:pt idx="58">
                  <c:v>599.47171971380703</c:v>
                </c:pt>
                <c:pt idx="59">
                  <c:v>612.46565791763499</c:v>
                </c:pt>
                <c:pt idx="60">
                  <c:v>625.45387897599824</c:v>
                </c:pt>
                <c:pt idx="61">
                  <c:v>583.3157318213639</c:v>
                </c:pt>
                <c:pt idx="62">
                  <c:v>594.17154727265404</c:v>
                </c:pt>
                <c:pt idx="63">
                  <c:v>605.02323669636417</c:v>
                </c:pt>
                <c:pt idx="64">
                  <c:v>615.87088451307397</c:v>
                </c:pt>
                <c:pt idx="65">
                  <c:v>626.71457192765126</c:v>
                </c:pt>
                <c:pt idx="66">
                  <c:v>637.55437710644048</c:v>
                </c:pt>
                <c:pt idx="67">
                  <c:v>648.39037534177726</c:v>
                </c:pt>
                <c:pt idx="68">
                  <c:v>659.22263920494072</c:v>
                </c:pt>
                <c:pt idx="69">
                  <c:v>670.05123868853173</c:v>
                </c:pt>
                <c:pt idx="70">
                  <c:v>680.87624133917325</c:v>
                </c:pt>
                <c:pt idx="71">
                  <c:v>640.83077468835143</c:v>
                </c:pt>
                <c:pt idx="72">
                  <c:v>649.90207658109887</c:v>
                </c:pt>
                <c:pt idx="73">
                  <c:v>658.970767976361</c:v>
                </c:pt>
                <c:pt idx="74">
                  <c:v>668.03688985850647</c:v>
                </c:pt>
                <c:pt idx="75">
                  <c:v>677.10048200897734</c:v>
                </c:pt>
                <c:pt idx="76">
                  <c:v>686.16158305756755</c:v>
                </c:pt>
                <c:pt idx="77">
                  <c:v>695.22023053085525</c:v>
                </c:pt>
                <c:pt idx="78">
                  <c:v>704.27646089797929</c:v>
                </c:pt>
                <c:pt idx="79">
                  <c:v>713.33030961394024</c:v>
                </c:pt>
                <c:pt idx="80">
                  <c:v>722.38181116058831</c:v>
                </c:pt>
                <c:pt idx="81">
                  <c:v>685.40658552693606</c:v>
                </c:pt>
                <c:pt idx="82">
                  <c:v>693.71062477868179</c:v>
                </c:pt>
                <c:pt idx="83">
                  <c:v>702.01262795401772</c:v>
                </c:pt>
                <c:pt idx="84">
                  <c:v>710.31262252176259</c:v>
                </c:pt>
                <c:pt idx="85">
                  <c:v>718.61063525657892</c:v>
                </c:pt>
                <c:pt idx="86">
                  <c:v>726.90669226450052</c:v>
                </c:pt>
                <c:pt idx="87">
                  <c:v>735.20081900723164</c:v>
                </c:pt>
                <c:pt idx="88">
                  <c:v>743.49304032529574</c:v>
                </c:pt>
                <c:pt idx="89">
                  <c:v>751.7833804600956</c:v>
                </c:pt>
                <c:pt idx="90">
                  <c:v>760.07186307495374</c:v>
                </c:pt>
                <c:pt idx="91">
                  <c:v>723.01030136305951</c:v>
                </c:pt>
                <c:pt idx="92">
                  <c:v>731.17966370340821</c:v>
                </c:pt>
                <c:pt idx="93">
                  <c:v>739.34716631546883</c:v>
                </c:pt>
                <c:pt idx="94">
                  <c:v>747.51283263453888</c:v>
                </c:pt>
                <c:pt idx="95">
                  <c:v>755.67668554230625</c:v>
                </c:pt>
                <c:pt idx="96">
                  <c:v>763.83874738589509</c:v>
                </c:pt>
                <c:pt idx="97">
                  <c:v>771.99903999605397</c:v>
                </c:pt>
                <c:pt idx="98">
                  <c:v>780.15758470453738</c:v>
                </c:pt>
                <c:pt idx="99">
                  <c:v>788.31440236071967</c:v>
                </c:pt>
                <c:pt idx="100">
                  <c:v>796.4695133474894</c:v>
                </c:pt>
                <c:pt idx="101">
                  <c:v>9.7721520296583044E-12</c:v>
                </c:pt>
                <c:pt idx="102">
                  <c:v>9.7721520296583044E-12</c:v>
                </c:pt>
                <c:pt idx="103">
                  <c:v>9.7721520296583044E-12</c:v>
                </c:pt>
                <c:pt idx="104">
                  <c:v>9.7721520296583044E-12</c:v>
                </c:pt>
                <c:pt idx="105">
                  <c:v>9.7721520296583044E-12</c:v>
                </c:pt>
                <c:pt idx="106">
                  <c:v>9.7721520296583044E-12</c:v>
                </c:pt>
                <c:pt idx="107">
                  <c:v>9.7721520296583044E-12</c:v>
                </c:pt>
                <c:pt idx="108">
                  <c:v>9.7721520296583044E-12</c:v>
                </c:pt>
                <c:pt idx="109">
                  <c:v>9.7721520296583044E-12</c:v>
                </c:pt>
                <c:pt idx="110">
                  <c:v>9.7721520296583044E-12</c:v>
                </c:pt>
                <c:pt idx="111">
                  <c:v>9.7721520296583044E-12</c:v>
                </c:pt>
                <c:pt idx="112">
                  <c:v>9.7721520296583044E-12</c:v>
                </c:pt>
                <c:pt idx="113">
                  <c:v>9.7721520296583044E-12</c:v>
                </c:pt>
                <c:pt idx="114">
                  <c:v>9.7721520296583044E-12</c:v>
                </c:pt>
                <c:pt idx="115">
                  <c:v>9.7721520296583044E-12</c:v>
                </c:pt>
                <c:pt idx="116">
                  <c:v>9.7721520296583044E-12</c:v>
                </c:pt>
                <c:pt idx="117">
                  <c:v>9.7721520296583044E-12</c:v>
                </c:pt>
                <c:pt idx="118">
                  <c:v>9.7721520296583044E-12</c:v>
                </c:pt>
                <c:pt idx="119">
                  <c:v>9.7721520296583044E-12</c:v>
                </c:pt>
                <c:pt idx="120">
                  <c:v>9.7721520296583044E-12</c:v>
                </c:pt>
                <c:pt idx="121">
                  <c:v>9.7721520296583044E-12</c:v>
                </c:pt>
                <c:pt idx="122">
                  <c:v>9.7721520296583044E-12</c:v>
                </c:pt>
                <c:pt idx="123">
                  <c:v>9.7721520296583044E-12</c:v>
                </c:pt>
                <c:pt idx="124">
                  <c:v>9.7721520296583044E-12</c:v>
                </c:pt>
                <c:pt idx="125">
                  <c:v>9.7721520296583044E-12</c:v>
                </c:pt>
                <c:pt idx="126">
                  <c:v>9.7721520296583044E-12</c:v>
                </c:pt>
                <c:pt idx="127">
                  <c:v>9.7721520296583044E-12</c:v>
                </c:pt>
                <c:pt idx="128">
                  <c:v>9.7721520296583044E-12</c:v>
                </c:pt>
                <c:pt idx="129">
                  <c:v>9.7721520296583044E-12</c:v>
                </c:pt>
                <c:pt idx="130">
                  <c:v>9.7721520296583044E-12</c:v>
                </c:pt>
                <c:pt idx="131">
                  <c:v>9.7721520296583044E-12</c:v>
                </c:pt>
                <c:pt idx="132">
                  <c:v>9.7721520296583044E-12</c:v>
                </c:pt>
                <c:pt idx="133">
                  <c:v>9.7721520296583044E-12</c:v>
                </c:pt>
                <c:pt idx="134">
                  <c:v>9.7721520296583044E-12</c:v>
                </c:pt>
                <c:pt idx="135">
                  <c:v>9.7721520296583044E-12</c:v>
                </c:pt>
                <c:pt idx="136">
                  <c:v>9.7721520296583044E-12</c:v>
                </c:pt>
                <c:pt idx="137">
                  <c:v>9.7721520296583044E-12</c:v>
                </c:pt>
                <c:pt idx="138">
                  <c:v>9.7721520296583044E-12</c:v>
                </c:pt>
                <c:pt idx="139">
                  <c:v>9.7721520296583044E-12</c:v>
                </c:pt>
                <c:pt idx="140">
                  <c:v>9.7721520296583044E-12</c:v>
                </c:pt>
                <c:pt idx="141">
                  <c:v>9.7721520296583044E-12</c:v>
                </c:pt>
                <c:pt idx="142">
                  <c:v>9.7721520296583044E-12</c:v>
                </c:pt>
                <c:pt idx="143">
                  <c:v>9.7721520296583044E-12</c:v>
                </c:pt>
                <c:pt idx="144">
                  <c:v>9.7721520296583044E-12</c:v>
                </c:pt>
                <c:pt idx="145">
                  <c:v>9.7721520296583044E-12</c:v>
                </c:pt>
                <c:pt idx="146">
                  <c:v>9.7721520296583044E-12</c:v>
                </c:pt>
                <c:pt idx="147">
                  <c:v>9.7721520296583044E-12</c:v>
                </c:pt>
                <c:pt idx="148">
                  <c:v>9.7721520296583044E-12</c:v>
                </c:pt>
                <c:pt idx="149">
                  <c:v>9.7721520296583044E-12</c:v>
                </c:pt>
                <c:pt idx="150">
                  <c:v>9.7721520296583044E-12</c:v>
                </c:pt>
                <c:pt idx="151">
                  <c:v>9.7721520296583044E-12</c:v>
                </c:pt>
                <c:pt idx="152">
                  <c:v>9.7721520296583044E-12</c:v>
                </c:pt>
                <c:pt idx="153">
                  <c:v>9.7721520296583044E-12</c:v>
                </c:pt>
                <c:pt idx="154">
                  <c:v>9.7721520296583044E-12</c:v>
                </c:pt>
                <c:pt idx="155">
                  <c:v>9.7721520296583044E-12</c:v>
                </c:pt>
                <c:pt idx="156">
                  <c:v>9.7721520296583044E-12</c:v>
                </c:pt>
                <c:pt idx="157">
                  <c:v>9.7721520296583044E-12</c:v>
                </c:pt>
                <c:pt idx="158">
                  <c:v>9.7721520296583044E-12</c:v>
                </c:pt>
                <c:pt idx="159">
                  <c:v>9.7721520296583044E-12</c:v>
                </c:pt>
                <c:pt idx="160">
                  <c:v>9.7721520296583044E-12</c:v>
                </c:pt>
                <c:pt idx="161">
                  <c:v>9.7721520296583044E-12</c:v>
                </c:pt>
                <c:pt idx="162">
                  <c:v>9.7721520296583044E-12</c:v>
                </c:pt>
                <c:pt idx="163">
                  <c:v>9.7721520296583044E-12</c:v>
                </c:pt>
                <c:pt idx="164">
                  <c:v>9.7721520296583044E-12</c:v>
                </c:pt>
                <c:pt idx="165">
                  <c:v>9.7721520296583044E-12</c:v>
                </c:pt>
                <c:pt idx="166">
                  <c:v>9.7721520296583044E-12</c:v>
                </c:pt>
                <c:pt idx="167">
                  <c:v>9.7721520296583044E-12</c:v>
                </c:pt>
                <c:pt idx="168">
                  <c:v>9.7721520296583044E-12</c:v>
                </c:pt>
                <c:pt idx="169">
                  <c:v>9.7721520296583044E-12</c:v>
                </c:pt>
                <c:pt idx="170">
                  <c:v>9.7721520296583044E-12</c:v>
                </c:pt>
                <c:pt idx="171">
                  <c:v>9.7721520296583044E-12</c:v>
                </c:pt>
                <c:pt idx="172">
                  <c:v>9.7721520296583044E-12</c:v>
                </c:pt>
                <c:pt idx="173">
                  <c:v>9.7721520296583044E-12</c:v>
                </c:pt>
                <c:pt idx="174">
                  <c:v>9.7721520296583044E-12</c:v>
                </c:pt>
                <c:pt idx="175">
                  <c:v>9.7721520296583044E-12</c:v>
                </c:pt>
                <c:pt idx="176">
                  <c:v>9.7721520296583044E-12</c:v>
                </c:pt>
                <c:pt idx="177">
                  <c:v>9.7721520296583044E-12</c:v>
                </c:pt>
                <c:pt idx="178">
                  <c:v>9.7721520296583044E-12</c:v>
                </c:pt>
                <c:pt idx="179">
                  <c:v>9.7721520296583044E-12</c:v>
                </c:pt>
                <c:pt idx="180">
                  <c:v>9.7721520296583044E-12</c:v>
                </c:pt>
                <c:pt idx="181">
                  <c:v>9.7721520296583044E-12</c:v>
                </c:pt>
                <c:pt idx="182">
                  <c:v>9.7721520296583044E-12</c:v>
                </c:pt>
                <c:pt idx="183">
                  <c:v>9.7721520296583044E-12</c:v>
                </c:pt>
                <c:pt idx="184">
                  <c:v>9.7721520296583044E-12</c:v>
                </c:pt>
                <c:pt idx="185">
                  <c:v>9.7721520296583044E-12</c:v>
                </c:pt>
                <c:pt idx="186">
                  <c:v>9.7721520296583044E-12</c:v>
                </c:pt>
                <c:pt idx="187">
                  <c:v>9.7721520296583044E-12</c:v>
                </c:pt>
                <c:pt idx="188">
                  <c:v>9.7721520296583044E-12</c:v>
                </c:pt>
                <c:pt idx="189">
                  <c:v>9.7721520296583044E-12</c:v>
                </c:pt>
                <c:pt idx="190">
                  <c:v>9.7721520296583044E-12</c:v>
                </c:pt>
                <c:pt idx="191">
                  <c:v>9.7721520296583044E-12</c:v>
                </c:pt>
                <c:pt idx="192">
                  <c:v>9.7721520296583044E-12</c:v>
                </c:pt>
                <c:pt idx="193">
                  <c:v>9.7721520296583044E-12</c:v>
                </c:pt>
                <c:pt idx="194">
                  <c:v>9.7721520296583044E-12</c:v>
                </c:pt>
                <c:pt idx="195">
                  <c:v>9.7721520296583044E-12</c:v>
                </c:pt>
                <c:pt idx="196">
                  <c:v>9.7721520296583044E-12</c:v>
                </c:pt>
                <c:pt idx="197">
                  <c:v>9.7721520296583044E-12</c:v>
                </c:pt>
                <c:pt idx="198">
                  <c:v>9.7721520296583044E-12</c:v>
                </c:pt>
                <c:pt idx="199">
                  <c:v>9.7721520296583044E-12</c:v>
                </c:pt>
                <c:pt idx="200">
                  <c:v>9.7721520296583044E-12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1.8438798305087267</c:v>
                </c:pt>
                <c:pt idx="2">
                  <c:v>2.6647386454116577</c:v>
                </c:pt>
                <c:pt idx="3">
                  <c:v>3.852672401901394</c:v>
                </c:pt>
                <c:pt idx="4">
                  <c:v>5.5725231337538945</c:v>
                </c:pt>
                <c:pt idx="5">
                  <c:v>8.0634481633014641</c:v>
                </c:pt>
                <c:pt idx="6">
                  <c:v>11.672544332259575</c:v>
                </c:pt>
                <c:pt idx="7">
                  <c:v>16.903735855146319</c:v>
                </c:pt>
                <c:pt idx="8">
                  <c:v>24.488875457987096</c:v>
                </c:pt>
                <c:pt idx="9">
                  <c:v>35.491181283549814</c:v>
                </c:pt>
                <c:pt idx="10">
                  <c:v>51.455756917893062</c:v>
                </c:pt>
                <c:pt idx="11">
                  <c:v>74.628684808245566</c:v>
                </c:pt>
                <c:pt idx="12">
                  <c:v>108.27601633366591</c:v>
                </c:pt>
                <c:pt idx="13">
                  <c:v>157.14832382296282</c:v>
                </c:pt>
                <c:pt idx="14">
                  <c:v>228.15740261979758</c:v>
                </c:pt>
                <c:pt idx="15">
                  <c:v>331.36224013942234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2.1096599334259563</c:v>
                </c:pt>
                <c:pt idx="2">
                  <c:v>3.0493175858383013</c:v>
                </c:pt>
                <c:pt idx="3">
                  <c:v>4.4093765509628016</c:v>
                </c:pt>
                <c:pt idx="4">
                  <c:v>6.3787104531690071</c:v>
                </c:pt>
                <c:pt idx="5">
                  <c:v>9.2313774863876539</c:v>
                </c:pt>
                <c:pt idx="6">
                  <c:v>13.365177108414434</c:v>
                </c:pt>
                <c:pt idx="7">
                  <c:v>19.3577154857301</c:v>
                </c:pt>
                <c:pt idx="8">
                  <c:v>28.047954074415937</c:v>
                </c:pt>
                <c:pt idx="9">
                  <c:v>40.654857397975427</c:v>
                </c:pt>
                <c:pt idx="10">
                  <c:v>58.950064808730751</c:v>
                </c:pt>
                <c:pt idx="11">
                  <c:v>85.509251563046419</c:v>
                </c:pt>
                <c:pt idx="12">
                  <c:v>124.07813318078642</c:v>
                </c:pt>
                <c:pt idx="13">
                  <c:v>180.10553342699578</c:v>
                </c:pt>
                <c:pt idx="14">
                  <c:v>261.5199597968633</c:v>
                </c:pt>
                <c:pt idx="15">
                  <c:v>379.86118591400532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2.1547759687498256</c:v>
                </c:pt>
                <c:pt idx="2">
                  <c:v>3.1146051972776836</c:v>
                </c:pt>
                <c:pt idx="3">
                  <c:v>4.5038926660304144</c:v>
                </c:pt>
                <c:pt idx="4">
                  <c:v>6.5155944818040537</c:v>
                </c:pt>
                <c:pt idx="5">
                  <c:v>9.4296981946528309</c:v>
                </c:pt>
                <c:pt idx="6">
                  <c:v>13.652617767234503</c:v>
                </c:pt>
                <c:pt idx="7">
                  <c:v>19.774478924194536</c:v>
                </c:pt>
                <c:pt idx="8">
                  <c:v>28.652443479064317</c:v>
                </c:pt>
                <c:pt idx="9">
                  <c:v>41.531942632739437</c:v>
                </c:pt>
                <c:pt idx="10">
                  <c:v>60.223114246040048</c:v>
                </c:pt>
                <c:pt idx="11">
                  <c:v>87.357649276336915</c:v>
                </c:pt>
                <c:pt idx="12">
                  <c:v>126.76278874678304</c:v>
                </c:pt>
                <c:pt idx="13">
                  <c:v>184.00604024843949</c:v>
                </c:pt>
                <c:pt idx="14">
                  <c:v>267.18873384853481</c:v>
                </c:pt>
                <c:pt idx="15">
                  <c:v>388.10236266830719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2.1096599334259563</c:v>
                </c:pt>
                <c:pt idx="2">
                  <c:v>3.0493175858383013</c:v>
                </c:pt>
                <c:pt idx="3">
                  <c:v>4.4093765509628016</c:v>
                </c:pt>
                <c:pt idx="4">
                  <c:v>6.3787104531690071</c:v>
                </c:pt>
                <c:pt idx="5">
                  <c:v>9.2313774863876539</c:v>
                </c:pt>
                <c:pt idx="6">
                  <c:v>13.365177108414434</c:v>
                </c:pt>
                <c:pt idx="7">
                  <c:v>19.3577154857301</c:v>
                </c:pt>
                <c:pt idx="8">
                  <c:v>28.047954074415937</c:v>
                </c:pt>
                <c:pt idx="9">
                  <c:v>40.654857397975427</c:v>
                </c:pt>
                <c:pt idx="10">
                  <c:v>58.950064808730751</c:v>
                </c:pt>
                <c:pt idx="11">
                  <c:v>85.509251563046419</c:v>
                </c:pt>
                <c:pt idx="12">
                  <c:v>124.07813318078642</c:v>
                </c:pt>
                <c:pt idx="13">
                  <c:v>180.10553342699578</c:v>
                </c:pt>
                <c:pt idx="14">
                  <c:v>261.5199597968633</c:v>
                </c:pt>
                <c:pt idx="15">
                  <c:v>379.86118591400532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0" sqref="G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25.62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0.16600000000000001</v>
      </c>
      <c r="D9" s="36">
        <f t="shared" ref="D9:D18" si="0">C9*$C$5</f>
        <v>4.2529200000000005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6.0999999999999999E-2</v>
      </c>
      <c r="D10" s="36">
        <f t="shared" si="0"/>
        <v>1.5628200000000001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40</v>
      </c>
      <c r="C11" s="35">
        <v>3.6999999999999998E-2</v>
      </c>
      <c r="D11" s="36">
        <f t="shared" si="0"/>
        <v>0.94794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120</v>
      </c>
      <c r="C12" s="35">
        <v>0.21460000000000001</v>
      </c>
      <c r="D12" s="36">
        <f t="shared" si="0"/>
        <v>5.4980520000000004</v>
      </c>
      <c r="E12" s="37">
        <v>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117</v>
      </c>
      <c r="C13" s="35">
        <v>0.17910000000000001</v>
      </c>
      <c r="D13" s="36">
        <f t="shared" si="0"/>
        <v>4.5885420000000003</v>
      </c>
      <c r="E13" s="37">
        <v>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118</v>
      </c>
      <c r="C14" s="35">
        <v>0.19980000000000001</v>
      </c>
      <c r="D14" s="36">
        <f t="shared" si="0"/>
        <v>5.1188760000000002</v>
      </c>
      <c r="E14" s="37">
        <v>15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117</v>
      </c>
      <c r="C15" s="35">
        <v>0.1424</v>
      </c>
      <c r="D15" s="36">
        <f t="shared" si="0"/>
        <v>3.648288</v>
      </c>
      <c r="E15" s="37">
        <v>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25.617438000000003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0.4</v>
      </c>
      <c r="F36" s="54">
        <v>0.45</v>
      </c>
      <c r="G36" s="54">
        <v>0.15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215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283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10.199999999999999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300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303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304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305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305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305</v>
      </c>
      <c r="C81" s="53">
        <v>20</v>
      </c>
      <c r="D81" s="53">
        <v>305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de Salzmann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98</v>
      </c>
      <c r="C88" s="63">
        <v>1</v>
      </c>
      <c r="D88" s="63">
        <v>7</v>
      </c>
      <c r="E88" s="54"/>
      <c r="F88" s="54"/>
      <c r="G88" s="54">
        <v>1</v>
      </c>
      <c r="H88" s="93"/>
      <c r="I88" s="56">
        <f>IFERROR(B88/A88,"")</f>
        <v>4.9000000000000004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225</v>
      </c>
      <c r="C89" s="63">
        <v>2</v>
      </c>
      <c r="D89" s="63">
        <v>22</v>
      </c>
      <c r="E89" s="54"/>
      <c r="F89" s="54"/>
      <c r="G89" s="54">
        <v>1</v>
      </c>
      <c r="H89" s="93"/>
      <c r="I89" s="56">
        <f t="shared" ref="I89:I107" si="3">IF(A89&lt;&gt;0,(B89-(B88-D88))/(A89-A88),"")</f>
        <v>13.4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337</v>
      </c>
      <c r="C90" s="63">
        <v>3</v>
      </c>
      <c r="D90" s="63">
        <v>35</v>
      </c>
      <c r="E90" s="93"/>
      <c r="F90" s="93"/>
      <c r="G90" s="93"/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424</v>
      </c>
      <c r="C91" s="63">
        <v>4</v>
      </c>
      <c r="D91" s="63">
        <v>42</v>
      </c>
      <c r="E91" s="93"/>
      <c r="F91" s="93"/>
      <c r="G91" s="93"/>
      <c r="H91" s="93"/>
      <c r="I91" s="56">
        <f t="shared" si="3"/>
        <v>12.2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485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10.3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529</v>
      </c>
      <c r="C93" s="63">
        <v>6</v>
      </c>
      <c r="D93" s="63">
        <v>39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562</v>
      </c>
      <c r="C94" s="63">
        <v>7</v>
      </c>
      <c r="D94" s="63">
        <v>36</v>
      </c>
      <c r="E94" s="93"/>
      <c r="F94" s="93"/>
      <c r="G94" s="93"/>
      <c r="H94" s="93"/>
      <c r="I94" s="56">
        <f t="shared" si="3"/>
        <v>7.2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592</v>
      </c>
      <c r="C95" s="63">
        <v>8</v>
      </c>
      <c r="D95" s="63">
        <v>36</v>
      </c>
      <c r="E95" s="93"/>
      <c r="F95" s="93"/>
      <c r="G95" s="93"/>
      <c r="H95" s="93"/>
      <c r="I95" s="56">
        <f t="shared" si="3"/>
        <v>6.6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621</v>
      </c>
      <c r="C96" s="63">
        <v>9</v>
      </c>
      <c r="D96" s="63">
        <v>621</v>
      </c>
      <c r="E96" s="93"/>
      <c r="F96" s="93"/>
      <c r="G96" s="93"/>
      <c r="H96" s="93"/>
      <c r="I96" s="56">
        <f t="shared" si="3"/>
        <v>6.5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Triplo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310</v>
      </c>
      <c r="C114" s="53">
        <v>1</v>
      </c>
      <c r="D114" s="63">
        <v>310</v>
      </c>
      <c r="E114" s="54">
        <v>0.77</v>
      </c>
      <c r="F114" s="54">
        <v>0.21</v>
      </c>
      <c r="G114" s="54"/>
      <c r="H114" s="54"/>
      <c r="I114" s="56">
        <f>IFERROR(B114/A114,"")</f>
        <v>20.666666666666668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Peuplier Soligo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310</v>
      </c>
      <c r="C140" s="53">
        <v>1</v>
      </c>
      <c r="D140" s="63">
        <v>310</v>
      </c>
      <c r="E140" s="54">
        <v>0.77</v>
      </c>
      <c r="F140" s="54">
        <v>0.21</v>
      </c>
      <c r="G140" s="54"/>
      <c r="H140" s="54"/>
      <c r="I140" s="60">
        <f>IFERROR(B140/A140,"")</f>
        <v>20.666666666666668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Peuplier Taro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310</v>
      </c>
      <c r="C166" s="63">
        <v>1</v>
      </c>
      <c r="D166" s="63">
        <v>310</v>
      </c>
      <c r="E166" s="54">
        <v>0.77</v>
      </c>
      <c r="F166" s="54">
        <v>0.21</v>
      </c>
      <c r="G166" s="54"/>
      <c r="H166" s="54"/>
      <c r="I166" s="52">
        <f>IFERROR(B166/A166,"")</f>
        <v>20.666666666666668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Peuplier Soligo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v>310</v>
      </c>
      <c r="C192" s="63">
        <v>1</v>
      </c>
      <c r="D192" s="63">
        <v>310</v>
      </c>
      <c r="E192" s="54">
        <v>0.77</v>
      </c>
      <c r="F192" s="54">
        <v>0.21</v>
      </c>
      <c r="G192" s="54"/>
      <c r="H192" s="54"/>
      <c r="I192" s="52">
        <f>IFERROR(B192/A192,"")</f>
        <v>20.666666666666668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CCA6-6FD5-4409-8AF8-30E83F729E0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ED78-A7D8-490C-985B-72C36F614BB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de Salzmann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Triplo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Peuplier Soligo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Peuplier Taro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Peuplier Soligo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426.87921482911719</v>
      </c>
      <c r="T3" s="62">
        <f>IF('Données projet'!E9&gt;30,$R$33-$H$33,LOOKUP('Données projet'!$E$9,$A$3:$A$203,R3:R203)-LOOKUP('Données projet'!$E$9,$A$3:$A$203,$H$3:$H$203))</f>
        <v>313.49594674441835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462.95686283420531</v>
      </c>
      <c r="AO3" s="62">
        <f>IF('Données projet'!E10&gt;30,$AM$33-$H$33,LOOKUP('Données projet'!$E$10,$A$3:$A$203,AM3:AM203)-LOOKUP('Données projet'!$E$10,$A$3:$A$203,$H$3:$H$203))</f>
        <v>275.54513370838777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505.16888119060701</v>
      </c>
      <c r="BJ3" s="62">
        <f>IF('Données projet'!E11&gt;30,$BH$33-$H$33,LOOKUP('Données projet'!$E$11,$A$3:$A$203,BH3:BH203)-LOOKUP('Données projet'!$E$11,$A$3:$A$203,$H$3:$H$203))</f>
        <v>351.15312364640613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68.195506926115257</v>
      </c>
      <c r="CE3" s="62">
        <f>IF('Données projet'!E12&gt;30,$CC$33-$H$33,LOOKUP('Données projet'!$E$12,$A$3:$A$203,CC3:CC203)-LOOKUP('Données projet'!$E$12,$A$3:$A$203,$H$3:$H$203))</f>
        <v>352.52565673897004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77.885897614924062</v>
      </c>
      <c r="CZ3" s="62">
        <f>IF('Données projet'!E13&gt;30,$CX$33-$H$33,LOOKUP('Données projet'!$E$13,$A$3:$A$203,CX3:CX203)-LOOKUP('Données projet'!$E$13,$A$3:$A$203,$H$3:$H$203))</f>
        <v>401.02460251355296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79.532301588639172</v>
      </c>
      <c r="DU3" s="62">
        <f>IF('Données projet'!E14&gt;30,$DS$33-$H$33,LOOKUP('Données projet'!$E$14,$A$3:$A$203,DS3:DS203)-LOOKUP('Données projet'!$E$14,$A$3:$A$203,$H$3:$H$203))</f>
        <v>409.2657792678549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77.885897614924062</v>
      </c>
      <c r="EP3" s="62">
        <f>IF('Données projet'!E15&gt;30,$EN$33-$H$33,LOOKUP('Données projet'!$E$15,$A$3:$A$203,EN3:EN203)-LOOKUP('Données projet'!$E$15,$A$3:$A$203,$H$3:$H$203))</f>
        <v>401.02460251355296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169.37551953033068</v>
      </c>
      <c r="S4" s="62">
        <f ca="1">AVERAGE(OFFSET($R$3,0,0,'Données projet'!$E$9+1,1))-AVERAGE(OFFSET($H$3,0,0,'Données projet'!$E$9+1,1))</f>
        <v>426.87921482911719</v>
      </c>
      <c r="T4" s="62">
        <f>$T$3</f>
        <v>313.49594674441835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170.85148008147186</v>
      </c>
      <c r="AN4" s="62">
        <f ca="1">AVERAGE(OFFSET($AM$3,0,0,'Données projet'!$E$10+1,1))-AVERAGE(OFFSET($H$3,0,0,'Données projet'!$E$10+1,1))</f>
        <v>462.95686283420531</v>
      </c>
      <c r="AO4" s="62">
        <f>$AO$3</f>
        <v>275.54513370838777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4.9000000000000004</v>
      </c>
      <c r="BD4" s="13">
        <f>IF('Données projet'!$A$88&gt;35,BD3+BC4-BL3,IF(A4&lt;'Données projet'!$A$88,$BA$205^A4,IF(A4='Données projet'!$A$88,'Données projet'!$B$88,BD3+BC4-BL3)))</f>
        <v>1.2576543687835404</v>
      </c>
      <c r="BE4" s="14">
        <f>BD4*VLOOKUP('Données projet'!$B$11,Paramètres!$A$1:$I$89,3,0)*VLOOKUP('Données projet'!$B$11,Paramètres!$A$1:$I$89,5,0)</f>
        <v>0.75207731253255727</v>
      </c>
      <c r="BF4" s="14">
        <f>EXP(-1.0587+0.8836*LN(BE4)+0.284)</f>
        <v>0.3582759028282807</v>
      </c>
      <c r="BG4" s="22">
        <f t="shared" ref="BG4:BG67" si="7">(BE4+BF4)*0.475*44/12</f>
        <v>1.9338651834201261</v>
      </c>
      <c r="BH4" s="62">
        <f t="shared" ref="BH4:BH67" si="8">BG4+(AY4+AZ4)*44/12</f>
        <v>169.74629913634396</v>
      </c>
      <c r="BI4" s="62">
        <f ca="1">AVERAGE(OFFSET($BH$3,0,0,'Données projet'!$E$11+1,1))-AVERAGE(OFFSET($H$3,0,0,'Données projet'!$E$11+1,1))</f>
        <v>505.16888119060701</v>
      </c>
      <c r="BJ4" s="62">
        <f>$BJ$3</f>
        <v>351.15312364640613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20.666666666666668</v>
      </c>
      <c r="BY4" s="13">
        <f>IF('Données projet'!$A$114&gt;35,BY3+BX4-CG3,IF(A4&lt;'Données projet'!$A$114,$BV$205^A4,IF(A4='Données projet'!$A$114,'Données projet'!$B$114,BY3+BX4-CG3)))</f>
        <v>1.4658542131107968</v>
      </c>
      <c r="BZ4" s="14">
        <f>BY4*VLOOKUP('Données projet'!$B$12,Paramètres!$A$1:$I$89,3,0)*VLOOKUP('Données projet'!$B$12,Paramètres!$A$1:$I$89,5,0)</f>
        <v>0.71574729517773994</v>
      </c>
      <c r="CA4" s="14">
        <f>EXP(-1.0587+0.8836*LN(BZ4)+0.284)</f>
        <v>0.34293968884640941</v>
      </c>
      <c r="CB4" s="22">
        <f t="shared" ref="CB4:CB67" si="10">(BZ4+CA4)*0.475*44/12</f>
        <v>1.8438798305087267</v>
      </c>
      <c r="CC4" s="62">
        <f t="shared" ref="CC4:CC67" si="11">CB4+(BT4+BU4)*44/12</f>
        <v>169.65631378343258</v>
      </c>
      <c r="CD4" s="62">
        <f ca="1">AVERAGE(OFFSET($CC$3,0,0,'Données projet'!$E$12+1,1))-AVERAGE(OFFSET($H$3,0,0,'Données projet'!$E$12+1,1))</f>
        <v>68.195506926115257</v>
      </c>
      <c r="CE4" s="62">
        <f>$CE$3</f>
        <v>352.52565673897004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20.666666666666668</v>
      </c>
      <c r="CT4" s="13">
        <f>IF('Données projet'!$A$140&gt;35,CT3+CS4-DB3,IF(A4&lt;'Données projet'!$A$140,$CQ$205^A4,IF(A4='Données projet'!$A$140,'Données projet'!$B$140,CT3+CS4-DB3)))</f>
        <v>1.4658542131107968</v>
      </c>
      <c r="CU4" s="18">
        <f>CT4*VLOOKUP('Données projet'!$B$13,Paramètres!$A$1:$I$89,3,0)*VLOOKUP('Données projet'!$B$13,Paramètres!$A$1:$I$89,5,0)</f>
        <v>0.82322372608302341</v>
      </c>
      <c r="CV4" s="14">
        <f>EXP(-1.0587+0.8836*LN(CU4)+0.284)</f>
        <v>0.3880642739701573</v>
      </c>
      <c r="CW4" s="22">
        <f t="shared" ref="CW4:CW67" si="13">(CU4+CV4)*0.475*44/12</f>
        <v>2.1096599334259563</v>
      </c>
      <c r="CX4" s="62">
        <f t="shared" ref="CX4:CX67" si="14">CW4+(CO4+CP4)*44/12</f>
        <v>169.92209388634978</v>
      </c>
      <c r="CY4" s="62">
        <f ca="1">AVERAGE(OFFSET($CX$3,0,0,'Données projet'!$E$13+1,1))-AVERAGE(OFFSET($H$3,0,0,'Données projet'!$E$13+1,1))</f>
        <v>77.885897614924062</v>
      </c>
      <c r="CZ4" s="62">
        <f>$CZ$3</f>
        <v>401.02460251355296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20.666666666666668</v>
      </c>
      <c r="DO4" s="13">
        <f>IF('Données projet'!$A$166&gt;35,DO3+DN4-DW3,IF(A4&lt;'Données projet'!$A$166,$DL$205^A4,IF(A4='Données projet'!$A$166,'Données projet'!$B$166,DO3+DN4-DW3)))</f>
        <v>1.4658542131107968</v>
      </c>
      <c r="DP4" s="18">
        <f>DO4*VLOOKUP('Données projet'!$B$14,Paramètres!$A$1:$I$89,3,0)*VLOOKUP('Données projet'!$B$14,Paramètres!$A$1:$I$89,5,0)</f>
        <v>0.8415175866626462</v>
      </c>
      <c r="DQ4" s="14">
        <f>EXP(-1.0587+0.8836*LN(DP4)+0.284)</f>
        <v>0.39567435711715804</v>
      </c>
      <c r="DR4" s="22">
        <f t="shared" ref="DR4:DR67" si="16">(DP4+DQ4)*0.475*44/12</f>
        <v>2.1547759687498256</v>
      </c>
      <c r="DS4" s="62">
        <f t="shared" ref="DS4:DS67" si="17">DR4+(DJ4+DK4)*44/12</f>
        <v>169.96720992167366</v>
      </c>
      <c r="DT4" s="62">
        <f ca="1">AVERAGE(OFFSET($DS$3,0,0,'Données projet'!$E$14+1,1))-AVERAGE(OFFSET($H$3,0,0,'Données projet'!$E$14+1,1))</f>
        <v>79.532301588639172</v>
      </c>
      <c r="DU4" s="62">
        <f>$DU$3</f>
        <v>409.2657792678549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20.666666666666668</v>
      </c>
      <c r="EJ4" s="13">
        <f>IF('Données projet'!$A$192&gt;35,EJ3+EI4-ER3,IF(A4&lt;'Données projet'!$A$192,$EG$205^A4,IF(A4='Données projet'!$A$192,'Données projet'!$B$192,EJ3+EI4-ER3)))</f>
        <v>1.4658542131107968</v>
      </c>
      <c r="EK4" s="18">
        <f>EJ4*VLOOKUP('Données projet'!$B$15,Paramètres!$A$1:$I$89,3,0)*VLOOKUP('Données projet'!$B$15,Paramètres!$A$1:$I$89,5,0)</f>
        <v>0.82322372608302341</v>
      </c>
      <c r="EL4" s="14">
        <f>EXP(-1.0587+0.8836*LN(EK4)+0.284)</f>
        <v>0.3880642739701573</v>
      </c>
      <c r="EM4" s="22">
        <f t="shared" ref="EM4:EM67" si="19">(EK4+EL4)*0.475*44/12</f>
        <v>2.1096599334259563</v>
      </c>
      <c r="EN4" s="62">
        <f t="shared" ref="EN4:EN67" si="20">EM4+(EE4+EF4)*44/12</f>
        <v>169.92209388634978</v>
      </c>
      <c r="EO4" s="62">
        <f ca="1">AVERAGE(OFFSET($EN$3,0,0,'Données projet'!$E$15+1,1))-AVERAGE(OFFSET($H$3,0,0,'Données projet'!$E$15+1,1))</f>
        <v>77.885897614924062</v>
      </c>
      <c r="EP4" s="62">
        <f>$EP$3</f>
        <v>401.02460251355296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172.59142186291126</v>
      </c>
      <c r="S5" s="62">
        <f ca="1">AVERAGE(OFFSET($R$3,0,0,'Données projet'!$E$9+1,1))-AVERAGE(OFFSET($H$3,0,0,'Données projet'!$E$9+1,1))</f>
        <v>426.87921482911719</v>
      </c>
      <c r="T5" s="62">
        <f t="shared" ref="T5:T68" si="34">$T$3</f>
        <v>313.49594674441835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174.17928948867791</v>
      </c>
      <c r="AN5" s="62">
        <f ca="1">AVERAGE(OFFSET($AM$3,0,0,'Données projet'!$E$10+1,1))-AVERAGE(OFFSET($H$3,0,0,'Données projet'!$E$10+1,1))</f>
        <v>462.95686283420531</v>
      </c>
      <c r="AO5" s="62">
        <f t="shared" ref="AO5:AO68" si="36">$AO$3</f>
        <v>275.54513370838777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4.9000000000000004</v>
      </c>
      <c r="BD5" s="13">
        <f>IF('Données projet'!$A$88&gt;35,BD4+BC5-BL4,IF(A5&lt;'Données projet'!$A$88,$BA$205^A5,IF(A5='Données projet'!$A$88,'Données projet'!$B$88,BD4+BC5-BL4)))</f>
        <v>1.5816945113203256</v>
      </c>
      <c r="BE5" s="14">
        <f>BD5*VLOOKUP('Données projet'!$B$11,Paramètres!$A$1:$I$89,3,0)*VLOOKUP('Données projet'!$B$11,Paramètres!$A$1:$I$89,5,0)</f>
        <v>0.94585331776955472</v>
      </c>
      <c r="BF5" s="14">
        <f t="shared" ref="BF5:BF68" si="37">EXP(-1.0587+0.8836*LN(BE5)+0.284)</f>
        <v>0.43872255980954428</v>
      </c>
      <c r="BG5" s="22">
        <f t="shared" si="7"/>
        <v>2.411469653450264</v>
      </c>
      <c r="BH5" s="62">
        <f t="shared" si="8"/>
        <v>173.0087509409511</v>
      </c>
      <c r="BI5" s="62">
        <f ca="1">AVERAGE(OFFSET($BH$3,0,0,'Données projet'!$E$11+1,1))-AVERAGE(OFFSET($H$3,0,0,'Données projet'!$E$11+1,1))</f>
        <v>505.16888119060701</v>
      </c>
      <c r="BJ5" s="62">
        <f t="shared" ref="BJ5:BJ68" si="38">$BJ$3</f>
        <v>351.15312364640613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20.666666666666668</v>
      </c>
      <c r="BY5" s="13">
        <f>IF('Données projet'!$A$114&gt;35,BY4+BX5-CG4,IF(A5&lt;'Données projet'!$A$114,$BV$205^A5,IF(A5='Données projet'!$A$114,'Données projet'!$B$114,BY4+BX5-CG4)))</f>
        <v>2.1487285740946733</v>
      </c>
      <c r="BZ5" s="14">
        <f>BY5*VLOOKUP('Données projet'!$B$12,Paramètres!$A$1:$I$89,3,0)*VLOOKUP('Données projet'!$B$12,Paramètres!$A$1:$I$89,5,0)</f>
        <v>1.0491811881589472</v>
      </c>
      <c r="CA5" s="14">
        <f t="shared" ref="CA5:CA68" si="39">EXP(-1.0587+0.8836*LN(BZ5)+0.284)</f>
        <v>0.48081229246018625</v>
      </c>
      <c r="CB5" s="22">
        <f t="shared" si="10"/>
        <v>2.6647386454116577</v>
      </c>
      <c r="CC5" s="62">
        <f t="shared" si="11"/>
        <v>173.26201993291249</v>
      </c>
      <c r="CD5" s="62">
        <f ca="1">AVERAGE(OFFSET($CC$3,0,0,'Données projet'!$E$12+1,1))-AVERAGE(OFFSET($H$3,0,0,'Données projet'!$E$12+1,1))</f>
        <v>68.195506926115257</v>
      </c>
      <c r="CE5" s="62">
        <f t="shared" ref="CE5:CE68" si="40">$CE$3</f>
        <v>352.52565673897004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20.666666666666668</v>
      </c>
      <c r="CT5" s="13">
        <f>IF('Données projet'!$A$140&gt;35,CT4+CS5-DB4,IF(A5&lt;'Données projet'!$A$140,$CQ$205^A5,IF(A5='Données projet'!$A$140,'Données projet'!$B$140,CT4+CS5-DB4)))</f>
        <v>2.1487285740946733</v>
      </c>
      <c r="CU5" s="18">
        <f>CT5*VLOOKUP('Données projet'!$B$13,Paramètres!$A$1:$I$89,3,0)*VLOOKUP('Données projet'!$B$13,Paramètres!$A$1:$I$89,5,0)</f>
        <v>1.2067259672115687</v>
      </c>
      <c r="CV5" s="14">
        <f t="shared" ref="CV5:CV68" si="41">EXP(-1.0587+0.8836*LN(CU5)+0.284)</f>
        <v>0.54407838829367605</v>
      </c>
      <c r="CW5" s="22">
        <f t="shared" si="13"/>
        <v>3.0493175858383013</v>
      </c>
      <c r="CX5" s="62">
        <f t="shared" si="14"/>
        <v>173.64659887333914</v>
      </c>
      <c r="CY5" s="62">
        <f ca="1">AVERAGE(OFFSET($CX$3,0,0,'Données projet'!$E$13+1,1))-AVERAGE(OFFSET($H$3,0,0,'Données projet'!$E$13+1,1))</f>
        <v>77.885897614924062</v>
      </c>
      <c r="CZ5" s="62">
        <f t="shared" ref="CZ5:CZ68" si="42">$CZ$3</f>
        <v>401.02460251355296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20.666666666666668</v>
      </c>
      <c r="DO5" s="13">
        <f>IF('Données projet'!$A$166&gt;35,DO4+DN5-DW4,IF(A5&lt;'Données projet'!$A$166,$DL$205^A5,IF(A5='Données projet'!$A$166,'Données projet'!$B$166,DO4+DN5-DW4)))</f>
        <v>2.1487285740946733</v>
      </c>
      <c r="DP5" s="18">
        <f>DO5*VLOOKUP('Données projet'!$B$14,Paramètres!$A$1:$I$89,3,0)*VLOOKUP('Données projet'!$B$14,Paramètres!$A$1:$I$89,5,0)</f>
        <v>1.2335420998162701</v>
      </c>
      <c r="DQ5" s="14">
        <f t="shared" ref="DQ5:DQ68" si="43">EXP(-1.0587+0.8836*LN(DP5)+0.284)</f>
        <v>0.55474796560632356</v>
      </c>
      <c r="DR5" s="22">
        <f t="shared" si="16"/>
        <v>3.1146051972776836</v>
      </c>
      <c r="DS5" s="62">
        <f t="shared" si="17"/>
        <v>173.71188648477852</v>
      </c>
      <c r="DT5" s="62">
        <f ca="1">AVERAGE(OFFSET($DS$3,0,0,'Données projet'!$E$14+1,1))-AVERAGE(OFFSET($H$3,0,0,'Données projet'!$E$14+1,1))</f>
        <v>79.532301588639172</v>
      </c>
      <c r="DU5" s="62">
        <f t="shared" ref="DU5:DU68" si="44">$DU$3</f>
        <v>409.2657792678549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20.666666666666668</v>
      </c>
      <c r="EJ5" s="13">
        <f>IF('Données projet'!$A$192&gt;35,EJ4+EI5-ER4,IF(A5&lt;'Données projet'!$A$192,$EG$205^A5,IF(A5='Données projet'!$A$192,'Données projet'!$B$192,EJ4+EI5-ER4)))</f>
        <v>2.1487285740946733</v>
      </c>
      <c r="EK5" s="18">
        <f>EJ5*VLOOKUP('Données projet'!$B$15,Paramètres!$A$1:$I$89,3,0)*VLOOKUP('Données projet'!$B$15,Paramètres!$A$1:$I$89,5,0)</f>
        <v>1.2067259672115687</v>
      </c>
      <c r="EL5" s="14">
        <f t="shared" ref="EL5:EL68" si="45">EXP(-1.0587+0.8836*LN(EK5)+0.284)</f>
        <v>0.54407838829367605</v>
      </c>
      <c r="EM5" s="22">
        <f t="shared" si="19"/>
        <v>3.0493175858383013</v>
      </c>
      <c r="EN5" s="62">
        <f t="shared" si="20"/>
        <v>173.64659887333914</v>
      </c>
      <c r="EO5" s="62">
        <f ca="1">AVERAGE(OFFSET($EN$3,0,0,'Données projet'!$E$15+1,1))-AVERAGE(OFFSET($H$3,0,0,'Données projet'!$E$15+1,1))</f>
        <v>77.885897614924062</v>
      </c>
      <c r="EP5" s="62">
        <f t="shared" ref="EP5:EP68" si="46">$EP$3</f>
        <v>401.02460251355296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175.8995710767951</v>
      </c>
      <c r="S6" s="62">
        <f ca="1">AVERAGE(OFFSET($R$3,0,0,'Données projet'!$E$9+1,1))-AVERAGE(OFFSET($H$3,0,0,'Données projet'!$E$9+1,1))</f>
        <v>426.87921482911719</v>
      </c>
      <c r="T6" s="62">
        <f t="shared" si="34"/>
        <v>313.49594674441835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177.57735111449392</v>
      </c>
      <c r="AN6" s="62">
        <f ca="1">AVERAGE(OFFSET($AM$3,0,0,'Données projet'!$E$10+1,1))-AVERAGE(OFFSET($H$3,0,0,'Données projet'!$E$10+1,1))</f>
        <v>462.95686283420531</v>
      </c>
      <c r="AO6" s="62">
        <f t="shared" si="36"/>
        <v>275.54513370838777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4.9000000000000004</v>
      </c>
      <c r="BD6" s="13">
        <f>IF('Données projet'!$A$88&gt;35,BD5+BC6-BL5,IF(A6&lt;'Données projet'!$A$88,$BA$205^A6,IF(A6='Données projet'!$A$88,'Données projet'!$B$88,BD5+BC6-BL5)))</f>
        <v>1.9892250122429544</v>
      </c>
      <c r="BE6" s="14">
        <f>BD6*VLOOKUP('Données projet'!$B$11,Paramètres!$A$1:$I$89,3,0)*VLOOKUP('Données projet'!$B$11,Paramètres!$A$1:$I$89,5,0)</f>
        <v>1.1895565573212867</v>
      </c>
      <c r="BF6" s="14">
        <f t="shared" si="37"/>
        <v>0.53723257122902957</v>
      </c>
      <c r="BG6" s="22">
        <f t="shared" si="7"/>
        <v>3.0074910655584675</v>
      </c>
      <c r="BH6" s="62">
        <f t="shared" si="8"/>
        <v>176.36251163544335</v>
      </c>
      <c r="BI6" s="62">
        <f ca="1">AVERAGE(OFFSET($BH$3,0,0,'Données projet'!$E$11+1,1))-AVERAGE(OFFSET($H$3,0,0,'Données projet'!$E$11+1,1))</f>
        <v>505.16888119060701</v>
      </c>
      <c r="BJ6" s="62">
        <f t="shared" si="38"/>
        <v>351.15312364640613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20.666666666666668</v>
      </c>
      <c r="BY6" s="13">
        <f>IF('Données projet'!$A$114&gt;35,BY5+BX6-CG5,IF(A6&lt;'Données projet'!$A$114,$BV$205^A6,IF(A6='Données projet'!$A$114,'Données projet'!$B$114,BY5+BX6-CG5)))</f>
        <v>3.1497228331682319</v>
      </c>
      <c r="BZ6" s="14">
        <f>BY6*VLOOKUP('Données projet'!$B$12,Paramètres!$A$1:$I$89,3,0)*VLOOKUP('Données projet'!$B$12,Paramètres!$A$1:$I$89,5,0)</f>
        <v>1.5379466649793843</v>
      </c>
      <c r="CA6" s="14">
        <f t="shared" si="39"/>
        <v>0.67411404424629684</v>
      </c>
      <c r="CB6" s="22">
        <f t="shared" si="10"/>
        <v>3.852672401901394</v>
      </c>
      <c r="CC6" s="62">
        <f t="shared" si="11"/>
        <v>177.20769297178629</v>
      </c>
      <c r="CD6" s="62">
        <f ca="1">AVERAGE(OFFSET($CC$3,0,0,'Données projet'!$E$12+1,1))-AVERAGE(OFFSET($H$3,0,0,'Données projet'!$E$12+1,1))</f>
        <v>68.195506926115257</v>
      </c>
      <c r="CE6" s="62">
        <f t="shared" si="40"/>
        <v>352.52565673897004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20.666666666666668</v>
      </c>
      <c r="CT6" s="13">
        <f>IF('Données projet'!$A$140&gt;35,CT5+CS6-DB5,IF(A6&lt;'Données projet'!$A$140,$CQ$205^A6,IF(A6='Données projet'!$A$140,'Données projet'!$B$140,CT5+CS6-DB5)))</f>
        <v>3.1497228331682319</v>
      </c>
      <c r="CU6" s="18">
        <f>CT6*VLOOKUP('Données projet'!$B$13,Paramètres!$A$1:$I$89,3,0)*VLOOKUP('Données projet'!$B$13,Paramètres!$A$1:$I$89,5,0)</f>
        <v>1.7688843431072789</v>
      </c>
      <c r="CV6" s="14">
        <f t="shared" si="41"/>
        <v>0.7628151119909804</v>
      </c>
      <c r="CW6" s="22">
        <f t="shared" si="13"/>
        <v>4.4093765509628016</v>
      </c>
      <c r="CX6" s="62">
        <f t="shared" si="14"/>
        <v>177.76439712084769</v>
      </c>
      <c r="CY6" s="62">
        <f ca="1">AVERAGE(OFFSET($CX$3,0,0,'Données projet'!$E$13+1,1))-AVERAGE(OFFSET($H$3,0,0,'Données projet'!$E$13+1,1))</f>
        <v>77.885897614924062</v>
      </c>
      <c r="CZ6" s="62">
        <f t="shared" si="42"/>
        <v>401.02460251355296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20.666666666666668</v>
      </c>
      <c r="DO6" s="13">
        <f>IF('Données projet'!$A$166&gt;35,DO5+DN6-DW5,IF(A6&lt;'Données projet'!$A$166,$DL$205^A6,IF(A6='Données projet'!$A$166,'Données projet'!$B$166,DO5+DN6-DW5)))</f>
        <v>3.1497228331682319</v>
      </c>
      <c r="DP6" s="18">
        <f>DO6*VLOOKUP('Données projet'!$B$14,Paramètres!$A$1:$I$89,3,0)*VLOOKUP('Données projet'!$B$14,Paramètres!$A$1:$I$89,5,0)</f>
        <v>1.8081928840652184</v>
      </c>
      <c r="DQ6" s="14">
        <f t="shared" si="43"/>
        <v>0.77777419690918248</v>
      </c>
      <c r="DR6" s="22">
        <f t="shared" si="16"/>
        <v>4.5038926660304144</v>
      </c>
      <c r="DS6" s="62">
        <f t="shared" si="17"/>
        <v>177.85891323591531</v>
      </c>
      <c r="DT6" s="62">
        <f ca="1">AVERAGE(OFFSET($DS$3,0,0,'Données projet'!$E$14+1,1))-AVERAGE(OFFSET($H$3,0,0,'Données projet'!$E$14+1,1))</f>
        <v>79.532301588639172</v>
      </c>
      <c r="DU6" s="62">
        <f t="shared" si="44"/>
        <v>409.2657792678549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20.666666666666668</v>
      </c>
      <c r="EJ6" s="13">
        <f>IF('Données projet'!$A$192&gt;35,EJ5+EI6-ER5,IF(A6&lt;'Données projet'!$A$192,$EG$205^A6,IF(A6='Données projet'!$A$192,'Données projet'!$B$192,EJ5+EI6-ER5)))</f>
        <v>3.1497228331682319</v>
      </c>
      <c r="EK6" s="18">
        <f>EJ6*VLOOKUP('Données projet'!$B$15,Paramètres!$A$1:$I$89,3,0)*VLOOKUP('Données projet'!$B$15,Paramètres!$A$1:$I$89,5,0)</f>
        <v>1.7688843431072789</v>
      </c>
      <c r="EL6" s="14">
        <f t="shared" si="45"/>
        <v>0.7628151119909804</v>
      </c>
      <c r="EM6" s="22">
        <f t="shared" si="19"/>
        <v>4.4093765509628016</v>
      </c>
      <c r="EN6" s="62">
        <f t="shared" si="20"/>
        <v>177.76439712084769</v>
      </c>
      <c r="EO6" s="62">
        <f ca="1">AVERAGE(OFFSET($EN$3,0,0,'Données projet'!$E$15+1,1))-AVERAGE(OFFSET($H$3,0,0,'Données projet'!$E$15+1,1))</f>
        <v>77.885897614924062</v>
      </c>
      <c r="EP6" s="62">
        <f t="shared" si="46"/>
        <v>401.02460251355296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179.33361187542249</v>
      </c>
      <c r="S7" s="62">
        <f ca="1">AVERAGE(OFFSET($R$3,0,0,'Données projet'!$E$9+1,1))-AVERAGE(OFFSET($H$3,0,0,'Données projet'!$E$9+1,1))</f>
        <v>426.87921482911719</v>
      </c>
      <c r="T7" s="62">
        <f t="shared" si="34"/>
        <v>313.49594674441835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181.06365302900963</v>
      </c>
      <c r="AN7" s="62">
        <f ca="1">AVERAGE(OFFSET($AM$3,0,0,'Données projet'!$E$10+1,1))-AVERAGE(OFFSET($H$3,0,0,'Données projet'!$E$10+1,1))</f>
        <v>462.95686283420531</v>
      </c>
      <c r="AO7" s="62">
        <f t="shared" si="36"/>
        <v>275.54513370838777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4.9000000000000004</v>
      </c>
      <c r="BD7" s="13">
        <f>IF('Données projet'!$A$88&gt;35,BD6+BC7-BL6,IF(A7&lt;'Données projet'!$A$88,$BA$205^A7,IF(A7='Données projet'!$A$88,'Données projet'!$B$88,BD6+BC7-BL6)))</f>
        <v>2.5017575271408434</v>
      </c>
      <c r="BE7" s="14">
        <f>BD7*VLOOKUP('Données projet'!$B$11,Paramètres!$A$1:$I$89,3,0)*VLOOKUP('Données projet'!$B$11,Paramètres!$A$1:$I$89,5,0)</f>
        <v>1.4960510012302246</v>
      </c>
      <c r="BF7" s="14">
        <f t="shared" si="37"/>
        <v>0.65786185172389555</v>
      </c>
      <c r="BG7" s="22">
        <f t="shared" si="7"/>
        <v>3.7513982188950923</v>
      </c>
      <c r="BH7" s="62">
        <f t="shared" si="8"/>
        <v>179.83752028307205</v>
      </c>
      <c r="BI7" s="62">
        <f ca="1">AVERAGE(OFFSET($BH$3,0,0,'Données projet'!$E$11+1,1))-AVERAGE(OFFSET($H$3,0,0,'Données projet'!$E$11+1,1))</f>
        <v>505.16888119060701</v>
      </c>
      <c r="BJ7" s="62">
        <f t="shared" si="38"/>
        <v>351.15312364640613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20.666666666666668</v>
      </c>
      <c r="BY7" s="13">
        <f>IF('Données projet'!$A$114&gt;35,BY6+BX7-CG6,IF(A7&lt;'Données projet'!$A$114,$BV$205^A7,IF(A7='Données projet'!$A$114,'Données projet'!$B$114,BY6+BX7-CG6)))</f>
        <v>4.6170344851309277</v>
      </c>
      <c r="BZ7" s="14">
        <f>BY7*VLOOKUP('Données projet'!$B$12,Paramètres!$A$1:$I$89,3,0)*VLOOKUP('Données projet'!$B$12,Paramètres!$A$1:$I$89,5,0)</f>
        <v>2.2544055983997295</v>
      </c>
      <c r="CA7" s="14">
        <f t="shared" si="39"/>
        <v>0.94512921523887083</v>
      </c>
      <c r="CB7" s="22">
        <f t="shared" si="10"/>
        <v>5.5725231337538945</v>
      </c>
      <c r="CC7" s="62">
        <f t="shared" si="11"/>
        <v>181.65864519793084</v>
      </c>
      <c r="CD7" s="62">
        <f ca="1">AVERAGE(OFFSET($CC$3,0,0,'Données projet'!$E$12+1,1))-AVERAGE(OFFSET($H$3,0,0,'Données projet'!$E$12+1,1))</f>
        <v>68.195506926115257</v>
      </c>
      <c r="CE7" s="62">
        <f t="shared" si="40"/>
        <v>352.52565673897004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20.666666666666668</v>
      </c>
      <c r="CT7" s="13">
        <f>IF('Données projet'!$A$140&gt;35,CT6+CS7-DB6,IF(A7&lt;'Données projet'!$A$140,$CQ$205^A7,IF(A7='Données projet'!$A$140,'Données projet'!$B$140,CT6+CS7-DB6)))</f>
        <v>4.6170344851309277</v>
      </c>
      <c r="CU7" s="18">
        <f>CT7*VLOOKUP('Données projet'!$B$13,Paramètres!$A$1:$I$89,3,0)*VLOOKUP('Données projet'!$B$13,Paramètres!$A$1:$I$89,5,0)</f>
        <v>2.5929265668495289</v>
      </c>
      <c r="CV7" s="14">
        <f t="shared" si="41"/>
        <v>1.0694909182235857</v>
      </c>
      <c r="CW7" s="22">
        <f t="shared" si="13"/>
        <v>6.3787104531690071</v>
      </c>
      <c r="CX7" s="62">
        <f t="shared" si="14"/>
        <v>182.46483251734597</v>
      </c>
      <c r="CY7" s="62">
        <f ca="1">AVERAGE(OFFSET($CX$3,0,0,'Données projet'!$E$13+1,1))-AVERAGE(OFFSET($H$3,0,0,'Données projet'!$E$13+1,1))</f>
        <v>77.885897614924062</v>
      </c>
      <c r="CZ7" s="62">
        <f t="shared" si="42"/>
        <v>401.02460251355296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20.666666666666668</v>
      </c>
      <c r="DO7" s="13">
        <f>IF('Données projet'!$A$166&gt;35,DO6+DN7-DW6,IF(A7&lt;'Données projet'!$A$166,$DL$205^A7,IF(A7='Données projet'!$A$166,'Données projet'!$B$166,DO6+DN7-DW6)))</f>
        <v>4.6170344851309277</v>
      </c>
      <c r="DP7" s="18">
        <f>DO7*VLOOKUP('Données projet'!$B$14,Paramètres!$A$1:$I$89,3,0)*VLOOKUP('Données projet'!$B$14,Paramètres!$A$1:$I$89,5,0)</f>
        <v>2.6505471572239632</v>
      </c>
      <c r="DQ7" s="14">
        <f t="shared" si="43"/>
        <v>1.0904640285008524</v>
      </c>
      <c r="DR7" s="22">
        <f t="shared" si="16"/>
        <v>6.5155944818040537</v>
      </c>
      <c r="DS7" s="62">
        <f t="shared" si="17"/>
        <v>182.60171654598099</v>
      </c>
      <c r="DT7" s="62">
        <f ca="1">AVERAGE(OFFSET($DS$3,0,0,'Données projet'!$E$14+1,1))-AVERAGE(OFFSET($H$3,0,0,'Données projet'!$E$14+1,1))</f>
        <v>79.532301588639172</v>
      </c>
      <c r="DU7" s="62">
        <f t="shared" si="44"/>
        <v>409.2657792678549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20.666666666666668</v>
      </c>
      <c r="EJ7" s="13">
        <f>IF('Données projet'!$A$192&gt;35,EJ6+EI7-ER6,IF(A7&lt;'Données projet'!$A$192,$EG$205^A7,IF(A7='Données projet'!$A$192,'Données projet'!$B$192,EJ6+EI7-ER6)))</f>
        <v>4.6170344851309277</v>
      </c>
      <c r="EK7" s="18">
        <f>EJ7*VLOOKUP('Données projet'!$B$15,Paramètres!$A$1:$I$89,3,0)*VLOOKUP('Données projet'!$B$15,Paramètres!$A$1:$I$89,5,0)</f>
        <v>2.5929265668495289</v>
      </c>
      <c r="EL7" s="14">
        <f t="shared" si="45"/>
        <v>1.0694909182235857</v>
      </c>
      <c r="EM7" s="22">
        <f t="shared" si="19"/>
        <v>6.3787104531690071</v>
      </c>
      <c r="EN7" s="62">
        <f t="shared" si="20"/>
        <v>182.46483251734597</v>
      </c>
      <c r="EO7" s="62">
        <f ca="1">AVERAGE(OFFSET($EN$3,0,0,'Données projet'!$E$15+1,1))-AVERAGE(OFFSET($H$3,0,0,'Données projet'!$E$15+1,1))</f>
        <v>77.885897614924062</v>
      </c>
      <c r="EP7" s="62">
        <f t="shared" si="46"/>
        <v>401.02460251355296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182.93643447861868</v>
      </c>
      <c r="S8" s="62">
        <f ca="1">AVERAGE(OFFSET($R$3,0,0,'Données projet'!$E$9+1,1))-AVERAGE(OFFSET($H$3,0,0,'Données projet'!$E$9+1,1))</f>
        <v>426.87921482911719</v>
      </c>
      <c r="T8" s="62">
        <f t="shared" si="34"/>
        <v>313.49594674441835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184.65933716722978</v>
      </c>
      <c r="AN8" s="62">
        <f ca="1">AVERAGE(OFFSET($AM$3,0,0,'Données projet'!$E$10+1,1))-AVERAGE(OFFSET($H$3,0,0,'Données projet'!$E$10+1,1))</f>
        <v>462.95686283420531</v>
      </c>
      <c r="AO8" s="62">
        <f t="shared" si="36"/>
        <v>275.54513370838777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4.9000000000000004</v>
      </c>
      <c r="BD8" s="13">
        <f>IF('Données projet'!$A$88&gt;35,BD7+BC8-BL7,IF(A8&lt;'Données projet'!$A$88,$BA$205^A8,IF(A8='Données projet'!$A$88,'Données projet'!$B$88,BD7+BC8-BL7)))</f>
        <v>3.1463462836457885</v>
      </c>
      <c r="BE8" s="14">
        <f>BD8*VLOOKUP('Données projet'!$B$11,Paramètres!$A$1:$I$89,3,0)*VLOOKUP('Données projet'!$B$11,Paramètres!$A$1:$I$89,5,0)</f>
        <v>1.8815150776201819</v>
      </c>
      <c r="BF8" s="14">
        <f t="shared" si="37"/>
        <v>0.80557702405033782</v>
      </c>
      <c r="BG8" s="22">
        <f t="shared" si="7"/>
        <v>4.6800187437428216</v>
      </c>
      <c r="BH8" s="62">
        <f t="shared" si="8"/>
        <v>183.47106662019019</v>
      </c>
      <c r="BI8" s="62">
        <f ca="1">AVERAGE(OFFSET($BH$3,0,0,'Données projet'!$E$11+1,1))-AVERAGE(OFFSET($H$3,0,0,'Données projet'!$E$11+1,1))</f>
        <v>505.16888119060701</v>
      </c>
      <c r="BJ8" s="62">
        <f t="shared" si="38"/>
        <v>351.15312364640613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20.666666666666668</v>
      </c>
      <c r="BY8" s="13">
        <f>IF('Données projet'!$A$114&gt;35,BY7+BX8-CG7,IF(A8&lt;'Données projet'!$A$114,$BV$205^A8,IF(A8='Données projet'!$A$114,'Données projet'!$B$114,BY7+BX8-CG7)))</f>
        <v>6.7678994521070086</v>
      </c>
      <c r="BZ8" s="14">
        <f>BY8*VLOOKUP('Données projet'!$B$12,Paramètres!$A$1:$I$89,3,0)*VLOOKUP('Données projet'!$B$12,Paramètres!$A$1:$I$89,5,0)</f>
        <v>3.3046299444748102</v>
      </c>
      <c r="CA8" s="14">
        <f t="shared" si="39"/>
        <v>1.3251010583777061</v>
      </c>
      <c r="CB8" s="22">
        <f t="shared" si="10"/>
        <v>8.0634481633014641</v>
      </c>
      <c r="CC8" s="62">
        <f t="shared" si="11"/>
        <v>186.85449603974882</v>
      </c>
      <c r="CD8" s="62">
        <f ca="1">AVERAGE(OFFSET($CC$3,0,0,'Données projet'!$E$12+1,1))-AVERAGE(OFFSET($H$3,0,0,'Données projet'!$E$12+1,1))</f>
        <v>68.195506926115257</v>
      </c>
      <c r="CE8" s="62">
        <f t="shared" si="40"/>
        <v>352.52565673897004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20.666666666666668</v>
      </c>
      <c r="CT8" s="13">
        <f>IF('Données projet'!$A$140&gt;35,CT7+CS8-DB7,IF(A8&lt;'Données projet'!$A$140,$CQ$205^A8,IF(A8='Données projet'!$A$140,'Données projet'!$B$140,CT7+CS8-DB7)))</f>
        <v>6.7678994521070086</v>
      </c>
      <c r="CU8" s="18">
        <f>CT8*VLOOKUP('Données projet'!$B$13,Paramètres!$A$1:$I$89,3,0)*VLOOKUP('Données projet'!$B$13,Paramètres!$A$1:$I$89,5,0)</f>
        <v>3.8008523323032959</v>
      </c>
      <c r="CV8" s="14">
        <f t="shared" si="41"/>
        <v>1.4994601000723911</v>
      </c>
      <c r="CW8" s="22">
        <f t="shared" si="13"/>
        <v>9.2313774863876539</v>
      </c>
      <c r="CX8" s="62">
        <f t="shared" si="14"/>
        <v>188.02242536283501</v>
      </c>
      <c r="CY8" s="62">
        <f ca="1">AVERAGE(OFFSET($CX$3,0,0,'Données projet'!$E$13+1,1))-AVERAGE(OFFSET($H$3,0,0,'Données projet'!$E$13+1,1))</f>
        <v>77.885897614924062</v>
      </c>
      <c r="CZ8" s="62">
        <f t="shared" si="42"/>
        <v>401.02460251355296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20.666666666666668</v>
      </c>
      <c r="DO8" s="13">
        <f>IF('Données projet'!$A$166&gt;35,DO7+DN8-DW7,IF(A8&lt;'Données projet'!$A$166,$DL$205^A8,IF(A8='Données projet'!$A$166,'Données projet'!$B$166,DO7+DN8-DW7)))</f>
        <v>6.7678994521070086</v>
      </c>
      <c r="DP8" s="18">
        <f>DO8*VLOOKUP('Données projet'!$B$14,Paramètres!$A$1:$I$89,3,0)*VLOOKUP('Données projet'!$B$14,Paramètres!$A$1:$I$89,5,0)</f>
        <v>3.8853157174655917</v>
      </c>
      <c r="DQ8" s="14">
        <f t="shared" si="43"/>
        <v>1.52886506415326</v>
      </c>
      <c r="DR8" s="22">
        <f t="shared" si="16"/>
        <v>9.4296981946528309</v>
      </c>
      <c r="DS8" s="62">
        <f t="shared" si="17"/>
        <v>188.22074607110019</v>
      </c>
      <c r="DT8" s="62">
        <f ca="1">AVERAGE(OFFSET($DS$3,0,0,'Données projet'!$E$14+1,1))-AVERAGE(OFFSET($H$3,0,0,'Données projet'!$E$14+1,1))</f>
        <v>79.532301588639172</v>
      </c>
      <c r="DU8" s="62">
        <f t="shared" si="44"/>
        <v>409.2657792678549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20.666666666666668</v>
      </c>
      <c r="EJ8" s="13">
        <f>IF('Données projet'!$A$192&gt;35,EJ7+EI8-ER7,IF(A8&lt;'Données projet'!$A$192,$EG$205^A8,IF(A8='Données projet'!$A$192,'Données projet'!$B$192,EJ7+EI8-ER7)))</f>
        <v>6.7678994521070086</v>
      </c>
      <c r="EK8" s="18">
        <f>EJ8*VLOOKUP('Données projet'!$B$15,Paramètres!$A$1:$I$89,3,0)*VLOOKUP('Données projet'!$B$15,Paramètres!$A$1:$I$89,5,0)</f>
        <v>3.8008523323032959</v>
      </c>
      <c r="EL8" s="14">
        <f t="shared" si="45"/>
        <v>1.4994601000723911</v>
      </c>
      <c r="EM8" s="22">
        <f t="shared" si="19"/>
        <v>9.2313774863876539</v>
      </c>
      <c r="EN8" s="62">
        <f t="shared" si="20"/>
        <v>188.02242536283501</v>
      </c>
      <c r="EO8" s="62">
        <f ca="1">AVERAGE(OFFSET($EN$3,0,0,'Données projet'!$E$15+1,1))-AVERAGE(OFFSET($H$3,0,0,'Données projet'!$E$15+1,1))</f>
        <v>77.885897614924062</v>
      </c>
      <c r="EP8" s="62">
        <f t="shared" si="46"/>
        <v>401.02460251355296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186.76276453247874</v>
      </c>
      <c r="S9" s="62">
        <f ca="1">AVERAGE(OFFSET($R$3,0,0,'Données projet'!$E$9+1,1))-AVERAGE(OFFSET($H$3,0,0,'Données projet'!$E$9+1,1))</f>
        <v>426.87921482911719</v>
      </c>
      <c r="T9" s="62">
        <f t="shared" si="34"/>
        <v>313.49594674441835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188.38927192071469</v>
      </c>
      <c r="AN9" s="62">
        <f ca="1">AVERAGE(OFFSET($AM$3,0,0,'Données projet'!$E$10+1,1))-AVERAGE(OFFSET($H$3,0,0,'Données projet'!$E$10+1,1))</f>
        <v>462.95686283420531</v>
      </c>
      <c r="AO9" s="62">
        <f t="shared" si="36"/>
        <v>275.54513370838777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4.9000000000000004</v>
      </c>
      <c r="BD9" s="13">
        <f>IF('Données projet'!$A$88&gt;35,BD8+BC9-BL8,IF(A9&lt;'Données projet'!$A$88,$BA$205^A9,IF(A9='Données projet'!$A$88,'Données projet'!$B$88,BD8+BC9-BL8)))</f>
        <v>3.9570161493329823</v>
      </c>
      <c r="BE9" s="14">
        <f>BD9*VLOOKUP('Données projet'!$B$11,Paramètres!$A$1:$I$89,3,0)*VLOOKUP('Données projet'!$B$11,Paramètres!$A$1:$I$89,5,0)</f>
        <v>2.3662956573011233</v>
      </c>
      <c r="BF9" s="14">
        <f t="shared" si="37"/>
        <v>0.98645990792328875</v>
      </c>
      <c r="BG9" s="22">
        <f t="shared" si="7"/>
        <v>5.8393826094325183</v>
      </c>
      <c r="BH9" s="62">
        <f t="shared" si="8"/>
        <v>187.30963470569148</v>
      </c>
      <c r="BI9" s="62">
        <f ca="1">AVERAGE(OFFSET($BH$3,0,0,'Données projet'!$E$11+1,1))-AVERAGE(OFFSET($H$3,0,0,'Données projet'!$E$11+1,1))</f>
        <v>505.16888119060701</v>
      </c>
      <c r="BJ9" s="62">
        <f t="shared" si="38"/>
        <v>351.15312364640613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20.666666666666668</v>
      </c>
      <c r="BY9" s="13">
        <f>IF('Données projet'!$A$114&gt;35,BY8+BX9-CG8,IF(A9&lt;'Données projet'!$A$114,$BV$205^A9,IF(A9='Données projet'!$A$114,'Données projet'!$B$114,BY8+BX9-CG8)))</f>
        <v>9.9207539257813124</v>
      </c>
      <c r="BZ9" s="14">
        <f>BY9*VLOOKUP('Données projet'!$B$12,Paramètres!$A$1:$I$89,3,0)*VLOOKUP('Données projet'!$B$12,Paramètres!$A$1:$I$89,5,0)</f>
        <v>4.8441057268804997</v>
      </c>
      <c r="CA9" s="14">
        <f t="shared" si="39"/>
        <v>1.8578336026465283</v>
      </c>
      <c r="CB9" s="22">
        <f t="shared" si="10"/>
        <v>11.672544332259575</v>
      </c>
      <c r="CC9" s="62">
        <f t="shared" si="11"/>
        <v>193.14279642851855</v>
      </c>
      <c r="CD9" s="62">
        <f ca="1">AVERAGE(OFFSET($CC$3,0,0,'Données projet'!$E$12+1,1))-AVERAGE(OFFSET($H$3,0,0,'Données projet'!$E$12+1,1))</f>
        <v>68.195506926115257</v>
      </c>
      <c r="CE9" s="62">
        <f t="shared" si="40"/>
        <v>352.52565673897004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20.666666666666668</v>
      </c>
      <c r="CT9" s="13">
        <f>IF('Données projet'!$A$140&gt;35,CT8+CS9-DB8,IF(A9&lt;'Données projet'!$A$140,$CQ$205^A9,IF(A9='Données projet'!$A$140,'Données projet'!$B$140,CT8+CS9-DB8)))</f>
        <v>9.9207539257813124</v>
      </c>
      <c r="CU9" s="18">
        <f>CT9*VLOOKUP('Données projet'!$B$13,Paramètres!$A$1:$I$89,3,0)*VLOOKUP('Données projet'!$B$13,Paramètres!$A$1:$I$89,5,0)</f>
        <v>5.5714954047187843</v>
      </c>
      <c r="CV9" s="14">
        <f t="shared" si="41"/>
        <v>2.1022904948493113</v>
      </c>
      <c r="CW9" s="22">
        <f t="shared" si="13"/>
        <v>13.365177108414434</v>
      </c>
      <c r="CX9" s="62">
        <f t="shared" si="14"/>
        <v>194.8354292046734</v>
      </c>
      <c r="CY9" s="62">
        <f ca="1">AVERAGE(OFFSET($CX$3,0,0,'Données projet'!$E$13+1,1))-AVERAGE(OFFSET($H$3,0,0,'Données projet'!$E$13+1,1))</f>
        <v>77.885897614924062</v>
      </c>
      <c r="CZ9" s="62">
        <f t="shared" si="42"/>
        <v>401.02460251355296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20.666666666666668</v>
      </c>
      <c r="DO9" s="13">
        <f>IF('Données projet'!$A$166&gt;35,DO8+DN9-DW8,IF(A9&lt;'Données projet'!$A$166,$DL$205^A9,IF(A9='Données projet'!$A$166,'Données projet'!$B$166,DO8+DN9-DW8)))</f>
        <v>9.9207539257813124</v>
      </c>
      <c r="DP9" s="18">
        <f>DO9*VLOOKUP('Données projet'!$B$14,Paramètres!$A$1:$I$89,3,0)*VLOOKUP('Données projet'!$B$14,Paramètres!$A$1:$I$89,5,0)</f>
        <v>5.6953064137125358</v>
      </c>
      <c r="DQ9" s="14">
        <f t="shared" si="43"/>
        <v>2.1435171846996193</v>
      </c>
      <c r="DR9" s="22">
        <f t="shared" si="16"/>
        <v>13.652617767234503</v>
      </c>
      <c r="DS9" s="62">
        <f t="shared" si="17"/>
        <v>195.12286986349346</v>
      </c>
      <c r="DT9" s="62">
        <f ca="1">AVERAGE(OFFSET($DS$3,0,0,'Données projet'!$E$14+1,1))-AVERAGE(OFFSET($H$3,0,0,'Données projet'!$E$14+1,1))</f>
        <v>79.532301588639172</v>
      </c>
      <c r="DU9" s="62">
        <f t="shared" si="44"/>
        <v>409.2657792678549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20.666666666666668</v>
      </c>
      <c r="EJ9" s="13">
        <f>IF('Données projet'!$A$192&gt;35,EJ8+EI9-ER8,IF(A9&lt;'Données projet'!$A$192,$EG$205^A9,IF(A9='Données projet'!$A$192,'Données projet'!$B$192,EJ8+EI9-ER8)))</f>
        <v>9.9207539257813124</v>
      </c>
      <c r="EK9" s="18">
        <f>EJ9*VLOOKUP('Données projet'!$B$15,Paramètres!$A$1:$I$89,3,0)*VLOOKUP('Données projet'!$B$15,Paramètres!$A$1:$I$89,5,0)</f>
        <v>5.5714954047187843</v>
      </c>
      <c r="EL9" s="14">
        <f t="shared" si="45"/>
        <v>2.1022904948493113</v>
      </c>
      <c r="EM9" s="22">
        <f t="shared" si="19"/>
        <v>13.365177108414434</v>
      </c>
      <c r="EN9" s="62">
        <f t="shared" si="20"/>
        <v>194.8354292046734</v>
      </c>
      <c r="EO9" s="62">
        <f ca="1">AVERAGE(OFFSET($EN$3,0,0,'Données projet'!$E$15+1,1))-AVERAGE(OFFSET($H$3,0,0,'Données projet'!$E$15+1,1))</f>
        <v>77.885897614924062</v>
      </c>
      <c r="EP9" s="62">
        <f t="shared" si="46"/>
        <v>401.02460251355296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190.88248001211113</v>
      </c>
      <c r="S10" s="62">
        <f ca="1">AVERAGE(OFFSET($R$3,0,0,'Données projet'!$E$9+1,1))-AVERAGE(OFFSET($H$3,0,0,'Données projet'!$E$9+1,1))</f>
        <v>426.87921482911719</v>
      </c>
      <c r="T10" s="62">
        <f t="shared" si="34"/>
        <v>313.49594674441835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192.28272864642781</v>
      </c>
      <c r="AN10" s="62">
        <f ca="1">AVERAGE(OFFSET($AM$3,0,0,'Données projet'!$E$10+1,1))-AVERAGE(OFFSET($H$3,0,0,'Données projet'!$E$10+1,1))</f>
        <v>462.95686283420531</v>
      </c>
      <c r="AO10" s="62">
        <f t="shared" si="36"/>
        <v>275.54513370838777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4.9000000000000004</v>
      </c>
      <c r="BD10" s="13">
        <f>IF('Données projet'!$A$88&gt;35,BD9+BC10-BL9,IF(A10&lt;'Données projet'!$A$88,$BA$205^A10,IF(A10='Données projet'!$A$88,'Données projet'!$B$88,BD9+BC10-BL9)))</f>
        <v>4.976558647555648</v>
      </c>
      <c r="BE10" s="14">
        <f>BD10*VLOOKUP('Données projet'!$B$11,Paramètres!$A$1:$I$89,3,0)*VLOOKUP('Données projet'!$B$11,Paramètres!$A$1:$I$89,5,0)</f>
        <v>2.9759820712382781</v>
      </c>
      <c r="BF10" s="14">
        <f t="shared" si="37"/>
        <v>1.2079579244296048</v>
      </c>
      <c r="BG10" s="22">
        <f t="shared" si="7"/>
        <v>7.2870288257882292</v>
      </c>
      <c r="BH10" s="62">
        <f t="shared" si="8"/>
        <v>191.41120976152447</v>
      </c>
      <c r="BI10" s="62">
        <f ca="1">AVERAGE(OFFSET($BH$3,0,0,'Données projet'!$E$11+1,1))-AVERAGE(OFFSET($H$3,0,0,'Données projet'!$E$11+1,1))</f>
        <v>505.16888119060701</v>
      </c>
      <c r="BJ10" s="62">
        <f t="shared" si="38"/>
        <v>351.15312364640613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20.666666666666668</v>
      </c>
      <c r="BY10" s="13">
        <f>IF('Données projet'!$A$114&gt;35,BY9+BX10-CG9,IF(A10&lt;'Données projet'!$A$114,$BV$205^A10,IF(A10='Données projet'!$A$114,'Données projet'!$B$114,BY9+BX10-CG9)))</f>
        <v>14.542378939342015</v>
      </c>
      <c r="BZ10" s="14">
        <f>BY10*VLOOKUP('Données projet'!$B$12,Paramètres!$A$1:$I$89,3,0)*VLOOKUP('Données projet'!$B$12,Paramètres!$A$1:$I$89,5,0)</f>
        <v>7.1007527885019197</v>
      </c>
      <c r="CA10" s="14">
        <f t="shared" si="39"/>
        <v>2.6047414823954891</v>
      </c>
      <c r="CB10" s="22">
        <f t="shared" si="10"/>
        <v>16.903735855146319</v>
      </c>
      <c r="CC10" s="62">
        <f t="shared" si="11"/>
        <v>201.02791679088256</v>
      </c>
      <c r="CD10" s="62">
        <f ca="1">AVERAGE(OFFSET($CC$3,0,0,'Données projet'!$E$12+1,1))-AVERAGE(OFFSET($H$3,0,0,'Données projet'!$E$12+1,1))</f>
        <v>68.195506926115257</v>
      </c>
      <c r="CE10" s="62">
        <f t="shared" si="40"/>
        <v>352.52565673897004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20.666666666666668</v>
      </c>
      <c r="CT10" s="13">
        <f>IF('Données projet'!$A$140&gt;35,CT9+CS10-DB9,IF(A10&lt;'Données projet'!$A$140,$CQ$205^A10,IF(A10='Données projet'!$A$140,'Données projet'!$B$140,CT9+CS10-DB9)))</f>
        <v>14.542378939342015</v>
      </c>
      <c r="CU10" s="18">
        <f>CT10*VLOOKUP('Données projet'!$B$13,Paramètres!$A$1:$I$89,3,0)*VLOOKUP('Données projet'!$B$13,Paramètres!$A$1:$I$89,5,0)</f>
        <v>8.1670000123344764</v>
      </c>
      <c r="CV10" s="14">
        <f t="shared" si="41"/>
        <v>2.9474777785153425</v>
      </c>
      <c r="CW10" s="22">
        <f t="shared" si="13"/>
        <v>19.3577154857301</v>
      </c>
      <c r="CX10" s="62">
        <f t="shared" si="14"/>
        <v>203.48189642146633</v>
      </c>
      <c r="CY10" s="62">
        <f ca="1">AVERAGE(OFFSET($CX$3,0,0,'Données projet'!$E$13+1,1))-AVERAGE(OFFSET($H$3,0,0,'Données projet'!$E$13+1,1))</f>
        <v>77.885897614924062</v>
      </c>
      <c r="CZ10" s="62">
        <f t="shared" si="42"/>
        <v>401.02460251355296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20.666666666666668</v>
      </c>
      <c r="DO10" s="13">
        <f>IF('Données projet'!$A$166&gt;35,DO9+DN10-DW9,IF(A10&lt;'Données projet'!$A$166,$DL$205^A10,IF(A10='Données projet'!$A$166,'Données projet'!$B$166,DO9+DN10-DW9)))</f>
        <v>14.542378939342015</v>
      </c>
      <c r="DP10" s="18">
        <f>DO10*VLOOKUP('Données projet'!$B$14,Paramètres!$A$1:$I$89,3,0)*VLOOKUP('Données projet'!$B$14,Paramètres!$A$1:$I$89,5,0)</f>
        <v>8.3484889014974648</v>
      </c>
      <c r="DQ10" s="14">
        <f t="shared" si="43"/>
        <v>3.0052789018678192</v>
      </c>
      <c r="DR10" s="22">
        <f t="shared" si="16"/>
        <v>19.774478924194536</v>
      </c>
      <c r="DS10" s="62">
        <f t="shared" si="17"/>
        <v>203.89865985993077</v>
      </c>
      <c r="DT10" s="62">
        <f ca="1">AVERAGE(OFFSET($DS$3,0,0,'Données projet'!$E$14+1,1))-AVERAGE(OFFSET($H$3,0,0,'Données projet'!$E$14+1,1))</f>
        <v>79.532301588639172</v>
      </c>
      <c r="DU10" s="62">
        <f t="shared" si="44"/>
        <v>409.2657792678549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20.666666666666668</v>
      </c>
      <c r="EJ10" s="13">
        <f>IF('Données projet'!$A$192&gt;35,EJ9+EI10-ER9,IF(A10&lt;'Données projet'!$A$192,$EG$205^A10,IF(A10='Données projet'!$A$192,'Données projet'!$B$192,EJ9+EI10-ER9)))</f>
        <v>14.542378939342015</v>
      </c>
      <c r="EK10" s="18">
        <f>EJ10*VLOOKUP('Données projet'!$B$15,Paramètres!$A$1:$I$89,3,0)*VLOOKUP('Données projet'!$B$15,Paramètres!$A$1:$I$89,5,0)</f>
        <v>8.1670000123344764</v>
      </c>
      <c r="EL10" s="14">
        <f t="shared" si="45"/>
        <v>2.9474777785153425</v>
      </c>
      <c r="EM10" s="22">
        <f t="shared" si="19"/>
        <v>19.3577154857301</v>
      </c>
      <c r="EN10" s="62">
        <f t="shared" si="20"/>
        <v>203.48189642146633</v>
      </c>
      <c r="EO10" s="62">
        <f ca="1">AVERAGE(OFFSET($EN$3,0,0,'Données projet'!$E$15+1,1))-AVERAGE(OFFSET($H$3,0,0,'Données projet'!$E$15+1,1))</f>
        <v>77.885897614924062</v>
      </c>
      <c r="EP10" s="62">
        <f t="shared" si="46"/>
        <v>401.02460251355296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195.38485976905437</v>
      </c>
      <c r="S11" s="62">
        <f ca="1">AVERAGE(OFFSET($R$3,0,0,'Données projet'!$E$9+1,1))-AVERAGE(OFFSET($H$3,0,0,'Données projet'!$E$9+1,1))</f>
        <v>426.87921482911719</v>
      </c>
      <c r="T11" s="62">
        <f t="shared" si="34"/>
        <v>313.49594674441835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196.37418100525147</v>
      </c>
      <c r="AN11" s="62">
        <f ca="1">AVERAGE(OFFSET($AM$3,0,0,'Données projet'!$E$10+1,1))-AVERAGE(OFFSET($H$3,0,0,'Données projet'!$E$10+1,1))</f>
        <v>462.95686283420531</v>
      </c>
      <c r="AO11" s="62">
        <f t="shared" si="36"/>
        <v>275.54513370838777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4.9000000000000004</v>
      </c>
      <c r="BD11" s="13">
        <f>IF('Données projet'!$A$88&gt;35,BD10+BC11-BL10,IF(A11&lt;'Données projet'!$A$88,$BA$205^A11,IF(A11='Données projet'!$A$88,'Données projet'!$B$88,BD10+BC11-BL10)))</f>
        <v>6.258790724605868</v>
      </c>
      <c r="BE11" s="14">
        <f>BD11*VLOOKUP('Données projet'!$B$11,Paramètres!$A$1:$I$89,3,0)*VLOOKUP('Données projet'!$B$11,Paramètres!$A$1:$I$89,5,0)</f>
        <v>3.7427568533143094</v>
      </c>
      <c r="BF11" s="14">
        <f t="shared" si="37"/>
        <v>1.4791907258188837</v>
      </c>
      <c r="BG11" s="22">
        <f t="shared" si="7"/>
        <v>9.0948920336569774</v>
      </c>
      <c r="BH11" s="62">
        <f t="shared" si="8"/>
        <v>195.84816489987753</v>
      </c>
      <c r="BI11" s="62">
        <f ca="1">AVERAGE(OFFSET($BH$3,0,0,'Données projet'!$E$11+1,1))-AVERAGE(OFFSET($H$3,0,0,'Données projet'!$E$11+1,1))</f>
        <v>505.16888119060701</v>
      </c>
      <c r="BJ11" s="62">
        <f t="shared" si="38"/>
        <v>351.15312364640613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20.666666666666668</v>
      </c>
      <c r="BY11" s="13">
        <f>IF('Données projet'!$A$114&gt;35,BY10+BX11-CG10,IF(A11&lt;'Données projet'!$A$114,$BV$205^A11,IF(A11='Données projet'!$A$114,'Données projet'!$B$114,BY10+BX11-CG10)))</f>
        <v>21.317007436888211</v>
      </c>
      <c r="BZ11" s="14">
        <f>BY11*VLOOKUP('Données projet'!$B$12,Paramètres!$A$1:$I$89,3,0)*VLOOKUP('Données projet'!$B$12,Paramètres!$A$1:$I$89,5,0)</f>
        <v>10.408668391283776</v>
      </c>
      <c r="CA11" s="14">
        <f t="shared" si="39"/>
        <v>3.6519299577997271</v>
      </c>
      <c r="CB11" s="22">
        <f t="shared" si="10"/>
        <v>24.488875457987096</v>
      </c>
      <c r="CC11" s="62">
        <f t="shared" si="11"/>
        <v>211.24214832420765</v>
      </c>
      <c r="CD11" s="62">
        <f ca="1">AVERAGE(OFFSET($CC$3,0,0,'Données projet'!$E$12+1,1))-AVERAGE(OFFSET($H$3,0,0,'Données projet'!$E$12+1,1))</f>
        <v>68.195506926115257</v>
      </c>
      <c r="CE11" s="62">
        <f t="shared" si="40"/>
        <v>352.52565673897004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20.666666666666668</v>
      </c>
      <c r="CT11" s="13">
        <f>IF('Données projet'!$A$140&gt;35,CT10+CS11-DB10,IF(A11&lt;'Données projet'!$A$140,$CQ$205^A11,IF(A11='Données projet'!$A$140,'Données projet'!$B$140,CT10+CS11-DB10)))</f>
        <v>21.317007436888211</v>
      </c>
      <c r="CU11" s="18">
        <f>CT11*VLOOKUP('Données projet'!$B$13,Paramètres!$A$1:$I$89,3,0)*VLOOKUP('Données projet'!$B$13,Paramètres!$A$1:$I$89,5,0)</f>
        <v>11.971631376556418</v>
      </c>
      <c r="CV11" s="14">
        <f t="shared" si="41"/>
        <v>4.1324570872230684</v>
      </c>
      <c r="CW11" s="22">
        <f t="shared" si="13"/>
        <v>28.047954074415937</v>
      </c>
      <c r="CX11" s="62">
        <f t="shared" si="14"/>
        <v>214.8012269406365</v>
      </c>
      <c r="CY11" s="62">
        <f ca="1">AVERAGE(OFFSET($CX$3,0,0,'Données projet'!$E$13+1,1))-AVERAGE(OFFSET($H$3,0,0,'Données projet'!$E$13+1,1))</f>
        <v>77.885897614924062</v>
      </c>
      <c r="CZ11" s="62">
        <f t="shared" si="42"/>
        <v>401.02460251355296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20.666666666666668</v>
      </c>
      <c r="DO11" s="13">
        <f>IF('Données projet'!$A$166&gt;35,DO10+DN11-DW10,IF(A11&lt;'Données projet'!$A$166,$DL$205^A11,IF(A11='Données projet'!$A$166,'Données projet'!$B$166,DO10+DN11-DW10)))</f>
        <v>21.317007436888211</v>
      </c>
      <c r="DP11" s="18">
        <f>DO11*VLOOKUP('Données projet'!$B$14,Paramètres!$A$1:$I$89,3,0)*VLOOKUP('Données projet'!$B$14,Paramètres!$A$1:$I$89,5,0)</f>
        <v>12.237667629368785</v>
      </c>
      <c r="DQ11" s="14">
        <f t="shared" si="43"/>
        <v>4.2134960906681478</v>
      </c>
      <c r="DR11" s="22">
        <f t="shared" si="16"/>
        <v>28.652443479064317</v>
      </c>
      <c r="DS11" s="62">
        <f t="shared" si="17"/>
        <v>215.40571634528487</v>
      </c>
      <c r="DT11" s="62">
        <f ca="1">AVERAGE(OFFSET($DS$3,0,0,'Données projet'!$E$14+1,1))-AVERAGE(OFFSET($H$3,0,0,'Données projet'!$E$14+1,1))</f>
        <v>79.532301588639172</v>
      </c>
      <c r="DU11" s="62">
        <f t="shared" si="44"/>
        <v>409.2657792678549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20.666666666666668</v>
      </c>
      <c r="EJ11" s="13">
        <f>IF('Données projet'!$A$192&gt;35,EJ10+EI11-ER10,IF(A11&lt;'Données projet'!$A$192,$EG$205^A11,IF(A11='Données projet'!$A$192,'Données projet'!$B$192,EJ10+EI11-ER10)))</f>
        <v>21.317007436888211</v>
      </c>
      <c r="EK11" s="18">
        <f>EJ11*VLOOKUP('Données projet'!$B$15,Paramètres!$A$1:$I$89,3,0)*VLOOKUP('Données projet'!$B$15,Paramètres!$A$1:$I$89,5,0)</f>
        <v>11.971631376556418</v>
      </c>
      <c r="EL11" s="14">
        <f t="shared" si="45"/>
        <v>4.1324570872230684</v>
      </c>
      <c r="EM11" s="22">
        <f t="shared" si="19"/>
        <v>28.047954074415937</v>
      </c>
      <c r="EN11" s="62">
        <f t="shared" si="20"/>
        <v>214.8012269406365</v>
      </c>
      <c r="EO11" s="62">
        <f ca="1">AVERAGE(OFFSET($EN$3,0,0,'Données projet'!$E$15+1,1))-AVERAGE(OFFSET($H$3,0,0,'Données projet'!$E$15+1,1))</f>
        <v>77.885897614924062</v>
      </c>
      <c r="EP11" s="62">
        <f t="shared" si="46"/>
        <v>401.02460251355296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200.38402613222581</v>
      </c>
      <c r="S12" s="62">
        <f ca="1">AVERAGE(OFFSET($R$3,0,0,'Données projet'!$E$9+1,1))-AVERAGE(OFFSET($H$3,0,0,'Données projet'!$E$9+1,1))</f>
        <v>426.87921482911719</v>
      </c>
      <c r="T12" s="62">
        <f t="shared" si="34"/>
        <v>313.49594674441835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200.70424949241092</v>
      </c>
      <c r="AN12" s="62">
        <f ca="1">AVERAGE(OFFSET($AM$3,0,0,'Données projet'!$E$10+1,1))-AVERAGE(OFFSET($H$3,0,0,'Données projet'!$E$10+1,1))</f>
        <v>462.95686283420531</v>
      </c>
      <c r="AO12" s="62">
        <f t="shared" si="36"/>
        <v>275.54513370838777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4.9000000000000004</v>
      </c>
      <c r="BD12" s="13">
        <f>IF('Données projet'!$A$88&gt;35,BD11+BC12-BL11,IF(A12&lt;'Données projet'!$A$88,$BA$205^A12,IF(A12='Données projet'!$A$88,'Données projet'!$B$88,BD11+BC12-BL11)))</f>
        <v>7.871395498102471</v>
      </c>
      <c r="BE12" s="14">
        <f>BD12*VLOOKUP('Données projet'!$B$11,Paramètres!$A$1:$I$89,3,0)*VLOOKUP('Données projet'!$B$11,Paramètres!$A$1:$I$89,5,0)</f>
        <v>4.7070945078652784</v>
      </c>
      <c r="BF12" s="14">
        <f t="shared" si="37"/>
        <v>1.8113256754218214</v>
      </c>
      <c r="BG12" s="22">
        <f t="shared" si="7"/>
        <v>11.352915152558365</v>
      </c>
      <c r="BH12" s="62">
        <f t="shared" si="8"/>
        <v>200.71087390511443</v>
      </c>
      <c r="BI12" s="62">
        <f ca="1">AVERAGE(OFFSET($BH$3,0,0,'Données projet'!$E$11+1,1))-AVERAGE(OFFSET($H$3,0,0,'Données projet'!$E$11+1,1))</f>
        <v>505.16888119060701</v>
      </c>
      <c r="BJ12" s="62">
        <f t="shared" si="38"/>
        <v>351.15312364640613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20.666666666666668</v>
      </c>
      <c r="BY12" s="13">
        <f>IF('Données projet'!$A$114&gt;35,BY11+BX12-CG11,IF(A12&lt;'Données projet'!$A$114,$BV$205^A12,IF(A12='Données projet'!$A$114,'Données projet'!$B$114,BY11+BX12-CG11)))</f>
        <v>31.247625162276773</v>
      </c>
      <c r="BZ12" s="14">
        <f>BY12*VLOOKUP('Données projet'!$B$12,Paramètres!$A$1:$I$89,3,0)*VLOOKUP('Données projet'!$B$12,Paramètres!$A$1:$I$89,5,0)</f>
        <v>15.257590414236503</v>
      </c>
      <c r="CA12" s="14">
        <f t="shared" si="39"/>
        <v>5.1201213275145898</v>
      </c>
      <c r="CB12" s="22">
        <f t="shared" si="10"/>
        <v>35.491181283549814</v>
      </c>
      <c r="CC12" s="62">
        <f t="shared" si="11"/>
        <v>224.84914003610589</v>
      </c>
      <c r="CD12" s="62">
        <f ca="1">AVERAGE(OFFSET($CC$3,0,0,'Données projet'!$E$12+1,1))-AVERAGE(OFFSET($H$3,0,0,'Données projet'!$E$12+1,1))</f>
        <v>68.195506926115257</v>
      </c>
      <c r="CE12" s="62">
        <f t="shared" si="40"/>
        <v>352.52565673897004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20.666666666666668</v>
      </c>
      <c r="CT12" s="13">
        <f>IF('Données projet'!$A$140&gt;35,CT11+CS12-DB11,IF(A12&lt;'Données projet'!$A$140,$CQ$205^A12,IF(A12='Données projet'!$A$140,'Données projet'!$B$140,CT11+CS12-DB11)))</f>
        <v>31.247625162276773</v>
      </c>
      <c r="CU12" s="18">
        <f>CT12*VLOOKUP('Données projet'!$B$13,Paramètres!$A$1:$I$89,3,0)*VLOOKUP('Données projet'!$B$13,Paramètres!$A$1:$I$89,5,0)</f>
        <v>17.548666291134634</v>
      </c>
      <c r="CV12" s="14">
        <f t="shared" si="41"/>
        <v>5.7938355641622632</v>
      </c>
      <c r="CW12" s="22">
        <f t="shared" si="13"/>
        <v>40.654857397975427</v>
      </c>
      <c r="CX12" s="62">
        <f t="shared" si="14"/>
        <v>230.01281615053151</v>
      </c>
      <c r="CY12" s="62">
        <f ca="1">AVERAGE(OFFSET($CX$3,0,0,'Données projet'!$E$13+1,1))-AVERAGE(OFFSET($H$3,0,0,'Données projet'!$E$13+1,1))</f>
        <v>77.885897614924062</v>
      </c>
      <c r="CZ12" s="62">
        <f t="shared" si="42"/>
        <v>401.02460251355296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20.666666666666668</v>
      </c>
      <c r="DO12" s="13">
        <f>IF('Données projet'!$A$166&gt;35,DO11+DN12-DW11,IF(A12&lt;'Données projet'!$A$166,$DL$205^A12,IF(A12='Données projet'!$A$166,'Données projet'!$B$166,DO11+DN12-DW11)))</f>
        <v>31.247625162276773</v>
      </c>
      <c r="DP12" s="18">
        <f>DO12*VLOOKUP('Données projet'!$B$14,Paramètres!$A$1:$I$89,3,0)*VLOOKUP('Données projet'!$B$14,Paramètres!$A$1:$I$89,5,0)</f>
        <v>17.93863665315985</v>
      </c>
      <c r="DQ12" s="14">
        <f t="shared" si="43"/>
        <v>5.907454810613987</v>
      </c>
      <c r="DR12" s="22">
        <f t="shared" si="16"/>
        <v>41.531942632739437</v>
      </c>
      <c r="DS12" s="62">
        <f t="shared" si="17"/>
        <v>230.8899013852955</v>
      </c>
      <c r="DT12" s="62">
        <f ca="1">AVERAGE(OFFSET($DS$3,0,0,'Données projet'!$E$14+1,1))-AVERAGE(OFFSET($H$3,0,0,'Données projet'!$E$14+1,1))</f>
        <v>79.532301588639172</v>
      </c>
      <c r="DU12" s="62">
        <f t="shared" si="44"/>
        <v>409.2657792678549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20.666666666666668</v>
      </c>
      <c r="EJ12" s="13">
        <f>IF('Données projet'!$A$192&gt;35,EJ11+EI12-ER11,IF(A12&lt;'Données projet'!$A$192,$EG$205^A12,IF(A12='Données projet'!$A$192,'Données projet'!$B$192,EJ11+EI12-ER11)))</f>
        <v>31.247625162276773</v>
      </c>
      <c r="EK12" s="18">
        <f>EJ12*VLOOKUP('Données projet'!$B$15,Paramètres!$A$1:$I$89,3,0)*VLOOKUP('Données projet'!$B$15,Paramètres!$A$1:$I$89,5,0)</f>
        <v>17.548666291134634</v>
      </c>
      <c r="EL12" s="14">
        <f t="shared" si="45"/>
        <v>5.7938355641622632</v>
      </c>
      <c r="EM12" s="22">
        <f t="shared" si="19"/>
        <v>40.654857397975427</v>
      </c>
      <c r="EN12" s="62">
        <f t="shared" si="20"/>
        <v>230.01281615053151</v>
      </c>
      <c r="EO12" s="62">
        <f ca="1">AVERAGE(OFFSET($EN$3,0,0,'Données projet'!$E$15+1,1))-AVERAGE(OFFSET($H$3,0,0,'Données projet'!$E$15+1,1))</f>
        <v>77.885897614924062</v>
      </c>
      <c r="EP12" s="62">
        <f t="shared" si="46"/>
        <v>401.02460251355296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206.02591806621032</v>
      </c>
      <c r="S13" s="62">
        <f ca="1">AVERAGE(OFFSET($R$3,0,0,'Données projet'!$E$9+1,1))-AVERAGE(OFFSET($H$3,0,0,'Données projet'!$E$9+1,1))</f>
        <v>426.87921482911719</v>
      </c>
      <c r="T13" s="62">
        <f t="shared" si="34"/>
        <v>313.49594674441835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205.32081760239521</v>
      </c>
      <c r="AN13" s="62">
        <f ca="1">AVERAGE(OFFSET($AM$3,0,0,'Données projet'!$E$10+1,1))-AVERAGE(OFFSET($H$3,0,0,'Données projet'!$E$10+1,1))</f>
        <v>462.95686283420531</v>
      </c>
      <c r="AO13" s="62">
        <f t="shared" si="36"/>
        <v>275.54513370838777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4.9000000000000004</v>
      </c>
      <c r="BD13" s="13">
        <f>IF('Données projet'!$A$88&gt;35,BD12+BC13-BL12,IF(A13&lt;'Données projet'!$A$88,$BA$205^A13,IF(A13='Données projet'!$A$88,'Données projet'!$B$88,BD12+BC13-BL12)))</f>
        <v>9.8994949366116654</v>
      </c>
      <c r="BE13" s="14">
        <f>BD13*VLOOKUP('Données projet'!$B$11,Paramètres!$A$1:$I$89,3,0)*VLOOKUP('Données projet'!$B$11,Paramètres!$A$1:$I$89,5,0)</f>
        <v>5.9198979720937759</v>
      </c>
      <c r="BF13" s="14">
        <f t="shared" si="37"/>
        <v>2.2180376371857005</v>
      </c>
      <c r="BG13" s="22">
        <f t="shared" si="7"/>
        <v>14.173571186161757</v>
      </c>
      <c r="BH13" s="62">
        <f t="shared" si="8"/>
        <v>206.11223317120664</v>
      </c>
      <c r="BI13" s="62">
        <f ca="1">AVERAGE(OFFSET($BH$3,0,0,'Données projet'!$E$11+1,1))-AVERAGE(OFFSET($H$3,0,0,'Données projet'!$E$11+1,1))</f>
        <v>505.16888119060701</v>
      </c>
      <c r="BJ13" s="62">
        <f t="shared" si="38"/>
        <v>351.15312364640613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20.666666666666668</v>
      </c>
      <c r="BY13" s="13">
        <f>IF('Données projet'!$A$114&gt;35,BY12+BX13-CG12,IF(A13&lt;'Données projet'!$A$114,$BV$205^A13,IF(A13='Données projet'!$A$114,'Données projet'!$B$114,BY12+BX13-CG12)))</f>
        <v>45.804462993830356</v>
      </c>
      <c r="BZ13" s="14">
        <f>BY13*VLOOKUP('Données projet'!$B$12,Paramètres!$A$1:$I$89,3,0)*VLOOKUP('Données projet'!$B$12,Paramètres!$A$1:$I$89,5,0)</f>
        <v>22.365403190627489</v>
      </c>
      <c r="CA13" s="14">
        <f t="shared" si="39"/>
        <v>7.1785720732345579</v>
      </c>
      <c r="CB13" s="22">
        <f t="shared" si="10"/>
        <v>51.455756917893062</v>
      </c>
      <c r="CC13" s="62">
        <f t="shared" si="11"/>
        <v>243.39441890293796</v>
      </c>
      <c r="CD13" s="62">
        <f ca="1">AVERAGE(OFFSET($CC$3,0,0,'Données projet'!$E$12+1,1))-AVERAGE(OFFSET($H$3,0,0,'Données projet'!$E$12+1,1))</f>
        <v>68.195506926115257</v>
      </c>
      <c r="CE13" s="62">
        <f t="shared" si="40"/>
        <v>352.52565673897004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20.666666666666668</v>
      </c>
      <c r="CT13" s="13">
        <f>IF('Données projet'!$A$140&gt;35,CT12+CS13-DB12,IF(A13&lt;'Données projet'!$A$140,$CQ$205^A13,IF(A13='Données projet'!$A$140,'Données projet'!$B$140,CT12+CS13-DB12)))</f>
        <v>45.804462993830356</v>
      </c>
      <c r="CU13" s="18">
        <f>CT13*VLOOKUP('Données projet'!$B$13,Paramètres!$A$1:$I$89,3,0)*VLOOKUP('Données projet'!$B$13,Paramètres!$A$1:$I$89,5,0)</f>
        <v>25.723786417335127</v>
      </c>
      <c r="CV13" s="14">
        <f t="shared" si="41"/>
        <v>8.123140745572476</v>
      </c>
      <c r="CW13" s="22">
        <f t="shared" si="13"/>
        <v>58.950064808730751</v>
      </c>
      <c r="CX13" s="62">
        <f t="shared" si="14"/>
        <v>250.88872679377565</v>
      </c>
      <c r="CY13" s="62">
        <f ca="1">AVERAGE(OFFSET($CX$3,0,0,'Données projet'!$E$13+1,1))-AVERAGE(OFFSET($H$3,0,0,'Données projet'!$E$13+1,1))</f>
        <v>77.885897614924062</v>
      </c>
      <c r="CZ13" s="62">
        <f t="shared" si="42"/>
        <v>401.02460251355296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20.666666666666668</v>
      </c>
      <c r="DO13" s="13">
        <f>IF('Données projet'!$A$166&gt;35,DO12+DN13-DW12,IF(A13&lt;'Données projet'!$A$166,$DL$205^A13,IF(A13='Données projet'!$A$166,'Données projet'!$B$166,DO12+DN13-DW12)))</f>
        <v>45.804462993830356</v>
      </c>
      <c r="DP13" s="18">
        <f>DO13*VLOOKUP('Données projet'!$B$14,Paramètres!$A$1:$I$89,3,0)*VLOOKUP('Données projet'!$B$14,Paramètres!$A$1:$I$89,5,0)</f>
        <v>26.295426115498127</v>
      </c>
      <c r="DQ13" s="14">
        <f t="shared" si="43"/>
        <v>8.2824385233765465</v>
      </c>
      <c r="DR13" s="22">
        <f t="shared" si="16"/>
        <v>60.223114246040048</v>
      </c>
      <c r="DS13" s="62">
        <f t="shared" si="17"/>
        <v>252.16177623108493</v>
      </c>
      <c r="DT13" s="62">
        <f ca="1">AVERAGE(OFFSET($DS$3,0,0,'Données projet'!$E$14+1,1))-AVERAGE(OFFSET($H$3,0,0,'Données projet'!$E$14+1,1))</f>
        <v>79.532301588639172</v>
      </c>
      <c r="DU13" s="62">
        <f t="shared" si="44"/>
        <v>409.2657792678549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20.666666666666668</v>
      </c>
      <c r="EJ13" s="13">
        <f>IF('Données projet'!$A$192&gt;35,EJ12+EI13-ER12,IF(A13&lt;'Données projet'!$A$192,$EG$205^A13,IF(A13='Données projet'!$A$192,'Données projet'!$B$192,EJ12+EI13-ER12)))</f>
        <v>45.804462993830356</v>
      </c>
      <c r="EK13" s="18">
        <f>EJ13*VLOOKUP('Données projet'!$B$15,Paramètres!$A$1:$I$89,3,0)*VLOOKUP('Données projet'!$B$15,Paramètres!$A$1:$I$89,5,0)</f>
        <v>25.723786417335127</v>
      </c>
      <c r="EL13" s="14">
        <f t="shared" si="45"/>
        <v>8.123140745572476</v>
      </c>
      <c r="EM13" s="22">
        <f t="shared" si="19"/>
        <v>58.950064808730751</v>
      </c>
      <c r="EN13" s="62">
        <f t="shared" si="20"/>
        <v>250.88872679377565</v>
      </c>
      <c r="EO13" s="62">
        <f ca="1">AVERAGE(OFFSET($EN$3,0,0,'Données projet'!$E$15+1,1))-AVERAGE(OFFSET($H$3,0,0,'Données projet'!$E$15+1,1))</f>
        <v>77.885897614924062</v>
      </c>
      <c r="EP13" s="62">
        <f t="shared" si="46"/>
        <v>401.02460251355296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212.49722645475953</v>
      </c>
      <c r="S14" s="62">
        <f ca="1">AVERAGE(OFFSET($R$3,0,0,'Données projet'!$E$9+1,1))-AVERAGE(OFFSET($H$3,0,0,'Données projet'!$E$9+1,1))</f>
        <v>426.87921482911719</v>
      </c>
      <c r="T14" s="62">
        <f t="shared" si="34"/>
        <v>313.49594674441835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210.28035089737358</v>
      </c>
      <c r="AN14" s="62">
        <f ca="1">AVERAGE(OFFSET($AM$3,0,0,'Données projet'!$E$10+1,1))-AVERAGE(OFFSET($H$3,0,0,'Données projet'!$E$10+1,1))</f>
        <v>462.95686283420531</v>
      </c>
      <c r="AO14" s="62">
        <f t="shared" si="36"/>
        <v>275.54513370838777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4.9000000000000004</v>
      </c>
      <c r="BD14" s="13">
        <f>IF('Données projet'!$A$88&gt;35,BD13+BC14-BL13,IF(A14&lt;'Données projet'!$A$88,$BA$205^A14,IF(A14='Données projet'!$A$88,'Données projet'!$B$88,BD13+BC14-BL13)))</f>
        <v>12.450143055780197</v>
      </c>
      <c r="BE14" s="14">
        <f>BD14*VLOOKUP('Données projet'!$B$11,Paramètres!$A$1:$I$89,3,0)*VLOOKUP('Données projet'!$B$11,Paramètres!$A$1:$I$89,5,0)</f>
        <v>7.4451855473565587</v>
      </c>
      <c r="BF14" s="14">
        <f t="shared" si="37"/>
        <v>2.7160720055638961</v>
      </c>
      <c r="BG14" s="22">
        <f t="shared" si="7"/>
        <v>17.697523571336458</v>
      </c>
      <c r="BH14" s="62">
        <f t="shared" si="8"/>
        <v>212.19332218045059</v>
      </c>
      <c r="BI14" s="62">
        <f ca="1">AVERAGE(OFFSET($BH$3,0,0,'Données projet'!$E$11+1,1))-AVERAGE(OFFSET($H$3,0,0,'Données projet'!$E$11+1,1))</f>
        <v>505.16888119060701</v>
      </c>
      <c r="BJ14" s="62">
        <f t="shared" si="38"/>
        <v>351.15312364640613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20.666666666666668</v>
      </c>
      <c r="BY14" s="13">
        <f>IF('Données projet'!$A$114&gt;35,BY13+BX14-CG13,IF(A14&lt;'Données projet'!$A$114,$BV$205^A14,IF(A14='Données projet'!$A$114,'Données projet'!$B$114,BY13+BX14-CG13)))</f>
        <v>67.142665058783805</v>
      </c>
      <c r="BZ14" s="14">
        <f>BY14*VLOOKUP('Données projet'!$B$12,Paramètres!$A$1:$I$89,3,0)*VLOOKUP('Données projet'!$B$12,Paramètres!$A$1:$I$89,5,0)</f>
        <v>32.78442049490296</v>
      </c>
      <c r="CA14" s="14">
        <f t="shared" si="39"/>
        <v>10.064585136625597</v>
      </c>
      <c r="CB14" s="22">
        <f t="shared" si="10"/>
        <v>74.628684808245566</v>
      </c>
      <c r="CC14" s="62">
        <f t="shared" si="11"/>
        <v>269.12448341735967</v>
      </c>
      <c r="CD14" s="62">
        <f ca="1">AVERAGE(OFFSET($CC$3,0,0,'Données projet'!$E$12+1,1))-AVERAGE(OFFSET($H$3,0,0,'Données projet'!$E$12+1,1))</f>
        <v>68.195506926115257</v>
      </c>
      <c r="CE14" s="62">
        <f t="shared" si="40"/>
        <v>352.52565673897004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20.666666666666668</v>
      </c>
      <c r="CT14" s="13">
        <f>IF('Données projet'!$A$140&gt;35,CT13+CS14-DB13,IF(A14&lt;'Données projet'!$A$140,$CQ$205^A14,IF(A14='Données projet'!$A$140,'Données projet'!$B$140,CT13+CS14-DB13)))</f>
        <v>67.142665058783805</v>
      </c>
      <c r="CU14" s="18">
        <f>CT14*VLOOKUP('Données projet'!$B$13,Paramètres!$A$1:$I$89,3,0)*VLOOKUP('Données projet'!$B$13,Paramètres!$A$1:$I$89,5,0)</f>
        <v>37.707320697012982</v>
      </c>
      <c r="CV14" s="14">
        <f t="shared" si="41"/>
        <v>11.388900296123722</v>
      </c>
      <c r="CW14" s="22">
        <f t="shared" si="13"/>
        <v>85.509251563046419</v>
      </c>
      <c r="CX14" s="62">
        <f t="shared" si="14"/>
        <v>280.00505017216057</v>
      </c>
      <c r="CY14" s="62">
        <f ca="1">AVERAGE(OFFSET($CX$3,0,0,'Données projet'!$E$13+1,1))-AVERAGE(OFFSET($H$3,0,0,'Données projet'!$E$13+1,1))</f>
        <v>77.885897614924062</v>
      </c>
      <c r="CZ14" s="62">
        <f t="shared" si="42"/>
        <v>401.02460251355296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20.666666666666668</v>
      </c>
      <c r="DO14" s="13">
        <f>IF('Données projet'!$A$166&gt;35,DO13+DN14-DW13,IF(A14&lt;'Données projet'!$A$166,$DL$205^A14,IF(A14='Données projet'!$A$166,'Données projet'!$B$166,DO13+DN14-DW13)))</f>
        <v>67.142665058783805</v>
      </c>
      <c r="DP14" s="18">
        <f>DO14*VLOOKUP('Données projet'!$B$14,Paramètres!$A$1:$I$89,3,0)*VLOOKUP('Données projet'!$B$14,Paramètres!$A$1:$I$89,5,0)</f>
        <v>38.545261156946609</v>
      </c>
      <c r="DQ14" s="14">
        <f t="shared" si="43"/>
        <v>11.612240819897549</v>
      </c>
      <c r="DR14" s="22">
        <f t="shared" si="16"/>
        <v>87.357649276336915</v>
      </c>
      <c r="DS14" s="62">
        <f t="shared" si="17"/>
        <v>281.85344788545103</v>
      </c>
      <c r="DT14" s="62">
        <f ca="1">AVERAGE(OFFSET($DS$3,0,0,'Données projet'!$E$14+1,1))-AVERAGE(OFFSET($H$3,0,0,'Données projet'!$E$14+1,1))</f>
        <v>79.532301588639172</v>
      </c>
      <c r="DU14" s="62">
        <f t="shared" si="44"/>
        <v>409.2657792678549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20.666666666666668</v>
      </c>
      <c r="EJ14" s="13">
        <f>IF('Données projet'!$A$192&gt;35,EJ13+EI14-ER13,IF(A14&lt;'Données projet'!$A$192,$EG$205^A14,IF(A14='Données projet'!$A$192,'Données projet'!$B$192,EJ13+EI14-ER13)))</f>
        <v>67.142665058783805</v>
      </c>
      <c r="EK14" s="18">
        <f>EJ14*VLOOKUP('Données projet'!$B$15,Paramètres!$A$1:$I$89,3,0)*VLOOKUP('Données projet'!$B$15,Paramètres!$A$1:$I$89,5,0)</f>
        <v>37.707320697012982</v>
      </c>
      <c r="EL14" s="14">
        <f t="shared" si="45"/>
        <v>11.388900296123722</v>
      </c>
      <c r="EM14" s="22">
        <f t="shared" si="19"/>
        <v>85.509251563046419</v>
      </c>
      <c r="EN14" s="62">
        <f t="shared" si="20"/>
        <v>280.00505017216057</v>
      </c>
      <c r="EO14" s="62">
        <f ca="1">AVERAGE(OFFSET($EN$3,0,0,'Données projet'!$E$15+1,1))-AVERAGE(OFFSET($H$3,0,0,'Données projet'!$E$15+1,1))</f>
        <v>77.885897614924062</v>
      </c>
      <c r="EP14" s="62">
        <f t="shared" si="46"/>
        <v>401.02460251355296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220.03684505695335</v>
      </c>
      <c r="S15" s="62">
        <f ca="1">AVERAGE(OFFSET($R$3,0,0,'Données projet'!$E$9+1,1))-AVERAGE(OFFSET($H$3,0,0,'Données projet'!$E$9+1,1))</f>
        <v>426.87921482911719</v>
      </c>
      <c r="T15" s="62">
        <f t="shared" si="34"/>
        <v>313.49594674441835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215.64945595722966</v>
      </c>
      <c r="AN15" s="62">
        <f ca="1">AVERAGE(OFFSET($AM$3,0,0,'Données projet'!$E$10+1,1))-AVERAGE(OFFSET($H$3,0,0,'Données projet'!$E$10+1,1))</f>
        <v>462.95686283420531</v>
      </c>
      <c r="AO15" s="62">
        <f t="shared" si="36"/>
        <v>275.54513370838777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4.9000000000000004</v>
      </c>
      <c r="BD15" s="13">
        <f>IF('Données projet'!$A$88&gt;35,BD14+BC15-BL14,IF(A15&lt;'Données projet'!$A$88,$BA$205^A15,IF(A15='Données projet'!$A$88,'Données projet'!$B$88,BD14+BC15-BL14)))</f>
        <v>15.657976806082024</v>
      </c>
      <c r="BE15" s="14">
        <f>BD15*VLOOKUP('Données projet'!$B$11,Paramètres!$A$1:$I$89,3,0)*VLOOKUP('Données projet'!$B$11,Paramètres!$A$1:$I$89,5,0)</f>
        <v>9.3634701300370509</v>
      </c>
      <c r="BF15" s="14">
        <f t="shared" si="37"/>
        <v>3.3259341571714969</v>
      </c>
      <c r="BG15" s="22">
        <f t="shared" si="7"/>
        <v>22.100712466888222</v>
      </c>
      <c r="BH15" s="62">
        <f t="shared" si="8"/>
        <v>219.13048991962108</v>
      </c>
      <c r="BI15" s="62">
        <f ca="1">AVERAGE(OFFSET($BH$3,0,0,'Données projet'!$E$11+1,1))-AVERAGE(OFFSET($H$3,0,0,'Données projet'!$E$11+1,1))</f>
        <v>505.16888119060701</v>
      </c>
      <c r="BJ15" s="62">
        <f t="shared" si="38"/>
        <v>351.15312364640613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20.666666666666668</v>
      </c>
      <c r="BY15" s="13">
        <f>IF('Données projet'!$A$114&gt;35,BY14+BX15-CG14,IF(A15&lt;'Données projet'!$A$114,$BV$205^A15,IF(A15='Données projet'!$A$114,'Données projet'!$B$114,BY14+BX15-CG14)))</f>
        <v>98.42135845590532</v>
      </c>
      <c r="BZ15" s="14">
        <f>BY15*VLOOKUP('Données projet'!$B$12,Paramètres!$A$1:$I$89,3,0)*VLOOKUP('Données projet'!$B$12,Paramètres!$A$1:$I$89,5,0)</f>
        <v>48.057180906849453</v>
      </c>
      <c r="CA15" s="14">
        <f t="shared" si="39"/>
        <v>14.110866748843897</v>
      </c>
      <c r="CB15" s="22">
        <f t="shared" si="10"/>
        <v>108.27601633366591</v>
      </c>
      <c r="CC15" s="62">
        <f t="shared" si="11"/>
        <v>305.30579378639879</v>
      </c>
      <c r="CD15" s="62">
        <f ca="1">AVERAGE(OFFSET($CC$3,0,0,'Données projet'!$E$12+1,1))-AVERAGE(OFFSET($H$3,0,0,'Données projet'!$E$12+1,1))</f>
        <v>68.195506926115257</v>
      </c>
      <c r="CE15" s="62">
        <f t="shared" si="40"/>
        <v>352.52565673897004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20.666666666666668</v>
      </c>
      <c r="CT15" s="13">
        <f>IF('Données projet'!$A$140&gt;35,CT14+CS15-DB14,IF(A15&lt;'Données projet'!$A$140,$CQ$205^A15,IF(A15='Données projet'!$A$140,'Données projet'!$B$140,CT14+CS15-DB14)))</f>
        <v>98.42135845590532</v>
      </c>
      <c r="CU15" s="18">
        <f>CT15*VLOOKUP('Données projet'!$B$13,Paramètres!$A$1:$I$89,3,0)*VLOOKUP('Données projet'!$B$13,Paramètres!$A$1:$I$89,5,0)</f>
        <v>55.273434908836421</v>
      </c>
      <c r="CV15" s="14">
        <f t="shared" si="41"/>
        <v>15.967598496399797</v>
      </c>
      <c r="CW15" s="22">
        <f t="shared" si="13"/>
        <v>124.07813318078642</v>
      </c>
      <c r="CX15" s="62">
        <f t="shared" si="14"/>
        <v>321.10791063351928</v>
      </c>
      <c r="CY15" s="62">
        <f ca="1">AVERAGE(OFFSET($CX$3,0,0,'Données projet'!$E$13+1,1))-AVERAGE(OFFSET($H$3,0,0,'Données projet'!$E$13+1,1))</f>
        <v>77.885897614924062</v>
      </c>
      <c r="CZ15" s="62">
        <f t="shared" si="42"/>
        <v>401.02460251355296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20.666666666666668</v>
      </c>
      <c r="DO15" s="13">
        <f>IF('Données projet'!$A$166&gt;35,DO14+DN15-DW14,IF(A15&lt;'Données projet'!$A$166,$DL$205^A15,IF(A15='Données projet'!$A$166,'Données projet'!$B$166,DO14+DN15-DW14)))</f>
        <v>98.42135845590532</v>
      </c>
      <c r="DP15" s="18">
        <f>DO15*VLOOKUP('Données projet'!$B$14,Paramètres!$A$1:$I$89,3,0)*VLOOKUP('Données projet'!$B$14,Paramètres!$A$1:$I$89,5,0)</f>
        <v>56.501733462366126</v>
      </c>
      <c r="DQ15" s="14">
        <f t="shared" si="43"/>
        <v>16.280728975978217</v>
      </c>
      <c r="DR15" s="22">
        <f t="shared" si="16"/>
        <v>126.76278874678304</v>
      </c>
      <c r="DS15" s="62">
        <f t="shared" si="17"/>
        <v>323.79256619951593</v>
      </c>
      <c r="DT15" s="62">
        <f ca="1">AVERAGE(OFFSET($DS$3,0,0,'Données projet'!$E$14+1,1))-AVERAGE(OFFSET($H$3,0,0,'Données projet'!$E$14+1,1))</f>
        <v>79.532301588639172</v>
      </c>
      <c r="DU15" s="62">
        <f t="shared" si="44"/>
        <v>409.2657792678549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20.666666666666668</v>
      </c>
      <c r="EJ15" s="13">
        <f>IF('Données projet'!$A$192&gt;35,EJ14+EI15-ER14,IF(A15&lt;'Données projet'!$A$192,$EG$205^A15,IF(A15='Données projet'!$A$192,'Données projet'!$B$192,EJ14+EI15-ER14)))</f>
        <v>98.42135845590532</v>
      </c>
      <c r="EK15" s="18">
        <f>EJ15*VLOOKUP('Données projet'!$B$15,Paramètres!$A$1:$I$89,3,0)*VLOOKUP('Données projet'!$B$15,Paramètres!$A$1:$I$89,5,0)</f>
        <v>55.273434908836421</v>
      </c>
      <c r="EL15" s="14">
        <f t="shared" si="45"/>
        <v>15.967598496399797</v>
      </c>
      <c r="EM15" s="22">
        <f t="shared" si="19"/>
        <v>124.07813318078642</v>
      </c>
      <c r="EN15" s="62">
        <f t="shared" si="20"/>
        <v>321.10791063351928</v>
      </c>
      <c r="EO15" s="62">
        <f ca="1">AVERAGE(OFFSET($EN$3,0,0,'Données projet'!$E$15+1,1))-AVERAGE(OFFSET($H$3,0,0,'Données projet'!$E$15+1,1))</f>
        <v>77.885897614924062</v>
      </c>
      <c r="EP15" s="62">
        <f t="shared" si="46"/>
        <v>401.02460251355296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228.95054721438314</v>
      </c>
      <c r="S16" s="62">
        <f ca="1">AVERAGE(OFFSET($R$3,0,0,'Données projet'!$E$9+1,1))-AVERAGE(OFFSET($H$3,0,0,'Données projet'!$E$9+1,1))</f>
        <v>426.87921482911719</v>
      </c>
      <c r="T16" s="62">
        <f t="shared" si="34"/>
        <v>313.49594674441835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221.50672294291988</v>
      </c>
      <c r="AN16" s="62">
        <f ca="1">AVERAGE(OFFSET($AM$3,0,0,'Données projet'!$E$10+1,1))-AVERAGE(OFFSET($H$3,0,0,'Données projet'!$E$10+1,1))</f>
        <v>462.95686283420531</v>
      </c>
      <c r="AO16" s="62">
        <f t="shared" si="36"/>
        <v>275.54513370838777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4.9000000000000004</v>
      </c>
      <c r="BD16" s="13">
        <f>IF('Données projet'!$A$88&gt;35,BD15+BC16-BL15,IF(A16&lt;'Données projet'!$A$88,$BA$205^A16,IF(A16='Données projet'!$A$88,'Données projet'!$B$88,BD15+BC16-BL15)))</f>
        <v>19.692322936480405</v>
      </c>
      <c r="BE16" s="14">
        <f>BD16*VLOOKUP('Données projet'!$B$11,Paramètres!$A$1:$I$89,3,0)*VLOOKUP('Données projet'!$B$11,Paramètres!$A$1:$I$89,5,0)</f>
        <v>11.776009116015283</v>
      </c>
      <c r="BF16" s="14">
        <f t="shared" si="37"/>
        <v>4.0727337107336679</v>
      </c>
      <c r="BG16" s="22">
        <f t="shared" si="7"/>
        <v>27.603227089921088</v>
      </c>
      <c r="BH16" s="62">
        <f t="shared" si="8"/>
        <v>227.1442273415399</v>
      </c>
      <c r="BI16" s="62">
        <f ca="1">AVERAGE(OFFSET($BH$3,0,0,'Données projet'!$E$11+1,1))-AVERAGE(OFFSET($H$3,0,0,'Données projet'!$E$11+1,1))</f>
        <v>505.16888119060701</v>
      </c>
      <c r="BJ16" s="62">
        <f t="shared" si="38"/>
        <v>351.15312364640613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20.666666666666668</v>
      </c>
      <c r="BY16" s="13">
        <f>IF('Données projet'!$A$114&gt;35,BY15+BX16-CG15,IF(A16&lt;'Données projet'!$A$114,$BV$205^A16,IF(A16='Données projet'!$A$114,'Données projet'!$B$114,BY15+BX16-CG15)))</f>
        <v>144.27136295267675</v>
      </c>
      <c r="BZ16" s="14">
        <f>BY16*VLOOKUP('Données projet'!$B$12,Paramètres!$A$1:$I$89,3,0)*VLOOKUP('Données projet'!$B$12,Paramètres!$A$1:$I$89,5,0)</f>
        <v>70.444821102533012</v>
      </c>
      <c r="CA16" s="14">
        <f t="shared" si="39"/>
        <v>19.783881570938462</v>
      </c>
      <c r="CB16" s="22">
        <f t="shared" si="10"/>
        <v>157.14832382296282</v>
      </c>
      <c r="CC16" s="62">
        <f t="shared" si="11"/>
        <v>356.68932407458163</v>
      </c>
      <c r="CD16" s="62">
        <f ca="1">AVERAGE(OFFSET($CC$3,0,0,'Données projet'!$E$12+1,1))-AVERAGE(OFFSET($H$3,0,0,'Données projet'!$E$12+1,1))</f>
        <v>68.195506926115257</v>
      </c>
      <c r="CE16" s="62">
        <f t="shared" si="40"/>
        <v>352.52565673897004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20.666666666666668</v>
      </c>
      <c r="CT16" s="13">
        <f>IF('Données projet'!$A$140&gt;35,CT15+CS16-DB15,IF(A16&lt;'Données projet'!$A$140,$CQ$205^A16,IF(A16='Données projet'!$A$140,'Données projet'!$B$140,CT15+CS16-DB15)))</f>
        <v>144.27136295267675</v>
      </c>
      <c r="CU16" s="18">
        <f>CT16*VLOOKUP('Données projet'!$B$13,Paramètres!$A$1:$I$89,3,0)*VLOOKUP('Données projet'!$B$13,Paramètres!$A$1:$I$89,5,0)</f>
        <v>81.022797434223264</v>
      </c>
      <c r="CV16" s="14">
        <f t="shared" si="41"/>
        <v>22.387078217640354</v>
      </c>
      <c r="CW16" s="22">
        <f t="shared" si="13"/>
        <v>180.10553342699578</v>
      </c>
      <c r="CX16" s="62">
        <f t="shared" si="14"/>
        <v>379.64653367861456</v>
      </c>
      <c r="CY16" s="62">
        <f ca="1">AVERAGE(OFFSET($CX$3,0,0,'Données projet'!$E$13+1,1))-AVERAGE(OFFSET($H$3,0,0,'Données projet'!$E$13+1,1))</f>
        <v>77.885897614924062</v>
      </c>
      <c r="CZ16" s="62">
        <f t="shared" si="42"/>
        <v>401.02460251355296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20.666666666666668</v>
      </c>
      <c r="DO16" s="13">
        <f>IF('Données projet'!$A$166&gt;35,DO15+DN16-DW15,IF(A16&lt;'Données projet'!$A$166,$DL$205^A16,IF(A16='Données projet'!$A$166,'Données projet'!$B$166,DO15+DN16-DW15)))</f>
        <v>144.27136295267675</v>
      </c>
      <c r="DP16" s="18">
        <f>DO16*VLOOKUP('Données projet'!$B$14,Paramètres!$A$1:$I$89,3,0)*VLOOKUP('Données projet'!$B$14,Paramètres!$A$1:$I$89,5,0)</f>
        <v>82.823304043872668</v>
      </c>
      <c r="DQ16" s="14">
        <f t="shared" si="43"/>
        <v>22.82609705570982</v>
      </c>
      <c r="DR16" s="22">
        <f t="shared" si="16"/>
        <v>184.00604024843949</v>
      </c>
      <c r="DS16" s="62">
        <f t="shared" si="17"/>
        <v>383.5470405000583</v>
      </c>
      <c r="DT16" s="62">
        <f ca="1">AVERAGE(OFFSET($DS$3,0,0,'Données projet'!$E$14+1,1))-AVERAGE(OFFSET($H$3,0,0,'Données projet'!$E$14+1,1))</f>
        <v>79.532301588639172</v>
      </c>
      <c r="DU16" s="62">
        <f t="shared" si="44"/>
        <v>409.2657792678549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20.666666666666668</v>
      </c>
      <c r="EJ16" s="13">
        <f>IF('Données projet'!$A$192&gt;35,EJ15+EI16-ER15,IF(A16&lt;'Données projet'!$A$192,$EG$205^A16,IF(A16='Données projet'!$A$192,'Données projet'!$B$192,EJ15+EI16-ER15)))</f>
        <v>144.27136295267675</v>
      </c>
      <c r="EK16" s="18">
        <f>EJ16*VLOOKUP('Données projet'!$B$15,Paramètres!$A$1:$I$89,3,0)*VLOOKUP('Données projet'!$B$15,Paramètres!$A$1:$I$89,5,0)</f>
        <v>81.022797434223264</v>
      </c>
      <c r="EL16" s="14">
        <f t="shared" si="45"/>
        <v>22.387078217640354</v>
      </c>
      <c r="EM16" s="22">
        <f t="shared" si="19"/>
        <v>180.10553342699578</v>
      </c>
      <c r="EN16" s="62">
        <f t="shared" si="20"/>
        <v>379.64653367861456</v>
      </c>
      <c r="EO16" s="62">
        <f ca="1">AVERAGE(OFFSET($EN$3,0,0,'Données projet'!$E$15+1,1))-AVERAGE(OFFSET($H$3,0,0,'Données projet'!$E$15+1,1))</f>
        <v>77.885897614924062</v>
      </c>
      <c r="EP16" s="62">
        <f t="shared" si="46"/>
        <v>401.02460251355296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239.62979927584371</v>
      </c>
      <c r="S17" s="62">
        <f ca="1">AVERAGE(OFFSET($R$3,0,0,'Données projet'!$E$9+1,1))-AVERAGE(OFFSET($H$3,0,0,'Données projet'!$E$9+1,1))</f>
        <v>426.87921482911719</v>
      </c>
      <c r="T17" s="62">
        <f t="shared" si="34"/>
        <v>313.49594674441835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227.94490349432499</v>
      </c>
      <c r="AN17" s="62">
        <f ca="1">AVERAGE(OFFSET($AM$3,0,0,'Données projet'!$E$10+1,1))-AVERAGE(OFFSET($H$3,0,0,'Données projet'!$E$10+1,1))</f>
        <v>462.95686283420531</v>
      </c>
      <c r="AO17" s="62">
        <f t="shared" si="36"/>
        <v>275.54513370838777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4.9000000000000004</v>
      </c>
      <c r="BD17" s="13">
        <f>IF('Données projet'!$A$88&gt;35,BD16+BC17-BL16,IF(A17&lt;'Données projet'!$A$88,$BA$205^A17,IF(A17='Données projet'!$A$88,'Données projet'!$B$88,BD16+BC17-BL16)))</f>
        <v>24.7661359725609</v>
      </c>
      <c r="BE17" s="14">
        <f>BD17*VLOOKUP('Données projet'!$B$11,Paramètres!$A$1:$I$89,3,0)*VLOOKUP('Données projet'!$B$11,Paramètres!$A$1:$I$89,5,0)</f>
        <v>14.81014931159142</v>
      </c>
      <c r="BF17" s="14">
        <f t="shared" si="37"/>
        <v>4.9872183557153731</v>
      </c>
      <c r="BG17" s="22">
        <f t="shared" si="7"/>
        <v>34.48041535389266</v>
      </c>
      <c r="BH17" s="62">
        <f t="shared" si="8"/>
        <v>236.51027712616585</v>
      </c>
      <c r="BI17" s="62">
        <f ca="1">AVERAGE(OFFSET($BH$3,0,0,'Données projet'!$E$11+1,1))-AVERAGE(OFFSET($H$3,0,0,'Données projet'!$E$11+1,1))</f>
        <v>505.16888119060701</v>
      </c>
      <c r="BJ17" s="62">
        <f t="shared" si="38"/>
        <v>351.15312364640613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20.666666666666668</v>
      </c>
      <c r="BY17" s="13">
        <f>IF('Données projet'!$A$114&gt;35,BY16+BX17-CG16,IF(A17&lt;'Données projet'!$A$114,$BV$205^A17,IF(A17='Données projet'!$A$114,'Données projet'!$B$114,BY16+BX17-CG16)))</f>
        <v>211.48078521541817</v>
      </c>
      <c r="BZ17" s="14">
        <f>BY17*VLOOKUP('Données projet'!$B$12,Paramètres!$A$1:$I$89,3,0)*VLOOKUP('Données projet'!$B$12,Paramètres!$A$1:$I$89,5,0)</f>
        <v>103.26183780498438</v>
      </c>
      <c r="CA17" s="14">
        <f t="shared" si="39"/>
        <v>27.73762781403817</v>
      </c>
      <c r="CB17" s="22">
        <f t="shared" si="10"/>
        <v>228.15740261979758</v>
      </c>
      <c r="CC17" s="62">
        <f t="shared" si="11"/>
        <v>430.1872643920708</v>
      </c>
      <c r="CD17" s="62">
        <f ca="1">AVERAGE(OFFSET($CC$3,0,0,'Données projet'!$E$12+1,1))-AVERAGE(OFFSET($H$3,0,0,'Données projet'!$E$12+1,1))</f>
        <v>68.195506926115257</v>
      </c>
      <c r="CE17" s="62">
        <f t="shared" si="40"/>
        <v>352.52565673897004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20.666666666666668</v>
      </c>
      <c r="CT17" s="13">
        <f>IF('Données projet'!$A$140&gt;35,CT16+CS17-DB16,IF(A17&lt;'Données projet'!$A$140,$CQ$205^A17,IF(A17='Données projet'!$A$140,'Données projet'!$B$140,CT16+CS17-DB16)))</f>
        <v>211.48078521541817</v>
      </c>
      <c r="CU17" s="18">
        <f>CT17*VLOOKUP('Données projet'!$B$13,Paramètres!$A$1:$I$89,3,0)*VLOOKUP('Données projet'!$B$13,Paramètres!$A$1:$I$89,5,0)</f>
        <v>118.76760897697883</v>
      </c>
      <c r="CV17" s="14">
        <f t="shared" si="41"/>
        <v>31.387391863325462</v>
      </c>
      <c r="CW17" s="22">
        <f t="shared" si="13"/>
        <v>261.5199597968633</v>
      </c>
      <c r="CX17" s="62">
        <f t="shared" si="14"/>
        <v>463.5498215691365</v>
      </c>
      <c r="CY17" s="62">
        <f ca="1">AVERAGE(OFFSET($CX$3,0,0,'Données projet'!$E$13+1,1))-AVERAGE(OFFSET($H$3,0,0,'Données projet'!$E$13+1,1))</f>
        <v>77.885897614924062</v>
      </c>
      <c r="CZ17" s="62">
        <f t="shared" si="42"/>
        <v>401.02460251355296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20.666666666666668</v>
      </c>
      <c r="DO17" s="13">
        <f>IF('Données projet'!$A$166&gt;35,DO16+DN17-DW16,IF(A17&lt;'Données projet'!$A$166,$DL$205^A17,IF(A17='Données projet'!$A$166,'Données projet'!$B$166,DO16+DN17-DW16)))</f>
        <v>211.48078521541817</v>
      </c>
      <c r="DP17" s="18">
        <f>DO17*VLOOKUP('Données projet'!$B$14,Paramètres!$A$1:$I$89,3,0)*VLOOKUP('Données projet'!$B$14,Paramètres!$A$1:$I$89,5,0)</f>
        <v>121.40688917646727</v>
      </c>
      <c r="DQ17" s="14">
        <f t="shared" si="43"/>
        <v>32.00291016240439</v>
      </c>
      <c r="DR17" s="22">
        <f t="shared" si="16"/>
        <v>267.18873384853481</v>
      </c>
      <c r="DS17" s="62">
        <f t="shared" si="17"/>
        <v>469.218595620808</v>
      </c>
      <c r="DT17" s="62">
        <f ca="1">AVERAGE(OFFSET($DS$3,0,0,'Données projet'!$E$14+1,1))-AVERAGE(OFFSET($H$3,0,0,'Données projet'!$E$14+1,1))</f>
        <v>79.532301588639172</v>
      </c>
      <c r="DU17" s="62">
        <f t="shared" si="44"/>
        <v>409.2657792678549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20.666666666666668</v>
      </c>
      <c r="EJ17" s="13">
        <f>IF('Données projet'!$A$192&gt;35,EJ16+EI17-ER16,IF(A17&lt;'Données projet'!$A$192,$EG$205^A17,IF(A17='Données projet'!$A$192,'Données projet'!$B$192,EJ16+EI17-ER16)))</f>
        <v>211.48078521541817</v>
      </c>
      <c r="EK17" s="18">
        <f>EJ17*VLOOKUP('Données projet'!$B$15,Paramètres!$A$1:$I$89,3,0)*VLOOKUP('Données projet'!$B$15,Paramètres!$A$1:$I$89,5,0)</f>
        <v>118.76760897697883</v>
      </c>
      <c r="EL17" s="14">
        <f t="shared" si="45"/>
        <v>31.387391863325462</v>
      </c>
      <c r="EM17" s="22">
        <f t="shared" si="19"/>
        <v>261.5199597968633</v>
      </c>
      <c r="EN17" s="62">
        <f t="shared" si="20"/>
        <v>463.5498215691365</v>
      </c>
      <c r="EO17" s="62">
        <f ca="1">AVERAGE(OFFSET($EN$3,0,0,'Données projet'!$E$15+1,1))-AVERAGE(OFFSET($H$3,0,0,'Données projet'!$E$15+1,1))</f>
        <v>77.885897614924062</v>
      </c>
      <c r="EP17" s="62">
        <f t="shared" si="46"/>
        <v>401.02460251355296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252.57587954511902</v>
      </c>
      <c r="S18" s="62">
        <f ca="1">AVERAGE(OFFSET($R$3,0,0,'Données projet'!$E$9+1,1))-AVERAGE(OFFSET($H$3,0,0,'Données projet'!$E$9+1,1))</f>
        <v>426.87921482911719</v>
      </c>
      <c r="T18" s="62">
        <f t="shared" si="34"/>
        <v>313.49594674441835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235.07348513566521</v>
      </c>
      <c r="AN18" s="62">
        <f ca="1">AVERAGE(OFFSET($AM$3,0,0,'Données projet'!$E$10+1,1))-AVERAGE(OFFSET($H$3,0,0,'Données projet'!$E$10+1,1))</f>
        <v>462.95686283420531</v>
      </c>
      <c r="AO18" s="62">
        <f t="shared" si="36"/>
        <v>275.54513370838777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4.9000000000000004</v>
      </c>
      <c r="BD18" s="13">
        <f>IF('Données projet'!$A$88&gt;35,BD17+BC18-BL17,IF(A18&lt;'Données projet'!$A$88,$BA$205^A18,IF(A18='Données projet'!$A$88,'Données projet'!$B$88,BD17+BC18-BL17)))</f>
        <v>31.147239103778414</v>
      </c>
      <c r="BE18" s="14">
        <f>BD18*VLOOKUP('Données projet'!$B$11,Paramètres!$A$1:$I$89,3,0)*VLOOKUP('Données projet'!$B$11,Paramètres!$A$1:$I$89,5,0)</f>
        <v>18.626048984059491</v>
      </c>
      <c r="BF18" s="14">
        <f t="shared" si="37"/>
        <v>6.1070398150592098</v>
      </c>
      <c r="BG18" s="22">
        <f t="shared" si="7"/>
        <v>43.076796325131738</v>
      </c>
      <c r="BH18" s="62">
        <f t="shared" si="8"/>
        <v>247.57354625801278</v>
      </c>
      <c r="BI18" s="62">
        <f ca="1">AVERAGE(OFFSET($BH$3,0,0,'Données projet'!$E$11+1,1))-AVERAGE(OFFSET($H$3,0,0,'Données projet'!$E$11+1,1))</f>
        <v>505.16888119060701</v>
      </c>
      <c r="BJ18" s="62">
        <f t="shared" si="38"/>
        <v>351.15312364640613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310</v>
      </c>
      <c r="BW18" s="13">
        <f>VLOOKUP(A18,'Données projet'!$A$113:$I$133,9,0)</f>
        <v>20.666666666666668</v>
      </c>
      <c r="BX18" s="13">
        <f t="array" ref="BX18">INDEX(BW:BW,MIN(IF(ISNUMBER(BW18:BW214),ROW(BW18:BW214),"")))</f>
        <v>20.666666666666668</v>
      </c>
      <c r="BY18" s="13">
        <f>IF('Données projet'!$A$114&gt;35,BY17+BX18-CG17,IF(A18&lt;'Données projet'!$A$114,$BV$205^A18,IF(A18='Données projet'!$A$114,'Données projet'!$B$114,BY17+BX18-CG17)))</f>
        <v>310</v>
      </c>
      <c r="BZ18" s="14">
        <f>BY18*VLOOKUP('Données projet'!$B$12,Paramètres!$A$1:$I$89,3,0)*VLOOKUP('Données projet'!$B$12,Paramètres!$A$1:$I$89,5,0)</f>
        <v>151.36680000000001</v>
      </c>
      <c r="CA18" s="14">
        <f t="shared" si="39"/>
        <v>38.889031658998476</v>
      </c>
      <c r="CB18" s="22">
        <f t="shared" si="10"/>
        <v>331.36224013942234</v>
      </c>
      <c r="CC18" s="62">
        <f t="shared" si="11"/>
        <v>535.85899007230341</v>
      </c>
      <c r="CD18" s="62">
        <f ca="1">AVERAGE(OFFSET($CC$3,0,0,'Données projet'!$E$12+1,1))-AVERAGE(OFFSET($H$3,0,0,'Données projet'!$E$12+1,1))</f>
        <v>68.195506926115257</v>
      </c>
      <c r="CE18" s="62">
        <f t="shared" si="40"/>
        <v>352.52565673897004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310</v>
      </c>
      <c r="CH18" s="17">
        <f>IF(ISNA(VLOOKUP(A18,'Données projet'!$A$113:$I$133,5,0)),0%,VLOOKUP(A18,'Données projet'!$A$113:$I$133,5,0)*VLOOKUP('Données projet'!$B$12,Paramètres!$A$1:$I$89,7,0))</f>
        <v>0.46199999999999997</v>
      </c>
      <c r="CI18" s="17">
        <f>IF(ISNA(VLOOKUP(A18,'Données projet'!$A$113:$I$133,6,0)),0%,VLOOKUP(A18,'Données projet'!$A$113:$I$133,6,0)*VLOOKUP('Données projet'!$B$12,Paramètres!$A$1:$I$89,7,0))</f>
        <v>0.126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77.307159396245936</v>
      </c>
      <c r="CL18" s="23">
        <f>EXP(-LN(2)/25)*CL17+(1-EXP(-LN(2)/25))/(LN(2)/25)*Calculateur!CG18*Calculateur!CI18*VLOOKUP('Données projet'!$B$12,Paramètres!$A$1:$I$89,3,0)*0.475*44/12</f>
        <v>21.000755905463411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98.307915301709343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310</v>
      </c>
      <c r="CR18" s="13">
        <f>VLOOKUP(A18,'Données projet'!$A$139:$I$159,9,0)</f>
        <v>20.666666666666668</v>
      </c>
      <c r="CS18" s="13">
        <f t="array" ref="CS18">INDEX(CR:CR,MIN(IF(ISNUMBER(CR18:CR214),ROW(CR18:CR214),"")))</f>
        <v>20.666666666666668</v>
      </c>
      <c r="CT18" s="13">
        <f>IF('Données projet'!$A$140&gt;35,CT17+CS18-DB17,IF(A18&lt;'Données projet'!$A$140,$CQ$205^A18,IF(A18='Données projet'!$A$140,'Données projet'!$B$140,CT17+CS18-DB17)))</f>
        <v>310</v>
      </c>
      <c r="CU18" s="18">
        <f>CT18*VLOOKUP('Données projet'!$B$13,Paramètres!$A$1:$I$89,3,0)*VLOOKUP('Données projet'!$B$13,Paramètres!$A$1:$I$89,5,0)</f>
        <v>174.096</v>
      </c>
      <c r="CV18" s="14">
        <f t="shared" si="41"/>
        <v>44.00611631426144</v>
      </c>
      <c r="CW18" s="22">
        <f t="shared" si="13"/>
        <v>379.86118591400532</v>
      </c>
      <c r="CX18" s="62">
        <f t="shared" si="14"/>
        <v>584.35793584688633</v>
      </c>
      <c r="CY18" s="62">
        <f ca="1">AVERAGE(OFFSET($CX$3,0,0,'Données projet'!$E$13+1,1))-AVERAGE(OFFSET($H$3,0,0,'Données projet'!$E$13+1,1))</f>
        <v>77.885897614924062</v>
      </c>
      <c r="CZ18" s="62">
        <f t="shared" si="42"/>
        <v>401.02460251355296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310</v>
      </c>
      <c r="DC18" s="17">
        <f>IF(ISNA(VLOOKUP(A18,'Données projet'!$A$139:$I$159,5,0)),0%,VLOOKUP(A18,'Données projet'!$A$139:$I$159,5,0)*VLOOKUP('Données projet'!$B$13,Paramètres!$A$1:$I$89,7,0))</f>
        <v>0.46199999999999997</v>
      </c>
      <c r="DD18" s="17">
        <f>IF(ISNA(VLOOKUP(A18,'Données projet'!$A$139:$I$159,6,0)),0%,VLOOKUP(A18,'Données projet'!$A$139:$I$159,6,0)*VLOOKUP('Données projet'!$B$13,Paramètres!$A$1:$I$89,7,0))</f>
        <v>0.126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88.915582692167845</v>
      </c>
      <c r="DG18" s="23">
        <f>EXP(-LN(2)/25)*DG17+(1-EXP(-LN(2)/25))/(LN(2)/25)*Calculateur!DB18*Calculateur!DD18*VLOOKUP('Données projet'!$B$13,Paramètres!$A$1:$I$89,3,0)*0.475*44/12</f>
        <v>24.154224044622456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113.0698067367903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310</v>
      </c>
      <c r="DM18" s="13">
        <f>VLOOKUP(A18,'Données projet'!$A$165:$I$185,9,0)</f>
        <v>20.666666666666668</v>
      </c>
      <c r="DN18" s="13">
        <f t="array" ref="DN18">INDEX(DM:DM,MIN(IF(ISNUMBER(DM18:DM214),ROW(DM18:DM214),"")))</f>
        <v>20.666666666666668</v>
      </c>
      <c r="DO18" s="13">
        <f>IF('Données projet'!$A$166&gt;35,DO17+DN18-DW17,IF(A18&lt;'Données projet'!$A$166,$DL$205^A18,IF(A18='Données projet'!$A$166,'Données projet'!$B$166,DO17+DN18-DW17)))</f>
        <v>310</v>
      </c>
      <c r="DP18" s="18">
        <f>DO18*VLOOKUP('Données projet'!$B$14,Paramètres!$A$1:$I$89,3,0)*VLOOKUP('Données projet'!$B$14,Paramètres!$A$1:$I$89,5,0)</f>
        <v>177.9648</v>
      </c>
      <c r="DQ18" s="14">
        <f t="shared" si="43"/>
        <v>44.869092441133283</v>
      </c>
      <c r="DR18" s="22">
        <f t="shared" si="16"/>
        <v>388.10236266830719</v>
      </c>
      <c r="DS18" s="62">
        <f t="shared" si="17"/>
        <v>592.59911260118827</v>
      </c>
      <c r="DT18" s="62">
        <f ca="1">AVERAGE(OFFSET($DS$3,0,0,'Données projet'!$E$14+1,1))-AVERAGE(OFFSET($H$3,0,0,'Données projet'!$E$14+1,1))</f>
        <v>79.532301588639172</v>
      </c>
      <c r="DU18" s="62">
        <f t="shared" si="44"/>
        <v>409.2657792678549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310</v>
      </c>
      <c r="DX18" s="17">
        <f>IF(ISNA(VLOOKUP(A18,'Données projet'!$A$165:$I$185,5,0)),0%,VLOOKUP(A18,'Données projet'!$A$165:$I$185,5,0)*VLOOKUP('Données projet'!$B$14,Paramètres!$A$1:$I$89,7,0))</f>
        <v>0.46199999999999997</v>
      </c>
      <c r="DY18" s="17">
        <f>IF(ISNA(VLOOKUP(A18,'Données projet'!$A$165:$I$185,6,0)),0%,VLOOKUP(A18,'Données projet'!$A$165:$I$185,6,0)*VLOOKUP('Données projet'!$B$14,Paramètres!$A$1:$I$89,7,0))</f>
        <v>0.126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90.891484529771574</v>
      </c>
      <c r="EB18" s="23">
        <f>EXP(-LN(2)/25)*EB17+(1-EXP(-LN(2)/25))/(LN(2)/25)*Calculateur!DW18*Calculateur!DY18*VLOOKUP('Données projet'!$B$14,Paramètres!$A$1:$I$89,3,0)*0.475*44/12</f>
        <v>24.690984578947404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115.58246910871898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310</v>
      </c>
      <c r="EH18" s="13">
        <f>VLOOKUP(A18,'Données projet'!$A$191:$I$211,9,0)</f>
        <v>20.666666666666668</v>
      </c>
      <c r="EI18" s="13">
        <f t="array" ref="EI18">INDEX(EH:EH,MIN(IF(ISNUMBER(EH18:EH214),ROW(EH18:EH214),"")))</f>
        <v>20.666666666666668</v>
      </c>
      <c r="EJ18" s="13">
        <f>IF('Données projet'!$A$192&gt;35,EJ17+EI18-ER17,IF(A18&lt;'Données projet'!$A$192,$EG$205^A18,IF(A18='Données projet'!$A$192,'Données projet'!$B$192,EJ17+EI18-ER17)))</f>
        <v>310</v>
      </c>
      <c r="EK18" s="18">
        <f>EJ18*VLOOKUP('Données projet'!$B$15,Paramètres!$A$1:$I$89,3,0)*VLOOKUP('Données projet'!$B$15,Paramètres!$A$1:$I$89,5,0)</f>
        <v>174.096</v>
      </c>
      <c r="EL18" s="14">
        <f t="shared" si="45"/>
        <v>44.00611631426144</v>
      </c>
      <c r="EM18" s="22">
        <f t="shared" si="19"/>
        <v>379.86118591400532</v>
      </c>
      <c r="EN18" s="62">
        <f t="shared" si="20"/>
        <v>584.35793584688633</v>
      </c>
      <c r="EO18" s="62">
        <f ca="1">AVERAGE(OFFSET($EN$3,0,0,'Données projet'!$E$15+1,1))-AVERAGE(OFFSET($H$3,0,0,'Données projet'!$E$15+1,1))</f>
        <v>77.885897614924062</v>
      </c>
      <c r="EP18" s="62">
        <f t="shared" si="46"/>
        <v>401.02460251355296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310</v>
      </c>
      <c r="ES18" s="17">
        <f>IF(ISNA(VLOOKUP(A18,'Données projet'!$A$191:$I$211,5,0)),0%,VLOOKUP(A18,'Données projet'!$A$191:$I$211,5,0)*VLOOKUP('Données projet'!$B$15,Paramètres!$A$1:$I$89,7,0))</f>
        <v>0.46199999999999997</v>
      </c>
      <c r="ET18" s="17">
        <f>IF(ISNA(VLOOKUP(A18,'Données projet'!$A$191:$I$211,6,0)),0%,VLOOKUP(A18,'Données projet'!$A$191:$I$211,6,0)*VLOOKUP('Données projet'!$B$15,Paramètres!$A$1:$I$89,7,0))</f>
        <v>0.126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88.915582692167845</v>
      </c>
      <c r="EW18" s="23">
        <f>EXP(-LN(2)/25)*EW17+(1-EXP(-LN(2)/25))/(LN(2)/25)*Calculateur!ER18*Calculateur!ET18*VLOOKUP('Données projet'!$B$15,Paramètres!$A$1:$I$89,3,0)*0.475*44/12</f>
        <v>24.154224044622456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113.0698067367903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268.43080252293612</v>
      </c>
      <c r="S19" s="62">
        <f ca="1">AVERAGE(OFFSET($R$3,0,0,'Données projet'!$E$9+1,1))-AVERAGE(OFFSET($H$3,0,0,'Données projet'!$E$9+1,1))</f>
        <v>426.87921482911719</v>
      </c>
      <c r="T19" s="62">
        <f t="shared" si="34"/>
        <v>313.49594674441835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243.02173454405619</v>
      </c>
      <c r="AN19" s="62">
        <f ca="1">AVERAGE(OFFSET($AM$3,0,0,'Données projet'!$E$10+1,1))-AVERAGE(OFFSET($H$3,0,0,'Données projet'!$E$10+1,1))</f>
        <v>462.95686283420531</v>
      </c>
      <c r="AO19" s="62">
        <f t="shared" si="36"/>
        <v>275.54513370838777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4.9000000000000004</v>
      </c>
      <c r="BD19" s="13">
        <f>IF('Données projet'!$A$88&gt;35,BD18+BC19-BL18,IF(A19&lt;'Données projet'!$A$88,$BA$205^A19,IF(A19='Données projet'!$A$88,'Données projet'!$B$88,BD18+BC19-BL18)))</f>
        <v>39.172461334412446</v>
      </c>
      <c r="BE19" s="14">
        <f>BD19*VLOOKUP('Données projet'!$B$11,Paramètres!$A$1:$I$89,3,0)*VLOOKUP('Données projet'!$B$11,Paramètres!$A$1:$I$89,5,0)</f>
        <v>23.425131877978647</v>
      </c>
      <c r="BF19" s="14">
        <f t="shared" si="37"/>
        <v>7.4783040650259762</v>
      </c>
      <c r="BG19" s="22">
        <f t="shared" si="7"/>
        <v>53.823484267399721</v>
      </c>
      <c r="BH19" s="62">
        <f t="shared" si="8"/>
        <v>260.76553018951381</v>
      </c>
      <c r="BI19" s="62">
        <f ca="1">AVERAGE(OFFSET($BH$3,0,0,'Données projet'!$E$11+1,1))-AVERAGE(OFFSET($H$3,0,0,'Données projet'!$E$11+1,1))</f>
        <v>505.16888119060701</v>
      </c>
      <c r="BJ19" s="62">
        <f t="shared" si="38"/>
        <v>351.15312364640613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>
        <f>BY19*VLOOKUP('Données projet'!$B$12,Paramètres!$A$1:$I$89,3,0)*VLOOKUP('Données projet'!$B$12,Paramètres!$A$1:$I$89,5,0)</f>
        <v>0</v>
      </c>
      <c r="CA19" s="14" t="e">
        <f t="shared" si="39"/>
        <v>#NUM!</v>
      </c>
      <c r="CB19" s="22" t="e">
        <f t="shared" si="10"/>
        <v>#NUM!</v>
      </c>
      <c r="CC19" s="62" t="e">
        <f t="shared" si="11"/>
        <v>#NUM!</v>
      </c>
      <c r="CD19" s="62">
        <f ca="1">AVERAGE(OFFSET($CC$3,0,0,'Données projet'!$E$12+1,1))-AVERAGE(OFFSET($H$3,0,0,'Données projet'!$E$12+1,1))</f>
        <v>68.195506926115257</v>
      </c>
      <c r="CE19" s="62">
        <f t="shared" si="40"/>
        <v>352.52565673897004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75.791213153196836</v>
      </c>
      <c r="CL19" s="23">
        <f>EXP(-LN(2)/25)*CL18+(1-EXP(-LN(2)/25))/(LN(2)/25)*Calculateur!CG19*Calculateur!CI19*VLOOKUP('Données projet'!$B$12,Paramètres!$A$1:$I$89,3,0)*0.475*44/12</f>
        <v>20.426489130846758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96.217702284043597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>
        <f>CT19*VLOOKUP('Données projet'!$B$13,Paramètres!$A$1:$I$89,3,0)*VLOOKUP('Données projet'!$B$13,Paramètres!$A$1:$I$89,5,0)</f>
        <v>0</v>
      </c>
      <c r="CV19" s="14" t="e">
        <f t="shared" si="41"/>
        <v>#NUM!</v>
      </c>
      <c r="CW19" s="22" t="e">
        <f t="shared" si="13"/>
        <v>#NUM!</v>
      </c>
      <c r="CX19" s="62" t="e">
        <f t="shared" si="14"/>
        <v>#NUM!</v>
      </c>
      <c r="CY19" s="62">
        <f ca="1">AVERAGE(OFFSET($CX$3,0,0,'Données projet'!$E$13+1,1))-AVERAGE(OFFSET($H$3,0,0,'Données projet'!$E$13+1,1))</f>
        <v>77.885897614924062</v>
      </c>
      <c r="CZ19" s="62">
        <f t="shared" si="42"/>
        <v>401.02460251355296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87.172002348724803</v>
      </c>
      <c r="DG19" s="23">
        <f>EXP(-LN(2)/25)*DG18+(1-EXP(-LN(2)/25))/(LN(2)/25)*Calculateur!DB19*Calculateur!DD19*VLOOKUP('Données projet'!$B$13,Paramètres!$A$1:$I$89,3,0)*0.475*44/12</f>
        <v>23.493725517906817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110.66572786663161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>
        <f>DO19*VLOOKUP('Données projet'!$B$14,Paramètres!$A$1:$I$89,3,0)*VLOOKUP('Données projet'!$B$14,Paramètres!$A$1:$I$89,5,0)</f>
        <v>0</v>
      </c>
      <c r="DQ19" s="14" t="e">
        <f t="shared" si="43"/>
        <v>#NUM!</v>
      </c>
      <c r="DR19" s="22" t="e">
        <f t="shared" si="16"/>
        <v>#NUM!</v>
      </c>
      <c r="DS19" s="62" t="e">
        <f t="shared" si="17"/>
        <v>#NUM!</v>
      </c>
      <c r="DT19" s="62">
        <f ca="1">AVERAGE(OFFSET($DS$3,0,0,'Données projet'!$E$14+1,1))-AVERAGE(OFFSET($H$3,0,0,'Données projet'!$E$14+1,1))</f>
        <v>79.532301588639172</v>
      </c>
      <c r="DU19" s="62">
        <f t="shared" si="44"/>
        <v>409.2657792678549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89.109157956474235</v>
      </c>
      <c r="EB19" s="23">
        <f>EXP(-LN(2)/25)*EB18+(1-EXP(-LN(2)/25))/(LN(2)/25)*Calculateur!DW19*Calculateur!DY19*VLOOKUP('Données projet'!$B$14,Paramètres!$A$1:$I$89,3,0)*0.475*44/12</f>
        <v>24.015808307193641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113.12496626366787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>
        <f>EJ19*VLOOKUP('Données projet'!$B$15,Paramètres!$A$1:$I$89,3,0)*VLOOKUP('Données projet'!$B$15,Paramètres!$A$1:$I$89,5,0)</f>
        <v>0</v>
      </c>
      <c r="EL19" s="14" t="e">
        <f t="shared" si="45"/>
        <v>#NUM!</v>
      </c>
      <c r="EM19" s="22" t="e">
        <f t="shared" si="19"/>
        <v>#NUM!</v>
      </c>
      <c r="EN19" s="62" t="e">
        <f t="shared" si="20"/>
        <v>#NUM!</v>
      </c>
      <c r="EO19" s="62">
        <f ca="1">AVERAGE(OFFSET($EN$3,0,0,'Données projet'!$E$15+1,1))-AVERAGE(OFFSET($H$3,0,0,'Données projet'!$E$15+1,1))</f>
        <v>77.885897614924062</v>
      </c>
      <c r="EP19" s="62">
        <f t="shared" si="46"/>
        <v>401.02460251355296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87.172002348724803</v>
      </c>
      <c r="EW19" s="23">
        <f>EXP(-LN(2)/25)*EW18+(1-EXP(-LN(2)/25))/(LN(2)/25)*Calculateur!ER19*Calculateur!ET19*VLOOKUP('Données projet'!$B$15,Paramètres!$A$1:$I$89,3,0)*0.475*44/12</f>
        <v>23.493725517906817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110.66572786663161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288.01697308330836</v>
      </c>
      <c r="S20" s="62">
        <f ca="1">AVERAGE(OFFSET($R$3,0,0,'Données projet'!$E$9+1,1))-AVERAGE(OFFSET($H$3,0,0,'Données projet'!$E$9+1,1))</f>
        <v>426.87921482911719</v>
      </c>
      <c r="T20" s="62">
        <f t="shared" si="34"/>
        <v>313.49594674441835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251.94229526730084</v>
      </c>
      <c r="AN20" s="62">
        <f ca="1">AVERAGE(OFFSET($AM$3,0,0,'Données projet'!$E$10+1,1))-AVERAGE(OFFSET($H$3,0,0,'Données projet'!$E$10+1,1))</f>
        <v>462.95686283420531</v>
      </c>
      <c r="AO20" s="62">
        <f t="shared" si="36"/>
        <v>275.54513370838777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4.9000000000000004</v>
      </c>
      <c r="BD20" s="13">
        <f>IF('Données projet'!$A$88&gt;35,BD19+BC20-BL19,IF(A20&lt;'Données projet'!$A$88,$BA$205^A20,IF(A20='Données projet'!$A$88,'Données projet'!$B$88,BD19+BC20-BL19)))</f>
        <v>49.265417133228127</v>
      </c>
      <c r="BE20" s="14">
        <f>BD20*VLOOKUP('Données projet'!$B$11,Paramètres!$A$1:$I$89,3,0)*VLOOKUP('Données projet'!$B$11,Paramètres!$A$1:$I$89,5,0)</f>
        <v>29.460719445670424</v>
      </c>
      <c r="BF20" s="14">
        <f t="shared" si="37"/>
        <v>9.1574696387404817</v>
      </c>
      <c r="BG20" s="22">
        <f t="shared" si="7"/>
        <v>67.260012655349001</v>
      </c>
      <c r="BH20" s="62">
        <f t="shared" si="8"/>
        <v>276.62613697122174</v>
      </c>
      <c r="BI20" s="62">
        <f ca="1">AVERAGE(OFFSET($BH$3,0,0,'Données projet'!$E$11+1,1))-AVERAGE(OFFSET($H$3,0,0,'Données projet'!$E$11+1,1))</f>
        <v>505.16888119060701</v>
      </c>
      <c r="BJ20" s="62">
        <f t="shared" si="38"/>
        <v>351.15312364640613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>
        <f>BY20*VLOOKUP('Données projet'!$B$12,Paramètres!$A$1:$I$89,3,0)*VLOOKUP('Données projet'!$B$12,Paramètres!$A$1:$I$89,5,0)</f>
        <v>0</v>
      </c>
      <c r="CA20" s="14" t="e">
        <f t="shared" si="39"/>
        <v>#NUM!</v>
      </c>
      <c r="CB20" s="22" t="e">
        <f t="shared" si="10"/>
        <v>#NUM!</v>
      </c>
      <c r="CC20" s="62" t="e">
        <f t="shared" si="11"/>
        <v>#NUM!</v>
      </c>
      <c r="CD20" s="62">
        <f ca="1">AVERAGE(OFFSET($CC$3,0,0,'Données projet'!$E$12+1,1))-AVERAGE(OFFSET($H$3,0,0,'Données projet'!$E$12+1,1))</f>
        <v>68.195506926115257</v>
      </c>
      <c r="CE20" s="62">
        <f t="shared" si="40"/>
        <v>352.52565673897004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74.304993691338026</v>
      </c>
      <c r="CL20" s="23">
        <f>EXP(-LN(2)/25)*CL19+(1-EXP(-LN(2)/25))/(LN(2)/25)*Calculateur!CG20*Calculateur!CI20*VLOOKUP('Données projet'!$B$12,Paramètres!$A$1:$I$89,3,0)*0.475*44/12</f>
        <v>19.867925711381375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94.172919402719401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>
        <f>CT20*VLOOKUP('Données projet'!$B$13,Paramètres!$A$1:$I$89,3,0)*VLOOKUP('Données projet'!$B$13,Paramètres!$A$1:$I$89,5,0)</f>
        <v>0</v>
      </c>
      <c r="CV20" s="14" t="e">
        <f t="shared" si="41"/>
        <v>#NUM!</v>
      </c>
      <c r="CW20" s="22" t="e">
        <f t="shared" si="13"/>
        <v>#NUM!</v>
      </c>
      <c r="CX20" s="62" t="e">
        <f t="shared" si="14"/>
        <v>#NUM!</v>
      </c>
      <c r="CY20" s="62">
        <f ca="1">AVERAGE(OFFSET($CX$3,0,0,'Données projet'!$E$13+1,1))-AVERAGE(OFFSET($H$3,0,0,'Données projet'!$E$13+1,1))</f>
        <v>77.885897614924062</v>
      </c>
      <c r="CZ20" s="62">
        <f t="shared" si="42"/>
        <v>401.02460251355296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85.462612552337674</v>
      </c>
      <c r="DG20" s="23">
        <f>EXP(-LN(2)/25)*DG19+(1-EXP(-LN(2)/25))/(LN(2)/25)*Calculateur!DB20*Calculateur!DD20*VLOOKUP('Données projet'!$B$13,Paramètres!$A$1:$I$89,3,0)*0.475*44/12</f>
        <v>22.851288358138326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108.31390091047601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>
        <f>DO20*VLOOKUP('Données projet'!$B$14,Paramètres!$A$1:$I$89,3,0)*VLOOKUP('Données projet'!$B$14,Paramètres!$A$1:$I$89,5,0)</f>
        <v>0</v>
      </c>
      <c r="DQ20" s="14" t="e">
        <f t="shared" si="43"/>
        <v>#NUM!</v>
      </c>
      <c r="DR20" s="22" t="e">
        <f t="shared" si="16"/>
        <v>#NUM!</v>
      </c>
      <c r="DS20" s="62" t="e">
        <f t="shared" si="17"/>
        <v>#NUM!</v>
      </c>
      <c r="DT20" s="62">
        <f ca="1">AVERAGE(OFFSET($DS$3,0,0,'Données projet'!$E$14+1,1))-AVERAGE(OFFSET($H$3,0,0,'Données projet'!$E$14+1,1))</f>
        <v>79.532301588639172</v>
      </c>
      <c r="DU20" s="62">
        <f t="shared" si="44"/>
        <v>409.2657792678549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87.361781720167386</v>
      </c>
      <c r="EB20" s="23">
        <f>EXP(-LN(2)/25)*EB19+(1-EXP(-LN(2)/25))/(LN(2)/25)*Calculateur!DW20*Calculateur!DY20*VLOOKUP('Données projet'!$B$14,Paramètres!$A$1:$I$89,3,0)*0.475*44/12</f>
        <v>23.359094766096963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110.72087648626434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>
        <f>EJ20*VLOOKUP('Données projet'!$B$15,Paramètres!$A$1:$I$89,3,0)*VLOOKUP('Données projet'!$B$15,Paramètres!$A$1:$I$89,5,0)</f>
        <v>0</v>
      </c>
      <c r="EL20" s="14" t="e">
        <f t="shared" si="45"/>
        <v>#NUM!</v>
      </c>
      <c r="EM20" s="22" t="e">
        <f t="shared" si="19"/>
        <v>#NUM!</v>
      </c>
      <c r="EN20" s="62" t="e">
        <f t="shared" si="20"/>
        <v>#NUM!</v>
      </c>
      <c r="EO20" s="62">
        <f ca="1">AVERAGE(OFFSET($EN$3,0,0,'Données projet'!$E$15+1,1))-AVERAGE(OFFSET($H$3,0,0,'Données projet'!$E$15+1,1))</f>
        <v>77.885897614924062</v>
      </c>
      <c r="EP20" s="62">
        <f t="shared" si="46"/>
        <v>401.02460251355296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85.462612552337674</v>
      </c>
      <c r="EW20" s="23">
        <f>EXP(-LN(2)/25)*EW19+(1-EXP(-LN(2)/25))/(LN(2)/25)*Calculateur!ER20*Calculateur!ET20*VLOOKUP('Données projet'!$B$15,Paramètres!$A$1:$I$89,3,0)*0.475*44/12</f>
        <v>22.851288358138326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108.31390091047601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312.38804068758367</v>
      </c>
      <c r="S21" s="62">
        <f ca="1">AVERAGE(OFFSET($R$3,0,0,'Données projet'!$E$9+1,1))-AVERAGE(OFFSET($H$3,0,0,'Données projet'!$E$9+1,1))</f>
        <v>426.87921482911719</v>
      </c>
      <c r="T21" s="62">
        <f t="shared" si="34"/>
        <v>313.49594674441835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262.01544113125999</v>
      </c>
      <c r="AN21" s="62">
        <f ca="1">AVERAGE(OFFSET($AM$3,0,0,'Données projet'!$E$10+1,1))-AVERAGE(OFFSET($H$3,0,0,'Données projet'!$E$10+1,1))</f>
        <v>462.95686283420531</v>
      </c>
      <c r="AO21" s="62">
        <f t="shared" si="36"/>
        <v>275.54513370838777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4.9000000000000004</v>
      </c>
      <c r="BD21" s="13">
        <f>IF('Données projet'!$A$88&gt;35,BD20+BC21-BL20,IF(A21&lt;'Données projet'!$A$88,$BA$205^A21,IF(A21='Données projet'!$A$88,'Données projet'!$B$88,BD20+BC21-BL20)))</f>
        <v>61.958867087547844</v>
      </c>
      <c r="BE21" s="14">
        <f>BD21*VLOOKUP('Données projet'!$B$11,Paramètres!$A$1:$I$89,3,0)*VLOOKUP('Données projet'!$B$11,Paramètres!$A$1:$I$89,5,0)</f>
        <v>37.051402518353612</v>
      </c>
      <c r="BF21" s="14">
        <f t="shared" si="37"/>
        <v>11.213672171561068</v>
      </c>
      <c r="BG21" s="22">
        <f t="shared" si="7"/>
        <v>84.061671751601395</v>
      </c>
      <c r="BH21" s="62">
        <f t="shared" si="8"/>
        <v>295.83102494360452</v>
      </c>
      <c r="BI21" s="62">
        <f ca="1">AVERAGE(OFFSET($BH$3,0,0,'Données projet'!$E$11+1,1))-AVERAGE(OFFSET($H$3,0,0,'Données projet'!$E$11+1,1))</f>
        <v>505.16888119060701</v>
      </c>
      <c r="BJ21" s="62">
        <f t="shared" si="38"/>
        <v>351.15312364640613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>
        <f>BY21*VLOOKUP('Données projet'!$B$12,Paramètres!$A$1:$I$89,3,0)*VLOOKUP('Données projet'!$B$12,Paramètres!$A$1:$I$89,5,0)</f>
        <v>0</v>
      </c>
      <c r="CA21" s="14" t="e">
        <f t="shared" si="39"/>
        <v>#NUM!</v>
      </c>
      <c r="CB21" s="22" t="e">
        <f t="shared" si="10"/>
        <v>#NUM!</v>
      </c>
      <c r="CC21" s="62" t="e">
        <f t="shared" si="11"/>
        <v>#NUM!</v>
      </c>
      <c r="CD21" s="62">
        <f ca="1">AVERAGE(OFFSET($CC$3,0,0,'Données projet'!$E$12+1,1))-AVERAGE(OFFSET($H$3,0,0,'Données projet'!$E$12+1,1))</f>
        <v>68.195506926115257</v>
      </c>
      <c r="CE21" s="62">
        <f t="shared" si="40"/>
        <v>352.52565673897004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72.847918086621902</v>
      </c>
      <c r="CL21" s="23">
        <f>EXP(-LN(2)/25)*CL20+(1-EXP(-LN(2)/25))/(LN(2)/25)*Calculateur!CG21*Calculateur!CI21*VLOOKUP('Données projet'!$B$12,Paramètres!$A$1:$I$89,3,0)*0.475*44/12</f>
        <v>19.324636237994845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92.172554324616755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>
        <f>CT21*VLOOKUP('Données projet'!$B$13,Paramètres!$A$1:$I$89,3,0)*VLOOKUP('Données projet'!$B$13,Paramètres!$A$1:$I$89,5,0)</f>
        <v>0</v>
      </c>
      <c r="CV21" s="14" t="e">
        <f t="shared" si="41"/>
        <v>#NUM!</v>
      </c>
      <c r="CW21" s="22" t="e">
        <f t="shared" si="13"/>
        <v>#NUM!</v>
      </c>
      <c r="CX21" s="62" t="e">
        <f t="shared" si="14"/>
        <v>#NUM!</v>
      </c>
      <c r="CY21" s="62">
        <f ca="1">AVERAGE(OFFSET($CX$3,0,0,'Données projet'!$E$13+1,1))-AVERAGE(OFFSET($H$3,0,0,'Données projet'!$E$13+1,1))</f>
        <v>77.885897614924062</v>
      </c>
      <c r="CZ21" s="62">
        <f t="shared" si="42"/>
        <v>401.02460251355296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83.786742847232873</v>
      </c>
      <c r="DG21" s="23">
        <f>EXP(-LN(2)/25)*DG20+(1-EXP(-LN(2)/25))/(LN(2)/25)*Calculateur!DB21*Calculateur!DD21*VLOOKUP('Données projet'!$B$13,Paramètres!$A$1:$I$89,3,0)*0.475*44/12</f>
        <v>22.226418676288006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106.01316152352088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>
        <f>DO21*VLOOKUP('Données projet'!$B$14,Paramètres!$A$1:$I$89,3,0)*VLOOKUP('Données projet'!$B$14,Paramètres!$A$1:$I$89,5,0)</f>
        <v>0</v>
      </c>
      <c r="DQ21" s="14" t="e">
        <f t="shared" si="43"/>
        <v>#NUM!</v>
      </c>
      <c r="DR21" s="22" t="e">
        <f t="shared" si="16"/>
        <v>#NUM!</v>
      </c>
      <c r="DS21" s="62" t="e">
        <f t="shared" si="17"/>
        <v>#NUM!</v>
      </c>
      <c r="DT21" s="62">
        <f ca="1">AVERAGE(OFFSET($DS$3,0,0,'Données projet'!$E$14+1,1))-AVERAGE(OFFSET($H$3,0,0,'Données projet'!$E$14+1,1))</f>
        <v>79.532301588639172</v>
      </c>
      <c r="DU21" s="62">
        <f t="shared" si="44"/>
        <v>409.2657792678549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85.648670466060253</v>
      </c>
      <c r="EB21" s="23">
        <f>EXP(-LN(2)/25)*EB20+(1-EXP(-LN(2)/25))/(LN(2)/25)*Calculateur!DW21*Calculateur!DY21*VLOOKUP('Données projet'!$B$14,Paramètres!$A$1:$I$89,3,0)*0.475*44/12</f>
        <v>22.720339091316635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108.36900955737688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>
        <f>EJ21*VLOOKUP('Données projet'!$B$15,Paramètres!$A$1:$I$89,3,0)*VLOOKUP('Données projet'!$B$15,Paramètres!$A$1:$I$89,5,0)</f>
        <v>0</v>
      </c>
      <c r="EL21" s="14" t="e">
        <f t="shared" si="45"/>
        <v>#NUM!</v>
      </c>
      <c r="EM21" s="22" t="e">
        <f t="shared" si="19"/>
        <v>#NUM!</v>
      </c>
      <c r="EN21" s="62" t="e">
        <f t="shared" si="20"/>
        <v>#NUM!</v>
      </c>
      <c r="EO21" s="62">
        <f ca="1">AVERAGE(OFFSET($EN$3,0,0,'Données projet'!$E$15+1,1))-AVERAGE(OFFSET($H$3,0,0,'Données projet'!$E$15+1,1))</f>
        <v>77.885897614924062</v>
      </c>
      <c r="EP21" s="62">
        <f t="shared" si="46"/>
        <v>401.02460251355296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83.786742847232873</v>
      </c>
      <c r="EW21" s="23">
        <f>EXP(-LN(2)/25)*EW20+(1-EXP(-LN(2)/25))/(LN(2)/25)*Calculateur!ER21*Calculateur!ET21*VLOOKUP('Données projet'!$B$15,Paramètres!$A$1:$I$89,3,0)*0.475*44/12</f>
        <v>22.226418676288006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106.01316152352088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342.8941240850686</v>
      </c>
      <c r="S22" s="62">
        <f ca="1">AVERAGE(OFFSET($R$3,0,0,'Données projet'!$E$9+1,1))-AVERAGE(OFFSET($H$3,0,0,'Données projet'!$E$9+1,1))</f>
        <v>426.87921482911719</v>
      </c>
      <c r="T22" s="62">
        <f t="shared" si="34"/>
        <v>313.49594674441835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273.45410509986755</v>
      </c>
      <c r="AN22" s="62">
        <f ca="1">AVERAGE(OFFSET($AM$3,0,0,'Données projet'!$E$10+1,1))-AVERAGE(OFFSET($H$3,0,0,'Données projet'!$E$10+1,1))</f>
        <v>462.95686283420531</v>
      </c>
      <c r="AO22" s="62">
        <f t="shared" si="36"/>
        <v>275.54513370838777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4.9000000000000004</v>
      </c>
      <c r="BD22" s="13">
        <f>IF('Données projet'!$A$88&gt;35,BD21+BC22-BL21,IF(A22&lt;'Données projet'!$A$88,$BA$205^A22,IF(A22='Données projet'!$A$88,'Données projet'!$B$88,BD21+BC22-BL21)))</f>
        <v>77.922839877533264</v>
      </c>
      <c r="BE22" s="14">
        <f>BD22*VLOOKUP('Données projet'!$B$11,Paramètres!$A$1:$I$89,3,0)*VLOOKUP('Données projet'!$B$11,Paramètres!$A$1:$I$89,5,0)</f>
        <v>46.597858246764893</v>
      </c>
      <c r="BF22" s="14">
        <f t="shared" si="37"/>
        <v>13.731570895881042</v>
      </c>
      <c r="BG22" s="22">
        <f t="shared" si="7"/>
        <v>105.07375575677501</v>
      </c>
      <c r="BH22" s="62">
        <f t="shared" si="8"/>
        <v>319.22584999979853</v>
      </c>
      <c r="BI22" s="62">
        <f ca="1">AVERAGE(OFFSET($BH$3,0,0,'Données projet'!$E$11+1,1))-AVERAGE(OFFSET($H$3,0,0,'Données projet'!$E$11+1,1))</f>
        <v>505.16888119060701</v>
      </c>
      <c r="BJ22" s="62">
        <f t="shared" si="38"/>
        <v>351.15312364640613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68.195506926115257</v>
      </c>
      <c r="CE22" s="62">
        <f t="shared" si="40"/>
        <v>352.52565673897004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71.419414845785894</v>
      </c>
      <c r="CL22" s="23">
        <f>EXP(-LN(2)/25)*CL21+(1-EXP(-LN(2)/25))/(LN(2)/25)*Calculateur!CG22*Calculateur!CI22*VLOOKUP('Données projet'!$B$12,Paramètres!$A$1:$I$89,3,0)*0.475*44/12</f>
        <v>18.796203043828424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90.215617889614322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77.885897614924062</v>
      </c>
      <c r="CZ22" s="62">
        <f t="shared" si="42"/>
        <v>401.02460251355296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82.143735924865581</v>
      </c>
      <c r="DG22" s="23">
        <f>EXP(-LN(2)/25)*DG21+(1-EXP(-LN(2)/25))/(LN(2)/25)*Calculateur!DB22*Calculateur!DD22*VLOOKUP('Données projet'!$B$13,Paramètres!$A$1:$I$89,3,0)*0.475*44/12</f>
        <v>21.61863608874835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103.76237201361393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>
        <f>DO22*VLOOKUP('Données projet'!$B$14,Paramètres!$A$1:$I$89,3,0)*VLOOKUP('Données projet'!$B$14,Paramètres!$A$1:$I$89,5,0)</f>
        <v>0</v>
      </c>
      <c r="DQ22" s="14" t="e">
        <f t="shared" si="43"/>
        <v>#NUM!</v>
      </c>
      <c r="DR22" s="22" t="e">
        <f t="shared" si="16"/>
        <v>#NUM!</v>
      </c>
      <c r="DS22" s="62" t="e">
        <f t="shared" si="17"/>
        <v>#NUM!</v>
      </c>
      <c r="DT22" s="62">
        <f ca="1">AVERAGE(OFFSET($DS$3,0,0,'Données projet'!$E$14+1,1))-AVERAGE(OFFSET($H$3,0,0,'Données projet'!$E$14+1,1))</f>
        <v>79.532301588639172</v>
      </c>
      <c r="DU22" s="62">
        <f t="shared" si="44"/>
        <v>409.2657792678549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83.969152278751466</v>
      </c>
      <c r="EB22" s="23">
        <f>EXP(-LN(2)/25)*EB21+(1-EXP(-LN(2)/25))/(LN(2)/25)*Calculateur!DW22*Calculateur!DY22*VLOOKUP('Données projet'!$B$14,Paramètres!$A$1:$I$89,3,0)*0.475*44/12</f>
        <v>22.099050224053876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106.06820250280535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>
        <f>EJ22*VLOOKUP('Données projet'!$B$15,Paramètres!$A$1:$I$89,3,0)*VLOOKUP('Données projet'!$B$15,Paramètres!$A$1:$I$89,5,0)</f>
        <v>0</v>
      </c>
      <c r="EL22" s="14" t="e">
        <f t="shared" si="45"/>
        <v>#NUM!</v>
      </c>
      <c r="EM22" s="22" t="e">
        <f t="shared" si="19"/>
        <v>#NUM!</v>
      </c>
      <c r="EN22" s="62" t="e">
        <f t="shared" si="20"/>
        <v>#NUM!</v>
      </c>
      <c r="EO22" s="62">
        <f ca="1">AVERAGE(OFFSET($EN$3,0,0,'Données projet'!$E$15+1,1))-AVERAGE(OFFSET($H$3,0,0,'Données projet'!$E$15+1,1))</f>
        <v>77.885897614924062</v>
      </c>
      <c r="EP22" s="62">
        <f t="shared" si="46"/>
        <v>401.02460251355296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82.143735924865581</v>
      </c>
      <c r="EW22" s="23">
        <f>EXP(-LN(2)/25)*EW21+(1-EXP(-LN(2)/25))/(LN(2)/25)*Calculateur!ER22*Calculateur!ET22*VLOOKUP('Données projet'!$B$15,Paramètres!$A$1:$I$89,3,0)*0.475*44/12</f>
        <v>21.61863608874835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103.76237201361393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381.26547623001761</v>
      </c>
      <c r="S23" s="62">
        <f ca="1">AVERAGE(OFFSET($R$3,0,0,'Données projet'!$E$9+1,1))-AVERAGE(OFFSET($H$3,0,0,'Données projet'!$E$9+1,1))</f>
        <v>426.87921482911719</v>
      </c>
      <c r="T23" s="62">
        <f t="shared" si="34"/>
        <v>313.49594674441835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0.15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286.50982526853875</v>
      </c>
      <c r="AN23" s="62">
        <f ca="1">AVERAGE(OFFSET($AM$3,0,0,'Données projet'!$E$10+1,1))-AVERAGE(OFFSET($H$3,0,0,'Données projet'!$E$10+1,1))</f>
        <v>462.95686283420531</v>
      </c>
      <c r="AO23" s="62">
        <f t="shared" si="36"/>
        <v>275.54513370838777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98</v>
      </c>
      <c r="BB23" s="13">
        <f>VLOOKUP(A23,'Données projet'!$A$87:$I$107,9,0)</f>
        <v>4.9000000000000004</v>
      </c>
      <c r="BC23" s="13">
        <f t="array" ref="BC23">INDEX(BB:BB,MIN(IF(ISNUMBER(BB23:BB219),ROW(BB23:BB219),"")))</f>
        <v>4.9000000000000004</v>
      </c>
      <c r="BD23" s="13">
        <f>IF('Données projet'!$A$88&gt;35,BD22+BC23-BL22,IF(A23&lt;'Données projet'!$A$88,$BA$205^A23,IF(A23='Données projet'!$A$88,'Données projet'!$B$88,BD22+BC23-BL22)))</f>
        <v>98</v>
      </c>
      <c r="BE23" s="14">
        <f>BD23*VLOOKUP('Données projet'!$B$11,Paramètres!$A$1:$I$89,3,0)*VLOOKUP('Données projet'!$B$11,Paramètres!$A$1:$I$89,5,0)</f>
        <v>58.604000000000006</v>
      </c>
      <c r="BF23" s="14">
        <f t="shared" si="37"/>
        <v>16.814834282992791</v>
      </c>
      <c r="BG23" s="22">
        <f t="shared" si="7"/>
        <v>131.35446970954578</v>
      </c>
      <c r="BH23" s="62">
        <f t="shared" si="8"/>
        <v>347.8691725964415</v>
      </c>
      <c r="BI23" s="62">
        <f ca="1">AVERAGE(OFFSET($BH$3,0,0,'Données projet'!$E$11+1,1))-AVERAGE(OFFSET($H$3,0,0,'Données projet'!$E$11+1,1))</f>
        <v>505.16888119060701</v>
      </c>
      <c r="BJ23" s="62">
        <f t="shared" si="38"/>
        <v>351.15312364640613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4.7395243974457868</v>
      </c>
      <c r="BS23" s="24">
        <f t="shared" si="9"/>
        <v>4.7395243974457868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68.195506926115257</v>
      </c>
      <c r="CE23" s="62">
        <f t="shared" si="40"/>
        <v>352.52565673897004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70.018923682201745</v>
      </c>
      <c r="CL23" s="23">
        <f>EXP(-LN(2)/25)*CL22+(1-EXP(-LN(2)/25))/(LN(2)/25)*Calculateur!CG23*Calculateur!CI23*VLOOKUP('Données projet'!$B$12,Paramètres!$A$1:$I$89,3,0)*0.475*44/12</f>
        <v>18.282219883145576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88.301143565347317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77.885897614924062</v>
      </c>
      <c r="CZ23" s="62">
        <f t="shared" si="42"/>
        <v>401.02460251355296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80.532947366110648</v>
      </c>
      <c r="DG23" s="23">
        <f>EXP(-LN(2)/25)*DG22+(1-EXP(-LN(2)/25))/(LN(2)/25)*Calculateur!DB23*Calculateur!DD23*VLOOKUP('Données projet'!$B$13,Paramètres!$A$1:$I$89,3,0)*0.475*44/12</f>
        <v>21.027473348026863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101.56042071413751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>
        <f>DO23*VLOOKUP('Données projet'!$B$14,Paramètres!$A$1:$I$89,3,0)*VLOOKUP('Données projet'!$B$14,Paramètres!$A$1:$I$89,5,0)</f>
        <v>0</v>
      </c>
      <c r="DQ23" s="14" t="e">
        <f t="shared" si="43"/>
        <v>#NUM!</v>
      </c>
      <c r="DR23" s="22" t="e">
        <f t="shared" si="16"/>
        <v>#NUM!</v>
      </c>
      <c r="DS23" s="62" t="e">
        <f t="shared" si="17"/>
        <v>#NUM!</v>
      </c>
      <c r="DT23" s="62">
        <f ca="1">AVERAGE(OFFSET($DS$3,0,0,'Données projet'!$E$14+1,1))-AVERAGE(OFFSET($H$3,0,0,'Données projet'!$E$14+1,1))</f>
        <v>79.532301588639172</v>
      </c>
      <c r="DU23" s="62">
        <f t="shared" si="44"/>
        <v>409.2657792678549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82.322568418690864</v>
      </c>
      <c r="EB23" s="23">
        <f>EXP(-LN(2)/25)*EB22+(1-EXP(-LN(2)/25))/(LN(2)/25)*Calculateur!DW23*Calculateur!DY23*VLOOKUP('Données projet'!$B$14,Paramètres!$A$1:$I$89,3,0)*0.475*44/12</f>
        <v>21.494750533538578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103.81731895222944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>
        <f>EJ23*VLOOKUP('Données projet'!$B$15,Paramètres!$A$1:$I$89,3,0)*VLOOKUP('Données projet'!$B$15,Paramètres!$A$1:$I$89,5,0)</f>
        <v>0</v>
      </c>
      <c r="EL23" s="14" t="e">
        <f t="shared" si="45"/>
        <v>#NUM!</v>
      </c>
      <c r="EM23" s="22" t="e">
        <f t="shared" si="19"/>
        <v>#NUM!</v>
      </c>
      <c r="EN23" s="62" t="e">
        <f t="shared" si="20"/>
        <v>#NUM!</v>
      </c>
      <c r="EO23" s="62">
        <f ca="1">AVERAGE(OFFSET($EN$3,0,0,'Données projet'!$E$15+1,1))-AVERAGE(OFFSET($H$3,0,0,'Données projet'!$E$15+1,1))</f>
        <v>77.885897614924062</v>
      </c>
      <c r="EP23" s="62">
        <f t="shared" si="46"/>
        <v>401.02460251355296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80.532947366110648</v>
      </c>
      <c r="EW23" s="23">
        <f>EXP(-LN(2)/25)*EW22+(1-EXP(-LN(2)/25))/(LN(2)/25)*Calculateur!ER23*Calculateur!ET23*VLOOKUP('Données projet'!$B$15,Paramètres!$A$1:$I$89,3,0)*0.475*44/12</f>
        <v>21.027473348026863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101.56042071413751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392.95148523179193</v>
      </c>
      <c r="S24" s="62">
        <f ca="1">AVERAGE(OFFSET($R$3,0,0,'Données projet'!$E$9+1,1))-AVERAGE(OFFSET($H$3,0,0,'Données projet'!$E$9+1,1))</f>
        <v>426.87921482911719</v>
      </c>
      <c r="T24" s="62">
        <f t="shared" si="34"/>
        <v>313.49594674441835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301.47977560760899</v>
      </c>
      <c r="AN24" s="62">
        <f ca="1">AVERAGE(OFFSET($AM$3,0,0,'Données projet'!$E$10+1,1))-AVERAGE(OFFSET($H$3,0,0,'Données projet'!$E$10+1,1))</f>
        <v>462.95686283420531</v>
      </c>
      <c r="AO24" s="62">
        <f t="shared" si="36"/>
        <v>275.54513370838777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13.4</v>
      </c>
      <c r="BD24" s="13">
        <f>IF('Données projet'!$A$88&gt;35,BD23+BC24-BL23,IF(A24&lt;'Données projet'!$A$88,$BA$205^A24,IF(A24='Données projet'!$A$88,'Données projet'!$B$88,BD23+BC24-BL23)))</f>
        <v>104.4</v>
      </c>
      <c r="BE24" s="14">
        <f>BD24*VLOOKUP('Données projet'!$B$11,Paramètres!$A$1:$I$89,3,0)*VLOOKUP('Données projet'!$B$11,Paramètres!$A$1:$I$89,5,0)</f>
        <v>62.431200000000011</v>
      </c>
      <c r="BF24" s="14">
        <f t="shared" si="37"/>
        <v>17.781524466058684</v>
      </c>
      <c r="BG24" s="22">
        <f t="shared" si="7"/>
        <v>139.70382844505221</v>
      </c>
      <c r="BH24" s="62">
        <f t="shared" si="8"/>
        <v>358.56135682092656</v>
      </c>
      <c r="BI24" s="62">
        <f ca="1">AVERAGE(OFFSET($BH$3,0,0,'Données projet'!$E$11+1,1))-AVERAGE(OFFSET($H$3,0,0,'Données projet'!$E$11+1,1))</f>
        <v>505.16888119060701</v>
      </c>
      <c r="BJ24" s="62">
        <f t="shared" si="38"/>
        <v>351.15312364640613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3.3513498410330018</v>
      </c>
      <c r="BS24" s="24">
        <f t="shared" si="9"/>
        <v>3.3513498410330018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68.195506926115257</v>
      </c>
      <c r="CE24" s="62">
        <f t="shared" si="40"/>
        <v>352.52565673897004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68.645895296120216</v>
      </c>
      <c r="CL24" s="23">
        <f>EXP(-LN(2)/25)*CL23+(1-EXP(-LN(2)/25))/(LN(2)/25)*Calculateur!CG24*Calculateur!CI24*VLOOKUP('Données projet'!$B$12,Paramètres!$A$1:$I$89,3,0)*0.475*44/12</f>
        <v>17.7822916190208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86.428186915141012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77.885897614924062</v>
      </c>
      <c r="CZ24" s="62">
        <f t="shared" si="42"/>
        <v>401.02460251355296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78.953745388508892</v>
      </c>
      <c r="DG24" s="23">
        <f>EXP(-LN(2)/25)*DG23+(1-EXP(-LN(2)/25))/(LN(2)/25)*Calculateur!DB24*Calculateur!DD24*VLOOKUP('Données projet'!$B$13,Paramètres!$A$1:$I$89,3,0)*0.475*44/12</f>
        <v>20.452475983538303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99.406221372047199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>
        <f>DO24*VLOOKUP('Données projet'!$B$14,Paramètres!$A$1:$I$89,3,0)*VLOOKUP('Données projet'!$B$14,Paramètres!$A$1:$I$89,5,0)</f>
        <v>0</v>
      </c>
      <c r="DQ24" s="14" t="e">
        <f t="shared" si="43"/>
        <v>#NUM!</v>
      </c>
      <c r="DR24" s="22" t="e">
        <f t="shared" si="16"/>
        <v>#NUM!</v>
      </c>
      <c r="DS24" s="62" t="e">
        <f t="shared" si="17"/>
        <v>#NUM!</v>
      </c>
      <c r="DT24" s="62">
        <f ca="1">AVERAGE(OFFSET($DS$3,0,0,'Données projet'!$E$14+1,1))-AVERAGE(OFFSET($H$3,0,0,'Données projet'!$E$14+1,1))</f>
        <v>79.532301588639172</v>
      </c>
      <c r="DU24" s="62">
        <f t="shared" si="44"/>
        <v>409.2657792678549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80.708273063809074</v>
      </c>
      <c r="EB24" s="23">
        <f>EXP(-LN(2)/25)*EB23+(1-EXP(-LN(2)/25))/(LN(2)/25)*Calculateur!DW24*Calculateur!DY24*VLOOKUP('Données projet'!$B$14,Paramètres!$A$1:$I$89,3,0)*0.475*44/12</f>
        <v>20.906975449839162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101.61524851364824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>
        <f>EJ24*VLOOKUP('Données projet'!$B$15,Paramètres!$A$1:$I$89,3,0)*VLOOKUP('Données projet'!$B$15,Paramètres!$A$1:$I$89,5,0)</f>
        <v>0</v>
      </c>
      <c r="EL24" s="14" t="e">
        <f t="shared" si="45"/>
        <v>#NUM!</v>
      </c>
      <c r="EM24" s="22" t="e">
        <f t="shared" si="19"/>
        <v>#NUM!</v>
      </c>
      <c r="EN24" s="62" t="e">
        <f t="shared" si="20"/>
        <v>#NUM!</v>
      </c>
      <c r="EO24" s="62">
        <f ca="1">AVERAGE(OFFSET($EN$3,0,0,'Données projet'!$E$15+1,1))-AVERAGE(OFFSET($H$3,0,0,'Données projet'!$E$15+1,1))</f>
        <v>77.885897614924062</v>
      </c>
      <c r="EP24" s="62">
        <f t="shared" si="46"/>
        <v>401.02460251355296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78.953745388508892</v>
      </c>
      <c r="EW24" s="23">
        <f>EXP(-LN(2)/25)*EW23+(1-EXP(-LN(2)/25))/(LN(2)/25)*Calculateur!ER24*Calculateur!ET24*VLOOKUP('Données projet'!$B$15,Paramètres!$A$1:$I$89,3,0)*0.475*44/12</f>
        <v>20.452475983538303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99.406221372047199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404.60627363282379</v>
      </c>
      <c r="S25" s="62">
        <f ca="1">AVERAGE(OFFSET($R$3,0,0,'Données projet'!$E$9+1,1))-AVERAGE(OFFSET($H$3,0,0,'Données projet'!$E$9+1,1))</f>
        <v>426.87921482911719</v>
      </c>
      <c r="T25" s="62">
        <f t="shared" si="34"/>
        <v>313.49594674441835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318.71507976437334</v>
      </c>
      <c r="AN25" s="62">
        <f ca="1">AVERAGE(OFFSET($AM$3,0,0,'Données projet'!$E$10+1,1))-AVERAGE(OFFSET($H$3,0,0,'Données projet'!$E$10+1,1))</f>
        <v>462.95686283420531</v>
      </c>
      <c r="AO25" s="62">
        <f t="shared" si="36"/>
        <v>275.54513370838777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13.4</v>
      </c>
      <c r="BD25" s="13">
        <f>IF('Données projet'!$A$88&gt;35,BD24+BC25-BL24,IF(A25&lt;'Données projet'!$A$88,$BA$205^A25,IF(A25='Données projet'!$A$88,'Données projet'!$B$88,BD24+BC25-BL24)))</f>
        <v>117.80000000000001</v>
      </c>
      <c r="BE25" s="14">
        <f>BD25*VLOOKUP('Données projet'!$B$11,Paramètres!$A$1:$I$89,3,0)*VLOOKUP('Données projet'!$B$11,Paramètres!$A$1:$I$89,5,0)</f>
        <v>70.444400000000016</v>
      </c>
      <c r="BF25" s="14">
        <f t="shared" si="37"/>
        <v>19.783777073379611</v>
      </c>
      <c r="BG25" s="22">
        <f t="shared" si="7"/>
        <v>157.14740840280285</v>
      </c>
      <c r="BH25" s="62">
        <f t="shared" si="8"/>
        <v>378.32832230627128</v>
      </c>
      <c r="BI25" s="62">
        <f ca="1">AVERAGE(OFFSET($BH$3,0,0,'Données projet'!$E$11+1,1))-AVERAGE(OFFSET($H$3,0,0,'Données projet'!$E$11+1,1))</f>
        <v>505.16888119060701</v>
      </c>
      <c r="BJ25" s="62">
        <f t="shared" si="38"/>
        <v>351.15312364640613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2.3697621987228938</v>
      </c>
      <c r="BS25" s="24">
        <f t="shared" si="9"/>
        <v>2.3697621987228938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68.195506926115257</v>
      </c>
      <c r="CE25" s="62">
        <f t="shared" si="40"/>
        <v>352.52565673897004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67.299791159225123</v>
      </c>
      <c r="CL25" s="23">
        <f>EXP(-LN(2)/25)*CL24+(1-EXP(-LN(2)/25))/(LN(2)/25)*Calculateur!CG25*Calculateur!CI25*VLOOKUP('Données projet'!$B$12,Paramètres!$A$1:$I$89,3,0)*0.475*44/12</f>
        <v>17.2960339195686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84.595825078793723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77.885897614924062</v>
      </c>
      <c r="CZ25" s="62">
        <f t="shared" si="42"/>
        <v>401.02460251355296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77.405510598469803</v>
      </c>
      <c r="DG25" s="23">
        <f>EXP(-LN(2)/25)*DG24+(1-EXP(-LN(2)/25))/(LN(2)/25)*Calculateur!DB25*Calculateur!DD25*VLOOKUP('Données projet'!$B$13,Paramètres!$A$1:$I$89,3,0)*0.475*44/12</f>
        <v>19.893201952219481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97.298712550689288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>
        <f>DO25*VLOOKUP('Données projet'!$B$14,Paramètres!$A$1:$I$89,3,0)*VLOOKUP('Données projet'!$B$14,Paramètres!$A$1:$I$89,5,0)</f>
        <v>0</v>
      </c>
      <c r="DQ25" s="14" t="e">
        <f t="shared" si="43"/>
        <v>#NUM!</v>
      </c>
      <c r="DR25" s="22" t="e">
        <f t="shared" si="16"/>
        <v>#NUM!</v>
      </c>
      <c r="DS25" s="62" t="e">
        <f t="shared" si="17"/>
        <v>#NUM!</v>
      </c>
      <c r="DT25" s="62">
        <f ca="1">AVERAGE(OFFSET($DS$3,0,0,'Données projet'!$E$14+1,1))-AVERAGE(OFFSET($H$3,0,0,'Données projet'!$E$14+1,1))</f>
        <v>79.532301588639172</v>
      </c>
      <c r="DU25" s="62">
        <f t="shared" si="44"/>
        <v>409.2657792678549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79.125633056213559</v>
      </c>
      <c r="EB25" s="23">
        <f>EXP(-LN(2)/25)*EB24+(1-EXP(-LN(2)/25))/(LN(2)/25)*Calculateur!DW25*Calculateur!DY25*VLOOKUP('Données projet'!$B$14,Paramètres!$A$1:$I$89,3,0)*0.475*44/12</f>
        <v>20.335273106713256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99.460906162926818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>
        <f>EJ25*VLOOKUP('Données projet'!$B$15,Paramètres!$A$1:$I$89,3,0)*VLOOKUP('Données projet'!$B$15,Paramètres!$A$1:$I$89,5,0)</f>
        <v>0</v>
      </c>
      <c r="EL25" s="14" t="e">
        <f t="shared" si="45"/>
        <v>#NUM!</v>
      </c>
      <c r="EM25" s="22" t="e">
        <f t="shared" si="19"/>
        <v>#NUM!</v>
      </c>
      <c r="EN25" s="62" t="e">
        <f t="shared" si="20"/>
        <v>#NUM!</v>
      </c>
      <c r="EO25" s="62">
        <f ca="1">AVERAGE(OFFSET($EN$3,0,0,'Données projet'!$E$15+1,1))-AVERAGE(OFFSET($H$3,0,0,'Données projet'!$E$15+1,1))</f>
        <v>77.885897614924062</v>
      </c>
      <c r="EP25" s="62">
        <f t="shared" si="46"/>
        <v>401.02460251355296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77.405510598469803</v>
      </c>
      <c r="EW25" s="23">
        <f>EXP(-LN(2)/25)*EW24+(1-EXP(-LN(2)/25))/(LN(2)/25)*Calculateur!ER25*Calculateur!ET25*VLOOKUP('Données projet'!$B$15,Paramètres!$A$1:$I$89,3,0)*0.475*44/12</f>
        <v>19.893201952219481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97.298712550689288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416.23086315847627</v>
      </c>
      <c r="S26" s="62">
        <f ca="1">AVERAGE(OFFSET($R$3,0,0,'Données projet'!$E$9+1,1))-AVERAGE(OFFSET($H$3,0,0,'Données projet'!$E$9+1,1))</f>
        <v>426.87921482911719</v>
      </c>
      <c r="T26" s="62">
        <f t="shared" si="34"/>
        <v>313.49594674441835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338.63064255378941</v>
      </c>
      <c r="AN26" s="62">
        <f ca="1">AVERAGE(OFFSET($AM$3,0,0,'Données projet'!$E$10+1,1))-AVERAGE(OFFSET($H$3,0,0,'Données projet'!$E$10+1,1))</f>
        <v>462.95686283420531</v>
      </c>
      <c r="AO26" s="62">
        <f t="shared" si="36"/>
        <v>275.54513370838777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13.4</v>
      </c>
      <c r="BD26" s="13">
        <f>IF('Données projet'!$A$88&gt;35,BD25+BC26-BL25,IF(A26&lt;'Données projet'!$A$88,$BA$205^A26,IF(A26='Données projet'!$A$88,'Données projet'!$B$88,BD25+BC26-BL25)))</f>
        <v>131.20000000000002</v>
      </c>
      <c r="BE26" s="14">
        <f>BD26*VLOOKUP('Données projet'!$B$11,Paramètres!$A$1:$I$89,3,0)*VLOOKUP('Données projet'!$B$11,Paramètres!$A$1:$I$89,5,0)</f>
        <v>78.457600000000014</v>
      </c>
      <c r="BF26" s="14">
        <f t="shared" si="37"/>
        <v>21.759633072453035</v>
      </c>
      <c r="BG26" s="22">
        <f t="shared" si="7"/>
        <v>174.54501426785569</v>
      </c>
      <c r="BH26" s="62">
        <f t="shared" si="8"/>
        <v>398.03021097740219</v>
      </c>
      <c r="BI26" s="62">
        <f ca="1">AVERAGE(OFFSET($BH$3,0,0,'Données projet'!$E$11+1,1))-AVERAGE(OFFSET($H$3,0,0,'Données projet'!$E$11+1,1))</f>
        <v>505.16888119060701</v>
      </c>
      <c r="BJ26" s="62">
        <f t="shared" si="38"/>
        <v>351.15312364640613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1.6756749205165011</v>
      </c>
      <c r="BS26" s="24">
        <f t="shared" si="9"/>
        <v>1.6756749205165011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68.195506926115257</v>
      </c>
      <c r="CE26" s="62">
        <f t="shared" si="40"/>
        <v>352.52565673897004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65.980083303412087</v>
      </c>
      <c r="CL26" s="23">
        <f>EXP(-LN(2)/25)*CL25+(1-EXP(-LN(2)/25))/(LN(2)/25)*Calculateur!CG26*Calculateur!CI26*VLOOKUP('Données projet'!$B$12,Paramètres!$A$1:$I$89,3,0)*0.475*44/12</f>
        <v>16.823072962479102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82.803156265891189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77.885897614924062</v>
      </c>
      <c r="CZ26" s="62">
        <f t="shared" si="42"/>
        <v>401.02460251355296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75.887635748333409</v>
      </c>
      <c r="DG26" s="23">
        <f>EXP(-LN(2)/25)*DG25+(1-EXP(-LN(2)/25))/(LN(2)/25)*Calculateur!DB26*Calculateur!DD26*VLOOKUP('Données projet'!$B$13,Paramètres!$A$1:$I$89,3,0)*0.475*44/12</f>
        <v>19.349221298698016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95.236857047031421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>
        <f>DO26*VLOOKUP('Données projet'!$B$14,Paramètres!$A$1:$I$89,3,0)*VLOOKUP('Données projet'!$B$14,Paramètres!$A$1:$I$89,5,0)</f>
        <v>0</v>
      </c>
      <c r="DQ26" s="14" t="e">
        <f t="shared" si="43"/>
        <v>#NUM!</v>
      </c>
      <c r="DR26" s="22" t="e">
        <f t="shared" si="16"/>
        <v>#NUM!</v>
      </c>
      <c r="DS26" s="62" t="e">
        <f t="shared" si="17"/>
        <v>#NUM!</v>
      </c>
      <c r="DT26" s="62">
        <f ca="1">AVERAGE(OFFSET($DS$3,0,0,'Données projet'!$E$14+1,1))-AVERAGE(OFFSET($H$3,0,0,'Données projet'!$E$14+1,1))</f>
        <v>79.532301588639172</v>
      </c>
      <c r="DU26" s="62">
        <f t="shared" si="44"/>
        <v>409.2657792678549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77.574027653851914</v>
      </c>
      <c r="EB26" s="23">
        <f>EXP(-LN(2)/25)*EB25+(1-EXP(-LN(2)/25))/(LN(2)/25)*Calculateur!DW26*Calculateur!DY26*VLOOKUP('Données projet'!$B$14,Paramètres!$A$1:$I$89,3,0)*0.475*44/12</f>
        <v>19.779203994224645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97.353231648076559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>
        <f>EJ26*VLOOKUP('Données projet'!$B$15,Paramètres!$A$1:$I$89,3,0)*VLOOKUP('Données projet'!$B$15,Paramètres!$A$1:$I$89,5,0)</f>
        <v>0</v>
      </c>
      <c r="EL26" s="14" t="e">
        <f t="shared" si="45"/>
        <v>#NUM!</v>
      </c>
      <c r="EM26" s="22" t="e">
        <f t="shared" si="19"/>
        <v>#NUM!</v>
      </c>
      <c r="EN26" s="62" t="e">
        <f t="shared" si="20"/>
        <v>#NUM!</v>
      </c>
      <c r="EO26" s="62">
        <f ca="1">AVERAGE(OFFSET($EN$3,0,0,'Données projet'!$E$15+1,1))-AVERAGE(OFFSET($H$3,0,0,'Données projet'!$E$15+1,1))</f>
        <v>77.885897614924062</v>
      </c>
      <c r="EP26" s="62">
        <f t="shared" si="46"/>
        <v>401.02460251355296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75.887635748333409</v>
      </c>
      <c r="EW26" s="23">
        <f>EXP(-LN(2)/25)*EW25+(1-EXP(-LN(2)/25))/(LN(2)/25)*Calculateur!ER26*Calculateur!ET26*VLOOKUP('Données projet'!$B$15,Paramètres!$A$1:$I$89,3,0)*0.475*44/12</f>
        <v>19.349221298698016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95.236857047031421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427.82619799182515</v>
      </c>
      <c r="S27" s="62">
        <f ca="1">AVERAGE(OFFSET($R$3,0,0,'Données projet'!$E$9+1,1))-AVERAGE(OFFSET($H$3,0,0,'Données projet'!$E$9+1,1))</f>
        <v>426.87921482911719</v>
      </c>
      <c r="T27" s="62">
        <f t="shared" si="34"/>
        <v>313.49594674441835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361.71677675311577</v>
      </c>
      <c r="AN27" s="62">
        <f ca="1">AVERAGE(OFFSET($AM$3,0,0,'Données projet'!$E$10+1,1))-AVERAGE(OFFSET($H$3,0,0,'Données projet'!$E$10+1,1))</f>
        <v>462.95686283420531</v>
      </c>
      <c r="AO27" s="62">
        <f t="shared" si="36"/>
        <v>275.54513370838777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13.4</v>
      </c>
      <c r="BD27" s="13">
        <f>IF('Données projet'!$A$88&gt;35,BD26+BC27-BL26,IF(A27&lt;'Données projet'!$A$88,$BA$205^A27,IF(A27='Données projet'!$A$88,'Données projet'!$B$88,BD26+BC27-BL26)))</f>
        <v>144.60000000000002</v>
      </c>
      <c r="BE27" s="14">
        <f>BD27*VLOOKUP('Données projet'!$B$11,Paramètres!$A$1:$I$89,3,0)*VLOOKUP('Données projet'!$B$11,Paramètres!$A$1:$I$89,5,0)</f>
        <v>86.470800000000025</v>
      </c>
      <c r="BF27" s="14">
        <f t="shared" si="37"/>
        <v>23.712095460938677</v>
      </c>
      <c r="BG27" s="22">
        <f t="shared" si="7"/>
        <v>191.9018762611349</v>
      </c>
      <c r="BH27" s="62">
        <f t="shared" si="8"/>
        <v>417.6725844447547</v>
      </c>
      <c r="BI27" s="62">
        <f ca="1">AVERAGE(OFFSET($BH$3,0,0,'Données projet'!$E$11+1,1))-AVERAGE(OFFSET($H$3,0,0,'Données projet'!$E$11+1,1))</f>
        <v>505.16888119060701</v>
      </c>
      <c r="BJ27" s="62">
        <f t="shared" si="38"/>
        <v>351.15312364640613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1.1848810993614471</v>
      </c>
      <c r="BS27" s="24">
        <f t="shared" si="9"/>
        <v>1.1848810993614471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68.195506926115257</v>
      </c>
      <c r="CE27" s="62">
        <f t="shared" si="40"/>
        <v>352.52565673897004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64.686254113709239</v>
      </c>
      <c r="CL27" s="23">
        <f>EXP(-LN(2)/25)*CL26+(1-EXP(-LN(2)/25))/(LN(2)/25)*Calculateur!CG27*Calculateur!CI27*VLOOKUP('Données projet'!$B$12,Paramètres!$A$1:$I$89,3,0)*0.475*44/12</f>
        <v>16.363045147633155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81.049299261342398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77.885897614924062</v>
      </c>
      <c r="CZ27" s="62">
        <f t="shared" si="42"/>
        <v>401.02460251355296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74.399525498195942</v>
      </c>
      <c r="DG27" s="23">
        <f>EXP(-LN(2)/25)*DG26+(1-EXP(-LN(2)/25))/(LN(2)/25)*Calculateur!DB27*Calculateur!DD27*VLOOKUP('Données projet'!$B$13,Paramètres!$A$1:$I$89,3,0)*0.475*44/12</f>
        <v>18.820115824753792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93.219641322949741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>
        <f>DO27*VLOOKUP('Données projet'!$B$14,Paramètres!$A$1:$I$89,3,0)*VLOOKUP('Données projet'!$B$14,Paramètres!$A$1:$I$89,5,0)</f>
        <v>0</v>
      </c>
      <c r="DQ27" s="14" t="e">
        <f t="shared" si="43"/>
        <v>#NUM!</v>
      </c>
      <c r="DR27" s="22" t="e">
        <f t="shared" si="16"/>
        <v>#NUM!</v>
      </c>
      <c r="DS27" s="62" t="e">
        <f t="shared" si="17"/>
        <v>#NUM!</v>
      </c>
      <c r="DT27" s="62">
        <f ca="1">AVERAGE(OFFSET($DS$3,0,0,'Données projet'!$E$14+1,1))-AVERAGE(OFFSET($H$3,0,0,'Données projet'!$E$14+1,1))</f>
        <v>79.532301588639172</v>
      </c>
      <c r="DU27" s="62">
        <f t="shared" si="44"/>
        <v>409.2657792678549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76.052848287044725</v>
      </c>
      <c r="EB27" s="23">
        <f>EXP(-LN(2)/25)*EB26+(1-EXP(-LN(2)/25))/(LN(2)/25)*Calculateur!DW27*Calculateur!DY27*VLOOKUP('Données projet'!$B$14,Paramètres!$A$1:$I$89,3,0)*0.475*44/12</f>
        <v>19.238340620859439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95.291188907904171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>
        <f>EJ27*VLOOKUP('Données projet'!$B$15,Paramètres!$A$1:$I$89,3,0)*VLOOKUP('Données projet'!$B$15,Paramètres!$A$1:$I$89,5,0)</f>
        <v>0</v>
      </c>
      <c r="EL27" s="14" t="e">
        <f t="shared" si="45"/>
        <v>#NUM!</v>
      </c>
      <c r="EM27" s="22" t="e">
        <f t="shared" si="19"/>
        <v>#NUM!</v>
      </c>
      <c r="EN27" s="62" t="e">
        <f t="shared" si="20"/>
        <v>#NUM!</v>
      </c>
      <c r="EO27" s="62">
        <f ca="1">AVERAGE(OFFSET($EN$3,0,0,'Données projet'!$E$15+1,1))-AVERAGE(OFFSET($H$3,0,0,'Données projet'!$E$15+1,1))</f>
        <v>77.885897614924062</v>
      </c>
      <c r="EP27" s="62">
        <f t="shared" si="46"/>
        <v>401.02460251355296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74.399525498195942</v>
      </c>
      <c r="EW27" s="23">
        <f>EXP(-LN(2)/25)*EW26+(1-EXP(-LN(2)/25))/(LN(2)/25)*Calculateur!ER27*Calculateur!ET27*VLOOKUP('Données projet'!$B$15,Paramètres!$A$1:$I$89,3,0)*0.475*44/12</f>
        <v>18.820115824753792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93.219641322949741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439.39315541429301</v>
      </c>
      <c r="S28" s="62">
        <f ca="1">AVERAGE(OFFSET($R$3,0,0,'Données projet'!$E$9+1,1))-AVERAGE(OFFSET($H$3,0,0,'Données projet'!$E$9+1,1))</f>
        <v>426.87921482911719</v>
      </c>
      <c r="T28" s="62">
        <f t="shared" si="34"/>
        <v>313.49594674441835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388.55295368910902</v>
      </c>
      <c r="AN28" s="62">
        <f ca="1">AVERAGE(OFFSET($AM$3,0,0,'Données projet'!$E$10+1,1))-AVERAGE(OFFSET($H$3,0,0,'Données projet'!$E$10+1,1))</f>
        <v>462.95686283420531</v>
      </c>
      <c r="AO28" s="62">
        <f t="shared" si="36"/>
        <v>275.54513370838777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13.4</v>
      </c>
      <c r="BD28" s="13">
        <f>IF('Données projet'!$A$88&gt;35,BD27+BC28-BL27,IF(A28&lt;'Données projet'!$A$88,$BA$205^A28,IF(A28='Données projet'!$A$88,'Données projet'!$B$88,BD27+BC28-BL27)))</f>
        <v>158.00000000000003</v>
      </c>
      <c r="BE28" s="14">
        <f>BD28*VLOOKUP('Données projet'!$B$11,Paramètres!$A$1:$I$89,3,0)*VLOOKUP('Données projet'!$B$11,Paramètres!$A$1:$I$89,5,0)</f>
        <v>94.484000000000037</v>
      </c>
      <c r="BF28" s="14">
        <f t="shared" si="37"/>
        <v>25.643578691511802</v>
      </c>
      <c r="BG28" s="22">
        <f t="shared" si="7"/>
        <v>209.22219955438311</v>
      </c>
      <c r="BH28" s="62">
        <f t="shared" si="8"/>
        <v>437.25997352071522</v>
      </c>
      <c r="BI28" s="62">
        <f ca="1">AVERAGE(OFFSET($BH$3,0,0,'Données projet'!$E$11+1,1))-AVERAGE(OFFSET($H$3,0,0,'Données projet'!$E$11+1,1))</f>
        <v>505.16888119060701</v>
      </c>
      <c r="BJ28" s="62">
        <f t="shared" si="38"/>
        <v>351.15312364640613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0.83783746025825079</v>
      </c>
      <c r="BS28" s="24">
        <f t="shared" si="9"/>
        <v>0.83783746025825079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68.195506926115257</v>
      </c>
      <c r="CE28" s="62">
        <f t="shared" si="40"/>
        <v>352.52565673897004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63.417796125258583</v>
      </c>
      <c r="CL28" s="23">
        <f>EXP(-LN(2)/25)*CL27+(1-EXP(-LN(2)/25))/(LN(2)/25)*Calculateur!CG28*Calculateur!CI28*VLOOKUP('Données projet'!$B$12,Paramètres!$A$1:$I$89,3,0)*0.475*44/12</f>
        <v>15.915596817575981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79.333392942834564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77.885897614924062</v>
      </c>
      <c r="CZ28" s="62">
        <f t="shared" si="42"/>
        <v>401.02460251355296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72.94059618240604</v>
      </c>
      <c r="DG28" s="23">
        <f>EXP(-LN(2)/25)*DG27+(1-EXP(-LN(2)/25))/(LN(2)/25)*Calculateur!DB28*Calculateur!DD28*VLOOKUP('Données projet'!$B$13,Paramètres!$A$1:$I$89,3,0)*0.475*44/12</f>
        <v>18.305478767819022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91.246074950225065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>
        <f>DO28*VLOOKUP('Données projet'!$B$14,Paramètres!$A$1:$I$89,3,0)*VLOOKUP('Données projet'!$B$14,Paramètres!$A$1:$I$89,5,0)</f>
        <v>0</v>
      </c>
      <c r="DQ28" s="14" t="e">
        <f t="shared" si="43"/>
        <v>#NUM!</v>
      </c>
      <c r="DR28" s="22" t="e">
        <f t="shared" si="16"/>
        <v>#NUM!</v>
      </c>
      <c r="DS28" s="62" t="e">
        <f t="shared" si="17"/>
        <v>#NUM!</v>
      </c>
      <c r="DT28" s="62">
        <f ca="1">AVERAGE(OFFSET($DS$3,0,0,'Données projet'!$E$14+1,1))-AVERAGE(OFFSET($H$3,0,0,'Données projet'!$E$14+1,1))</f>
        <v>79.532301588639172</v>
      </c>
      <c r="DU28" s="62">
        <f t="shared" si="44"/>
        <v>409.2657792678549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74.561498319792832</v>
      </c>
      <c r="EB28" s="23">
        <f>EXP(-LN(2)/25)*EB27+(1-EXP(-LN(2)/25))/(LN(2)/25)*Calculateur!DW28*Calculateur!DY28*VLOOKUP('Données projet'!$B$14,Paramètres!$A$1:$I$89,3,0)*0.475*44/12</f>
        <v>18.712267184881675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93.273765504674515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>
        <f>EJ28*VLOOKUP('Données projet'!$B$15,Paramètres!$A$1:$I$89,3,0)*VLOOKUP('Données projet'!$B$15,Paramètres!$A$1:$I$89,5,0)</f>
        <v>0</v>
      </c>
      <c r="EL28" s="14" t="e">
        <f t="shared" si="45"/>
        <v>#NUM!</v>
      </c>
      <c r="EM28" s="22" t="e">
        <f t="shared" si="19"/>
        <v>#NUM!</v>
      </c>
      <c r="EN28" s="62" t="e">
        <f t="shared" si="20"/>
        <v>#NUM!</v>
      </c>
      <c r="EO28" s="62">
        <f ca="1">AVERAGE(OFFSET($EN$3,0,0,'Données projet'!$E$15+1,1))-AVERAGE(OFFSET($H$3,0,0,'Données projet'!$E$15+1,1))</f>
        <v>77.885897614924062</v>
      </c>
      <c r="EP28" s="62">
        <f t="shared" si="46"/>
        <v>401.02460251355296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72.94059618240604</v>
      </c>
      <c r="EW28" s="23">
        <f>EXP(-LN(2)/25)*EW27+(1-EXP(-LN(2)/25))/(LN(2)/25)*Calculateur!ER28*Calculateur!ET28*VLOOKUP('Données projet'!$B$15,Paramètres!$A$1:$I$89,3,0)*0.475*44/12</f>
        <v>18.305478767819022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91.246074950225065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450.9325544896227</v>
      </c>
      <c r="S29" s="62">
        <f ca="1">AVERAGE(OFFSET($R$3,0,0,'Données projet'!$E$9+1,1))-AVERAGE(OFFSET($H$3,0,0,'Données projet'!$E$9+1,1))</f>
        <v>426.87921482911719</v>
      </c>
      <c r="T29" s="62">
        <f t="shared" si="34"/>
        <v>313.49594674441835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388.59834261174927</v>
      </c>
      <c r="AN29" s="62">
        <f ca="1">AVERAGE(OFFSET($AM$3,0,0,'Données projet'!$E$10+1,1))-AVERAGE(OFFSET($H$3,0,0,'Données projet'!$E$10+1,1))</f>
        <v>462.95686283420531</v>
      </c>
      <c r="AO29" s="62">
        <f t="shared" si="36"/>
        <v>275.54513370838777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171.40000000000003</v>
      </c>
      <c r="BE29" s="14">
        <f>BD29*VLOOKUP('Données projet'!$B$11,Paramètres!$A$1:$I$89,3,0)*VLOOKUP('Données projet'!$B$11,Paramètres!$A$1:$I$89,5,0)</f>
        <v>102.49720000000003</v>
      </c>
      <c r="BF29" s="14">
        <f t="shared" si="37"/>
        <v>27.556064299174871</v>
      </c>
      <c r="BG29" s="22">
        <f t="shared" si="7"/>
        <v>226.50943532106294</v>
      </c>
      <c r="BH29" s="62">
        <f t="shared" si="8"/>
        <v>456.79614937025315</v>
      </c>
      <c r="BI29" s="62">
        <f ca="1">AVERAGE(OFFSET($BH$3,0,0,'Données projet'!$E$11+1,1))-AVERAGE(OFFSET($H$3,0,0,'Données projet'!$E$11+1,1))</f>
        <v>505.16888119060701</v>
      </c>
      <c r="BJ29" s="62">
        <f t="shared" si="38"/>
        <v>351.15312364640613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0.59244054968072368</v>
      </c>
      <c r="BS29" s="24">
        <f t="shared" si="9"/>
        <v>0.59244054968072368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68.195506926115257</v>
      </c>
      <c r="CE29" s="62">
        <f t="shared" si="40"/>
        <v>352.52565673897004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62.174211824278466</v>
      </c>
      <c r="CL29" s="23">
        <f>EXP(-LN(2)/25)*CL28+(1-EXP(-LN(2)/25))/(LN(2)/25)*Calculateur!CG29*Calculateur!CI29*VLOOKUP('Données projet'!$B$12,Paramètres!$A$1:$I$89,3,0)*0.475*44/12</f>
        <v>15.480383985634505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77.654595809912976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77.885897614924062</v>
      </c>
      <c r="CZ29" s="62">
        <f t="shared" si="42"/>
        <v>401.02460251355296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71.510275580639771</v>
      </c>
      <c r="DG29" s="23">
        <f>EXP(-LN(2)/25)*DG28+(1-EXP(-LN(2)/25))/(LN(2)/25)*Calculateur!DB29*Calculateur!DD29*VLOOKUP('Données projet'!$B$13,Paramètres!$A$1:$I$89,3,0)*0.475*44/12</f>
        <v>17.80491448826972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89.315190068909487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>
        <f>DO29*VLOOKUP('Données projet'!$B$14,Paramètres!$A$1:$I$89,3,0)*VLOOKUP('Données projet'!$B$14,Paramètres!$A$1:$I$89,5,0)</f>
        <v>0</v>
      </c>
      <c r="DQ29" s="14" t="e">
        <f t="shared" si="43"/>
        <v>#NUM!</v>
      </c>
      <c r="DR29" s="22" t="e">
        <f t="shared" si="16"/>
        <v>#NUM!</v>
      </c>
      <c r="DS29" s="62" t="e">
        <f t="shared" si="17"/>
        <v>#NUM!</v>
      </c>
      <c r="DT29" s="62">
        <f ca="1">AVERAGE(OFFSET($DS$3,0,0,'Données projet'!$E$14+1,1))-AVERAGE(OFFSET($H$3,0,0,'Données projet'!$E$14+1,1))</f>
        <v>79.532301588639172</v>
      </c>
      <c r="DU29" s="62">
        <f t="shared" si="44"/>
        <v>409.2657792678549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73.099392815765086</v>
      </c>
      <c r="EB29" s="23">
        <f>EXP(-LN(2)/25)*EB28+(1-EXP(-LN(2)/25))/(LN(2)/25)*Calculateur!DW29*Calculateur!DY29*VLOOKUP('Données projet'!$B$14,Paramètres!$A$1:$I$89,3,0)*0.475*44/12</f>
        <v>18.200579254675723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91.299972070440816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>
        <f>EJ29*VLOOKUP('Données projet'!$B$15,Paramètres!$A$1:$I$89,3,0)*VLOOKUP('Données projet'!$B$15,Paramètres!$A$1:$I$89,5,0)</f>
        <v>0</v>
      </c>
      <c r="EL29" s="14" t="e">
        <f t="shared" si="45"/>
        <v>#NUM!</v>
      </c>
      <c r="EM29" s="22" t="e">
        <f t="shared" si="19"/>
        <v>#NUM!</v>
      </c>
      <c r="EN29" s="62" t="e">
        <f t="shared" si="20"/>
        <v>#NUM!</v>
      </c>
      <c r="EO29" s="62">
        <f ca="1">AVERAGE(OFFSET($EN$3,0,0,'Données projet'!$E$15+1,1))-AVERAGE(OFFSET($H$3,0,0,'Données projet'!$E$15+1,1))</f>
        <v>77.885897614924062</v>
      </c>
      <c r="EP29" s="62">
        <f t="shared" si="46"/>
        <v>401.02460251355296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71.510275580639771</v>
      </c>
      <c r="EW29" s="23">
        <f>EXP(-LN(2)/25)*EW28+(1-EXP(-LN(2)/25))/(LN(2)/25)*Calculateur!ER29*Calculateur!ET29*VLOOKUP('Données projet'!$B$15,Paramètres!$A$1:$I$89,3,0)*0.475*44/12</f>
        <v>17.80491448826972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89.315190068909487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462.44516322261313</v>
      </c>
      <c r="S30" s="62">
        <f ca="1">AVERAGE(OFFSET($R$3,0,0,'Données projet'!$E$9+1,1))-AVERAGE(OFFSET($H$3,0,0,'Données projet'!$E$9+1,1))</f>
        <v>426.87921482911719</v>
      </c>
      <c r="T30" s="62">
        <f t="shared" si="34"/>
        <v>313.49594674441835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406.2396566821734</v>
      </c>
      <c r="AN30" s="62">
        <f ca="1">AVERAGE(OFFSET($AM$3,0,0,'Données projet'!$E$10+1,1))-AVERAGE(OFFSET($H$3,0,0,'Données projet'!$E$10+1,1))</f>
        <v>462.95686283420531</v>
      </c>
      <c r="AO30" s="62">
        <f t="shared" si="36"/>
        <v>275.54513370838777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184.80000000000004</v>
      </c>
      <c r="BE30" s="14">
        <f>BD30*VLOOKUP('Données projet'!$B$11,Paramètres!$A$1:$I$89,3,0)*VLOOKUP('Données projet'!$B$11,Paramètres!$A$1:$I$89,5,0)</f>
        <v>110.51040000000003</v>
      </c>
      <c r="BF30" s="14">
        <f t="shared" si="37"/>
        <v>29.451206375056412</v>
      </c>
      <c r="BG30" s="22">
        <f t="shared" si="7"/>
        <v>243.76646443655662</v>
      </c>
      <c r="BH30" s="62">
        <f t="shared" si="8"/>
        <v>476.28430730912009</v>
      </c>
      <c r="BI30" s="62">
        <f ca="1">AVERAGE(OFFSET($BH$3,0,0,'Données projet'!$E$11+1,1))-AVERAGE(OFFSET($H$3,0,0,'Données projet'!$E$11+1,1))</f>
        <v>505.16888119060701</v>
      </c>
      <c r="BJ30" s="62">
        <f t="shared" si="38"/>
        <v>351.15312364640613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0.41891873012912545</v>
      </c>
      <c r="BS30" s="24">
        <f t="shared" si="9"/>
        <v>0.41891873012912545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68.195506926115257</v>
      </c>
      <c r="CE30" s="62">
        <f t="shared" si="40"/>
        <v>352.52565673897004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60.955013452929037</v>
      </c>
      <c r="CL30" s="23">
        <f>EXP(-LN(2)/25)*CL29+(1-EXP(-LN(2)/25))/(LN(2)/25)*Calculateur!CG30*Calculateur!CI30*VLOOKUP('Données projet'!$B$12,Paramètres!$A$1:$I$89,3,0)*0.475*44/12</f>
        <v>15.057072071469317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76.012085524398358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77.885897614924062</v>
      </c>
      <c r="CZ30" s="62">
        <f t="shared" si="42"/>
        <v>401.02460251355296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70.108002693464712</v>
      </c>
      <c r="DG30" s="23">
        <f>EXP(-LN(2)/25)*DG29+(1-EXP(-LN(2)/25))/(LN(2)/25)*Calculateur!DB30*Calculateur!DD30*VLOOKUP('Données projet'!$B$13,Paramètres!$A$1:$I$89,3,0)*0.475*44/12</f>
        <v>17.318038165268224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87.426040858732932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>
        <f>DO30*VLOOKUP('Données projet'!$B$14,Paramètres!$A$1:$I$89,3,0)*VLOOKUP('Données projet'!$B$14,Paramètres!$A$1:$I$89,5,0)</f>
        <v>0</v>
      </c>
      <c r="DQ30" s="14" t="e">
        <f t="shared" si="43"/>
        <v>#NUM!</v>
      </c>
      <c r="DR30" s="22" t="e">
        <f t="shared" si="16"/>
        <v>#NUM!</v>
      </c>
      <c r="DS30" s="62" t="e">
        <f t="shared" si="17"/>
        <v>#NUM!</v>
      </c>
      <c r="DT30" s="62">
        <f ca="1">AVERAGE(OFFSET($DS$3,0,0,'Données projet'!$E$14+1,1))-AVERAGE(OFFSET($H$3,0,0,'Données projet'!$E$14+1,1))</f>
        <v>79.532301588639172</v>
      </c>
      <c r="DU30" s="62">
        <f t="shared" si="44"/>
        <v>409.2657792678549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71.66595830887502</v>
      </c>
      <c r="EB30" s="23">
        <f>EXP(-LN(2)/25)*EB29+(1-EXP(-LN(2)/25))/(LN(2)/25)*Calculateur!DW30*Calculateur!DY30*VLOOKUP('Données projet'!$B$14,Paramètres!$A$1:$I$89,3,0)*0.475*44/12</f>
        <v>17.702883457829749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89.368841766704776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>
        <f>EJ30*VLOOKUP('Données projet'!$B$15,Paramètres!$A$1:$I$89,3,0)*VLOOKUP('Données projet'!$B$15,Paramètres!$A$1:$I$89,5,0)</f>
        <v>0</v>
      </c>
      <c r="EL30" s="14" t="e">
        <f t="shared" si="45"/>
        <v>#NUM!</v>
      </c>
      <c r="EM30" s="22" t="e">
        <f t="shared" si="19"/>
        <v>#NUM!</v>
      </c>
      <c r="EN30" s="62" t="e">
        <f t="shared" si="20"/>
        <v>#NUM!</v>
      </c>
      <c r="EO30" s="62">
        <f ca="1">AVERAGE(OFFSET($EN$3,0,0,'Données projet'!$E$15+1,1))-AVERAGE(OFFSET($H$3,0,0,'Données projet'!$E$15+1,1))</f>
        <v>77.885897614924062</v>
      </c>
      <c r="EP30" s="62">
        <f t="shared" si="46"/>
        <v>401.02460251355296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70.108002693464712</v>
      </c>
      <c r="EW30" s="23">
        <f>EXP(-LN(2)/25)*EW29+(1-EXP(-LN(2)/25))/(LN(2)/25)*Calculateur!ER30*Calculateur!ET30*VLOOKUP('Données projet'!$B$15,Paramètres!$A$1:$I$89,3,0)*0.475*44/12</f>
        <v>17.318038165268224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87.426040858732932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473.93170451491801</v>
      </c>
      <c r="S31" s="62">
        <f ca="1">AVERAGE(OFFSET($R$3,0,0,'Données projet'!$E$9+1,1))-AVERAGE(OFFSET($H$3,0,0,'Données projet'!$E$9+1,1))</f>
        <v>426.87921482911719</v>
      </c>
      <c r="T31" s="62">
        <f t="shared" si="34"/>
        <v>313.49594674441835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423.83134020465241</v>
      </c>
      <c r="AN31" s="62">
        <f ca="1">AVERAGE(OFFSET($AM$3,0,0,'Données projet'!$E$10+1,1))-AVERAGE(OFFSET($H$3,0,0,'Données projet'!$E$10+1,1))</f>
        <v>462.95686283420531</v>
      </c>
      <c r="AO31" s="62">
        <f t="shared" si="36"/>
        <v>275.54513370838777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198.20000000000005</v>
      </c>
      <c r="BE31" s="14">
        <f>BD31*VLOOKUP('Données projet'!$B$11,Paramètres!$A$1:$I$89,3,0)*VLOOKUP('Données projet'!$B$11,Paramètres!$A$1:$I$89,5,0)</f>
        <v>118.52360000000003</v>
      </c>
      <c r="BF31" s="14">
        <f t="shared" si="37"/>
        <v>31.330405532670223</v>
      </c>
      <c r="BG31" s="22">
        <f t="shared" si="7"/>
        <v>260.995726302734</v>
      </c>
      <c r="BH31" s="62">
        <f t="shared" si="8"/>
        <v>495.72719572471806</v>
      </c>
      <c r="BI31" s="62">
        <f ca="1">AVERAGE(OFFSET($BH$3,0,0,'Données projet'!$E$11+1,1))-AVERAGE(OFFSET($H$3,0,0,'Données projet'!$E$11+1,1))</f>
        <v>505.16888119060701</v>
      </c>
      <c r="BJ31" s="62">
        <f t="shared" si="38"/>
        <v>351.15312364640613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0.2962202748403619</v>
      </c>
      <c r="BS31" s="24">
        <f t="shared" si="9"/>
        <v>0.2962202748403619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68.195506926115257</v>
      </c>
      <c r="CE31" s="62">
        <f t="shared" si="40"/>
        <v>352.52565673897004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59.759722818004192</v>
      </c>
      <c r="CL31" s="23">
        <f>EXP(-LN(2)/25)*CL30+(1-EXP(-LN(2)/25))/(LN(2)/25)*Calculateur!CG31*Calculateur!CI31*VLOOKUP('Données projet'!$B$12,Paramètres!$A$1:$I$89,3,0)*0.475*44/12</f>
        <v>14.645335643857981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74.405058461862168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77.885897614924062</v>
      </c>
      <c r="CZ31" s="62">
        <f t="shared" si="42"/>
        <v>401.02460251355296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68.733227522305143</v>
      </c>
      <c r="DG31" s="23">
        <f>EXP(-LN(2)/25)*DG30+(1-EXP(-LN(2)/25))/(LN(2)/25)*Calculateur!DB31*Calculateur!DD31*VLOOKUP('Données projet'!$B$13,Paramètres!$A$1:$I$89,3,0)*0.475*44/12</f>
        <v>16.844475500922918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85.577703023228054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>
        <f>DO31*VLOOKUP('Données projet'!$B$14,Paramètres!$A$1:$I$89,3,0)*VLOOKUP('Données projet'!$B$14,Paramètres!$A$1:$I$89,5,0)</f>
        <v>0</v>
      </c>
      <c r="DQ31" s="14" t="e">
        <f t="shared" si="43"/>
        <v>#NUM!</v>
      </c>
      <c r="DR31" s="22" t="e">
        <f t="shared" si="16"/>
        <v>#NUM!</v>
      </c>
      <c r="DS31" s="62" t="e">
        <f t="shared" si="17"/>
        <v>#NUM!</v>
      </c>
      <c r="DT31" s="62">
        <f ca="1">AVERAGE(OFFSET($DS$3,0,0,'Données projet'!$E$14+1,1))-AVERAGE(OFFSET($H$3,0,0,'Données projet'!$E$14+1,1))</f>
        <v>79.532301588639172</v>
      </c>
      <c r="DU31" s="62">
        <f t="shared" si="44"/>
        <v>409.2657792678549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70.260632578356351</v>
      </c>
      <c r="EB31" s="23">
        <f>EXP(-LN(2)/25)*EB30+(1-EXP(-LN(2)/25))/(LN(2)/25)*Calculateur!DW31*Calculateur!DY31*VLOOKUP('Données projet'!$B$14,Paramètres!$A$1:$I$89,3,0)*0.475*44/12</f>
        <v>17.218797178721214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87.479429757077568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>
        <f>EJ31*VLOOKUP('Données projet'!$B$15,Paramètres!$A$1:$I$89,3,0)*VLOOKUP('Données projet'!$B$15,Paramètres!$A$1:$I$89,5,0)</f>
        <v>0</v>
      </c>
      <c r="EL31" s="14" t="e">
        <f t="shared" si="45"/>
        <v>#NUM!</v>
      </c>
      <c r="EM31" s="22" t="e">
        <f t="shared" si="19"/>
        <v>#NUM!</v>
      </c>
      <c r="EN31" s="62" t="e">
        <f t="shared" si="20"/>
        <v>#NUM!</v>
      </c>
      <c r="EO31" s="62">
        <f ca="1">AVERAGE(OFFSET($EN$3,0,0,'Données projet'!$E$15+1,1))-AVERAGE(OFFSET($H$3,0,0,'Données projet'!$E$15+1,1))</f>
        <v>77.885897614924062</v>
      </c>
      <c r="EP31" s="62">
        <f t="shared" si="46"/>
        <v>401.02460251355296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68.733227522305143</v>
      </c>
      <c r="EW31" s="23">
        <f>EXP(-LN(2)/25)*EW30+(1-EXP(-LN(2)/25))/(LN(2)/25)*Calculateur!ER31*Calculateur!ET31*VLOOKUP('Données projet'!$B$15,Paramètres!$A$1:$I$89,3,0)*0.475*44/12</f>
        <v>16.844475500922918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85.577703023228054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485.39286116192659</v>
      </c>
      <c r="S32" s="62">
        <f ca="1">AVERAGE(OFFSET($R$3,0,0,'Données projet'!$E$9+1,1))-AVERAGE(OFFSET($H$3,0,0,'Données projet'!$E$9+1,1))</f>
        <v>426.87921482911719</v>
      </c>
      <c r="T32" s="62">
        <f t="shared" si="34"/>
        <v>313.49594674441835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441.37667855229506</v>
      </c>
      <c r="AN32" s="62">
        <f ca="1">AVERAGE(OFFSET($AM$3,0,0,'Données projet'!$E$10+1,1))-AVERAGE(OFFSET($H$3,0,0,'Données projet'!$E$10+1,1))</f>
        <v>462.95686283420531</v>
      </c>
      <c r="AO32" s="62">
        <f t="shared" si="36"/>
        <v>275.54513370838777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211.60000000000005</v>
      </c>
      <c r="BE32" s="14">
        <f>BD32*VLOOKUP('Données projet'!$B$11,Paramètres!$A$1:$I$89,3,0)*VLOOKUP('Données projet'!$B$11,Paramètres!$A$1:$I$89,5,0)</f>
        <v>126.53680000000004</v>
      </c>
      <c r="BF32" s="14">
        <f t="shared" si="37"/>
        <v>33.194862281434972</v>
      </c>
      <c r="BG32" s="22">
        <f t="shared" si="7"/>
        <v>278.19931180683267</v>
      </c>
      <c r="BH32" s="62">
        <f t="shared" si="8"/>
        <v>515.12720912960845</v>
      </c>
      <c r="BI32" s="62">
        <f ca="1">AVERAGE(OFFSET($BH$3,0,0,'Données projet'!$E$11+1,1))-AVERAGE(OFFSET($H$3,0,0,'Données projet'!$E$11+1,1))</f>
        <v>505.16888119060701</v>
      </c>
      <c r="BJ32" s="62">
        <f t="shared" si="38"/>
        <v>351.15312364640613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0.20945936506456275</v>
      </c>
      <c r="BS32" s="24">
        <f t="shared" si="9"/>
        <v>0.20945936506456275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68.195506926115257</v>
      </c>
      <c r="CE32" s="62">
        <f t="shared" si="40"/>
        <v>352.52565673897004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58.58787110337493</v>
      </c>
      <c r="CL32" s="23">
        <f>EXP(-LN(2)/25)*CL31+(1-EXP(-LN(2)/25))/(LN(2)/25)*Calculateur!CG32*Calculateur!CI32*VLOOKUP('Données projet'!$B$12,Paramètres!$A$1:$I$89,3,0)*0.475*44/12</f>
        <v>14.244858170511955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72.832729273886883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77.885897614924062</v>
      </c>
      <c r="CZ32" s="62">
        <f t="shared" si="42"/>
        <v>401.02460251355296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67.385410853721964</v>
      </c>
      <c r="DG32" s="23">
        <f>EXP(-LN(2)/25)*DG31+(1-EXP(-LN(2)/25))/(LN(2)/25)*Calculateur!DB32*Calculateur!DD32*VLOOKUP('Données projet'!$B$13,Paramètres!$A$1:$I$89,3,0)*0.475*44/12</f>
        <v>16.383862432537715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83.769273286259676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>
        <f>DO32*VLOOKUP('Données projet'!$B$14,Paramètres!$A$1:$I$89,3,0)*VLOOKUP('Données projet'!$B$14,Paramètres!$A$1:$I$89,5,0)</f>
        <v>0</v>
      </c>
      <c r="DQ32" s="14" t="e">
        <f t="shared" si="43"/>
        <v>#NUM!</v>
      </c>
      <c r="DR32" s="22" t="e">
        <f t="shared" si="16"/>
        <v>#NUM!</v>
      </c>
      <c r="DS32" s="62" t="e">
        <f t="shared" si="17"/>
        <v>#NUM!</v>
      </c>
      <c r="DT32" s="62">
        <f ca="1">AVERAGE(OFFSET($DS$3,0,0,'Données projet'!$E$14+1,1))-AVERAGE(OFFSET($H$3,0,0,'Données projet'!$E$14+1,1))</f>
        <v>79.532301588639172</v>
      </c>
      <c r="DU32" s="62">
        <f t="shared" si="44"/>
        <v>409.2657792678549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68.882864428249093</v>
      </c>
      <c r="EB32" s="23">
        <f>EXP(-LN(2)/25)*EB31+(1-EXP(-LN(2)/25))/(LN(2)/25)*Calculateur!DW32*Calculateur!DY32*VLOOKUP('Données projet'!$B$14,Paramètres!$A$1:$I$89,3,0)*0.475*44/12</f>
        <v>16.747948264371892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85.630812692620992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>
        <f>EJ32*VLOOKUP('Données projet'!$B$15,Paramètres!$A$1:$I$89,3,0)*VLOOKUP('Données projet'!$B$15,Paramètres!$A$1:$I$89,5,0)</f>
        <v>0</v>
      </c>
      <c r="EL32" s="14" t="e">
        <f t="shared" si="45"/>
        <v>#NUM!</v>
      </c>
      <c r="EM32" s="22" t="e">
        <f t="shared" si="19"/>
        <v>#NUM!</v>
      </c>
      <c r="EN32" s="62" t="e">
        <f t="shared" si="20"/>
        <v>#NUM!</v>
      </c>
      <c r="EO32" s="62">
        <f ca="1">AVERAGE(OFFSET($EN$3,0,0,'Données projet'!$E$15+1,1))-AVERAGE(OFFSET($H$3,0,0,'Données projet'!$E$15+1,1))</f>
        <v>77.885897614924062</v>
      </c>
      <c r="EP32" s="62">
        <f t="shared" si="46"/>
        <v>401.02460251355296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67.385410853721964</v>
      </c>
      <c r="EW32" s="23">
        <f>EXP(-LN(2)/25)*EW31+(1-EXP(-LN(2)/25))/(LN(2)/25)*Calculateur!ER32*Calculateur!ET32*VLOOKUP('Données projet'!$B$15,Paramètres!$A$1:$I$89,3,0)*0.475*44/12</f>
        <v>16.383862432537715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83.769273286259676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496.82928007775172</v>
      </c>
      <c r="S33" s="62">
        <f ca="1">AVERAGE(OFFSET($R$3,0,0,'Données projet'!$E$9+1,1))-AVERAGE(OFFSET($H$3,0,0,'Données projet'!$E$9+1,1))</f>
        <v>426.87921482911719</v>
      </c>
      <c r="T33" s="62">
        <f t="shared" si="34"/>
        <v>313.49594674441835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458.87846704172108</v>
      </c>
      <c r="AN33" s="62">
        <f ca="1">AVERAGE(OFFSET($AM$3,0,0,'Données projet'!$E$10+1,1))-AVERAGE(OFFSET($H$3,0,0,'Données projet'!$E$10+1,1))</f>
        <v>462.95686283420531</v>
      </c>
      <c r="AO33" s="62">
        <f t="shared" si="36"/>
        <v>275.54513370838777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225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225.00000000000006</v>
      </c>
      <c r="BE33" s="14">
        <f>BD33*VLOOKUP('Données projet'!$B$11,Paramètres!$A$1:$I$89,3,0)*VLOOKUP('Données projet'!$B$11,Paramètres!$A$1:$I$89,5,0)</f>
        <v>134.55000000000004</v>
      </c>
      <c r="BF33" s="14">
        <f t="shared" si="37"/>
        <v>35.045616486142094</v>
      </c>
      <c r="BG33" s="22">
        <f t="shared" si="7"/>
        <v>295.37903204669755</v>
      </c>
      <c r="BH33" s="62">
        <f t="shared" si="8"/>
        <v>534.4864569797395</v>
      </c>
      <c r="BI33" s="62">
        <f ca="1">AVERAGE(OFFSET($BH$3,0,0,'Données projet'!$E$11+1,1))-AVERAGE(OFFSET($H$3,0,0,'Données projet'!$E$11+1,1))</f>
        <v>505.16888119060701</v>
      </c>
      <c r="BJ33" s="62">
        <f t="shared" si="38"/>
        <v>351.15312364640613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15.043758243678367</v>
      </c>
      <c r="BS33" s="24">
        <f t="shared" si="9"/>
        <v>15.043758243678367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68.195506926115257</v>
      </c>
      <c r="CE33" s="62">
        <f t="shared" si="40"/>
        <v>352.52565673897004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57.438998686110573</v>
      </c>
      <c r="CL33" s="23">
        <f>EXP(-LN(2)/25)*CL32+(1-EXP(-LN(2)/25))/(LN(2)/25)*Calculateur!CG33*Calculateur!CI33*VLOOKUP('Données projet'!$B$12,Paramètres!$A$1:$I$89,3,0)*0.475*44/12</f>
        <v>13.855331774734772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71.294330460845345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77.885897614924062</v>
      </c>
      <c r="CZ33" s="62">
        <f t="shared" si="42"/>
        <v>401.02460251355296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66.0640240479227</v>
      </c>
      <c r="DG33" s="23">
        <f>EXP(-LN(2)/25)*DG32+(1-EXP(-LN(2)/25))/(LN(2)/25)*Calculateur!DB33*Calculateur!DD33*VLOOKUP('Données projet'!$B$13,Paramètres!$A$1:$I$89,3,0)*0.475*44/12</f>
        <v>15.935844852730092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81.999868900652785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>
        <f>DO33*VLOOKUP('Données projet'!$B$14,Paramètres!$A$1:$I$89,3,0)*VLOOKUP('Données projet'!$B$14,Paramètres!$A$1:$I$89,5,0)</f>
        <v>0</v>
      </c>
      <c r="DQ33" s="14" t="e">
        <f t="shared" si="43"/>
        <v>#NUM!</v>
      </c>
      <c r="DR33" s="22" t="e">
        <f t="shared" si="16"/>
        <v>#NUM!</v>
      </c>
      <c r="DS33" s="62" t="e">
        <f t="shared" si="17"/>
        <v>#NUM!</v>
      </c>
      <c r="DT33" s="62">
        <f ca="1">AVERAGE(OFFSET($DS$3,0,0,'Données projet'!$E$14+1,1))-AVERAGE(OFFSET($H$3,0,0,'Données projet'!$E$14+1,1))</f>
        <v>79.532301588639172</v>
      </c>
      <c r="DU33" s="62">
        <f t="shared" si="44"/>
        <v>409.2657792678549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67.532113471209854</v>
      </c>
      <c r="EB33" s="23">
        <f>EXP(-LN(2)/25)*EB32+(1-EXP(-LN(2)/25))/(LN(2)/25)*Calculateur!DW33*Calculateur!DY33*VLOOKUP('Données projet'!$B$14,Paramètres!$A$1:$I$89,3,0)*0.475*44/12</f>
        <v>16.28997473834632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83.822088209556171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>
        <f>EJ33*VLOOKUP('Données projet'!$B$15,Paramètres!$A$1:$I$89,3,0)*VLOOKUP('Données projet'!$B$15,Paramètres!$A$1:$I$89,5,0)</f>
        <v>0</v>
      </c>
      <c r="EL33" s="14" t="e">
        <f t="shared" si="45"/>
        <v>#NUM!</v>
      </c>
      <c r="EM33" s="22" t="e">
        <f t="shared" si="19"/>
        <v>#NUM!</v>
      </c>
      <c r="EN33" s="62" t="e">
        <f t="shared" si="20"/>
        <v>#NUM!</v>
      </c>
      <c r="EO33" s="62">
        <f ca="1">AVERAGE(OFFSET($EN$3,0,0,'Données projet'!$E$15+1,1))-AVERAGE(OFFSET($H$3,0,0,'Données projet'!$E$15+1,1))</f>
        <v>77.885897614924062</v>
      </c>
      <c r="EP33" s="62">
        <f t="shared" si="46"/>
        <v>401.02460251355296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66.0640240479227</v>
      </c>
      <c r="EW33" s="23">
        <f>EXP(-LN(2)/25)*EW32+(1-EXP(-LN(2)/25))/(LN(2)/25)*Calculateur!ER33*Calculateur!ET33*VLOOKUP('Données projet'!$B$15,Paramètres!$A$1:$I$89,3,0)*0.475*44/12</f>
        <v>15.935844852730092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81.999868900652785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507.82330192210372</v>
      </c>
      <c r="S34" s="62">
        <f ca="1">AVERAGE(OFFSET($R$3,0,0,'Données projet'!$E$9+1,1))-AVERAGE(OFFSET($H$3,0,0,'Données projet'!$E$9+1,1))</f>
        <v>426.87921482911719</v>
      </c>
      <c r="T34" s="62">
        <f t="shared" si="34"/>
        <v>313.49594674441835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430.90357959422954</v>
      </c>
      <c r="AN34" s="62">
        <f ca="1">AVERAGE(OFFSET($AM$3,0,0,'Données projet'!$E$10+1,1))-AVERAGE(OFFSET($H$3,0,0,'Données projet'!$E$10+1,1))</f>
        <v>462.95686283420531</v>
      </c>
      <c r="AO34" s="62">
        <f t="shared" si="36"/>
        <v>275.54513370838777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13.4</v>
      </c>
      <c r="BD34" s="13">
        <f>IF('Données projet'!$A$88&gt;35,BD33+BC34-BL33,IF(A34&lt;'Données projet'!$A$88,$BA$205^A34,IF(A34='Données projet'!$A$88,'Données projet'!$B$88,BD33+BC34-BL33)))</f>
        <v>216.40000000000006</v>
      </c>
      <c r="BE34" s="14">
        <f>BD34*VLOOKUP('Données projet'!$B$11,Paramètres!$A$1:$I$89,3,0)*VLOOKUP('Données projet'!$B$11,Paramètres!$A$1:$I$89,5,0)</f>
        <v>129.40720000000005</v>
      </c>
      <c r="BF34" s="14">
        <f t="shared" si="37"/>
        <v>33.859344242503859</v>
      </c>
      <c r="BG34" s="22">
        <f t="shared" si="7"/>
        <v>284.35589788902757</v>
      </c>
      <c r="BH34" s="62">
        <f t="shared" si="8"/>
        <v>524.40402110184516</v>
      </c>
      <c r="BI34" s="62">
        <f ca="1">AVERAGE(OFFSET($BH$3,0,0,'Données projet'!$E$11+1,1))-AVERAGE(OFFSET($H$3,0,0,'Données projet'!$E$11+1,1))</f>
        <v>505.16888119060701</v>
      </c>
      <c r="BJ34" s="62">
        <f t="shared" si="38"/>
        <v>351.15312364640613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10.637543468636</v>
      </c>
      <c r="BS34" s="24">
        <f t="shared" si="9"/>
        <v>10.637543468636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68.195506926115257</v>
      </c>
      <c r="CE34" s="62">
        <f t="shared" si="40"/>
        <v>352.52565673897004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56.31265495620579</v>
      </c>
      <c r="CL34" s="23">
        <f>EXP(-LN(2)/25)*CL33+(1-EXP(-LN(2)/25))/(LN(2)/25)*Calculateur!CG34*Calculateur!CI34*VLOOKUP('Données projet'!$B$12,Paramètres!$A$1:$I$89,3,0)*0.475*44/12</f>
        <v>13.476456998734418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69.789111954940211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77.885897614924062</v>
      </c>
      <c r="CZ34" s="62">
        <f t="shared" si="42"/>
        <v>401.02460251355296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64.768548831418798</v>
      </c>
      <c r="DG34" s="23">
        <f>EXP(-LN(2)/25)*DG33+(1-EXP(-LN(2)/25))/(LN(2)/25)*Calculateur!DB34*Calculateur!DD34*VLOOKUP('Données projet'!$B$13,Paramètres!$A$1:$I$89,3,0)*0.475*44/12</f>
        <v>15.500078337202529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80.268627168621322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>
        <f>DO34*VLOOKUP('Données projet'!$B$14,Paramètres!$A$1:$I$89,3,0)*VLOOKUP('Données projet'!$B$14,Paramètres!$A$1:$I$89,5,0)</f>
        <v>0</v>
      </c>
      <c r="DQ34" s="14" t="e">
        <f t="shared" si="43"/>
        <v>#NUM!</v>
      </c>
      <c r="DR34" s="22" t="e">
        <f t="shared" si="16"/>
        <v>#NUM!</v>
      </c>
      <c r="DS34" s="62" t="e">
        <f t="shared" si="17"/>
        <v>#NUM!</v>
      </c>
      <c r="DT34" s="62">
        <f ca="1">AVERAGE(OFFSET($DS$3,0,0,'Données projet'!$E$14+1,1))-AVERAGE(OFFSET($H$3,0,0,'Données projet'!$E$14+1,1))</f>
        <v>79.532301588639172</v>
      </c>
      <c r="DU34" s="62">
        <f t="shared" si="44"/>
        <v>409.2657792678549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66.207849916561415</v>
      </c>
      <c r="EB34" s="23">
        <f>EXP(-LN(2)/25)*EB33+(1-EXP(-LN(2)/25))/(LN(2)/25)*Calculateur!DW34*Calculateur!DY34*VLOOKUP('Données projet'!$B$14,Paramètres!$A$1:$I$89,3,0)*0.475*44/12</f>
        <v>15.8445245224737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82.05237443903512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>
        <f>EJ34*VLOOKUP('Données projet'!$B$15,Paramètres!$A$1:$I$89,3,0)*VLOOKUP('Données projet'!$B$15,Paramètres!$A$1:$I$89,5,0)</f>
        <v>0</v>
      </c>
      <c r="EL34" s="14" t="e">
        <f t="shared" si="45"/>
        <v>#NUM!</v>
      </c>
      <c r="EM34" s="22" t="e">
        <f t="shared" si="19"/>
        <v>#NUM!</v>
      </c>
      <c r="EN34" s="62" t="e">
        <f t="shared" si="20"/>
        <v>#NUM!</v>
      </c>
      <c r="EO34" s="62">
        <f ca="1">AVERAGE(OFFSET($EN$3,0,0,'Données projet'!$E$15+1,1))-AVERAGE(OFFSET($H$3,0,0,'Données projet'!$E$15+1,1))</f>
        <v>77.885897614924062</v>
      </c>
      <c r="EP34" s="62">
        <f t="shared" si="46"/>
        <v>401.02460251355296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64.768548831418798</v>
      </c>
      <c r="EW34" s="23">
        <f>EXP(-LN(2)/25)*EW33+(1-EXP(-LN(2)/25))/(LN(2)/25)*Calculateur!ER34*Calculateur!ET34*VLOOKUP('Données projet'!$B$15,Paramètres!$A$1:$I$89,3,0)*0.475*44/12</f>
        <v>15.500078337202529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80.268627168621322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518.79250502029561</v>
      </c>
      <c r="S35" s="62">
        <f ca="1">AVERAGE(OFFSET($R$3,0,0,'Données projet'!$E$9+1,1))-AVERAGE(OFFSET($H$3,0,0,'Données projet'!$E$9+1,1))</f>
        <v>426.87921482911719</v>
      </c>
      <c r="T35" s="62">
        <f t="shared" si="34"/>
        <v>313.49594674441835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448.92578234813197</v>
      </c>
      <c r="AN35" s="62">
        <f ca="1">AVERAGE(OFFSET($AM$3,0,0,'Données projet'!$E$10+1,1))-AVERAGE(OFFSET($H$3,0,0,'Données projet'!$E$10+1,1))</f>
        <v>462.95686283420531</v>
      </c>
      <c r="AO35" s="62">
        <f t="shared" si="36"/>
        <v>275.54513370838777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13.4</v>
      </c>
      <c r="BD35" s="13">
        <f>IF('Données projet'!$A$88&gt;35,BD34+BC35-BL34,IF(A35&lt;'Données projet'!$A$88,$BA$205^A35,IF(A35='Données projet'!$A$88,'Données projet'!$B$88,BD34+BC35-BL34)))</f>
        <v>229.80000000000007</v>
      </c>
      <c r="BE35" s="14">
        <f>BD35*VLOOKUP('Données projet'!$B$11,Paramètres!$A$1:$I$89,3,0)*VLOOKUP('Données projet'!$B$11,Paramètres!$A$1:$I$89,5,0)</f>
        <v>137.42040000000006</v>
      </c>
      <c r="BF35" s="14">
        <f t="shared" si="37"/>
        <v>35.705417249692559</v>
      </c>
      <c r="BG35" s="22">
        <f t="shared" si="7"/>
        <v>301.52746504321459</v>
      </c>
      <c r="BH35" s="62">
        <f t="shared" si="8"/>
        <v>542.49996752373988</v>
      </c>
      <c r="BI35" s="62">
        <f ca="1">AVERAGE(OFFSET($BH$3,0,0,'Données projet'!$E$11+1,1))-AVERAGE(OFFSET($H$3,0,0,'Données projet'!$E$11+1,1))</f>
        <v>505.16888119060701</v>
      </c>
      <c r="BJ35" s="62">
        <f t="shared" si="38"/>
        <v>351.15312364640613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7.5218791218391843</v>
      </c>
      <c r="BS35" s="24">
        <f t="shared" si="9"/>
        <v>7.5218791218391843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68.195506926115257</v>
      </c>
      <c r="CE35" s="62">
        <f t="shared" si="40"/>
        <v>352.52565673897004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55.2083981398426</v>
      </c>
      <c r="CL35" s="23">
        <f>EXP(-LN(2)/25)*CL34+(1-EXP(-LN(2)/25))/(LN(2)/25)*Calculateur!CG35*Calculateur!CI35*VLOOKUP('Données projet'!$B$12,Paramètres!$A$1:$I$89,3,0)*0.475*44/12</f>
        <v>13.107942573407954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68.316340713250554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77.885897614924062</v>
      </c>
      <c r="CZ35" s="62">
        <f t="shared" si="42"/>
        <v>401.02460251355296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63.498477093748676</v>
      </c>
      <c r="DG35" s="23">
        <f>EXP(-LN(2)/25)*DG34+(1-EXP(-LN(2)/25))/(LN(2)/25)*Calculateur!DB35*Calculateur!DD35*VLOOKUP('Données projet'!$B$13,Paramètres!$A$1:$I$89,3,0)*0.475*44/12</f>
        <v>15.076227879958033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78.574704973706702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>
        <f>DO35*VLOOKUP('Données projet'!$B$14,Paramètres!$A$1:$I$89,3,0)*VLOOKUP('Données projet'!$B$14,Paramètres!$A$1:$I$89,5,0)</f>
        <v>0</v>
      </c>
      <c r="DQ35" s="14" t="e">
        <f t="shared" si="43"/>
        <v>#NUM!</v>
      </c>
      <c r="DR35" s="22" t="e">
        <f t="shared" si="16"/>
        <v>#NUM!</v>
      </c>
      <c r="DS35" s="62" t="e">
        <f t="shared" si="17"/>
        <v>#NUM!</v>
      </c>
      <c r="DT35" s="62">
        <f ca="1">AVERAGE(OFFSET($DS$3,0,0,'Données projet'!$E$14+1,1))-AVERAGE(OFFSET($H$3,0,0,'Données projet'!$E$14+1,1))</f>
        <v>79.532301588639172</v>
      </c>
      <c r="DU35" s="62">
        <f t="shared" si="44"/>
        <v>409.2657792678549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64.909554362498625</v>
      </c>
      <c r="EB35" s="23">
        <f>EXP(-LN(2)/25)*EB34+(1-EXP(-LN(2)/25))/(LN(2)/25)*Calculateur!DW35*Calculateur!DY35*VLOOKUP('Données projet'!$B$14,Paramètres!$A$1:$I$89,3,0)*0.475*44/12</f>
        <v>15.411255166179325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80.320809528677955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>
        <f>EJ35*VLOOKUP('Données projet'!$B$15,Paramètres!$A$1:$I$89,3,0)*VLOOKUP('Données projet'!$B$15,Paramètres!$A$1:$I$89,5,0)</f>
        <v>0</v>
      </c>
      <c r="EL35" s="14" t="e">
        <f t="shared" si="45"/>
        <v>#NUM!</v>
      </c>
      <c r="EM35" s="22" t="e">
        <f t="shared" si="19"/>
        <v>#NUM!</v>
      </c>
      <c r="EN35" s="62" t="e">
        <f t="shared" si="20"/>
        <v>#NUM!</v>
      </c>
      <c r="EO35" s="62">
        <f ca="1">AVERAGE(OFFSET($EN$3,0,0,'Données projet'!$E$15+1,1))-AVERAGE(OFFSET($H$3,0,0,'Données projet'!$E$15+1,1))</f>
        <v>77.885897614924062</v>
      </c>
      <c r="EP35" s="62">
        <f t="shared" si="46"/>
        <v>401.02460251355296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63.498477093748676</v>
      </c>
      <c r="EW35" s="23">
        <f>EXP(-LN(2)/25)*EW34+(1-EXP(-LN(2)/25))/(LN(2)/25)*Calculateur!ER35*Calculateur!ET35*VLOOKUP('Données projet'!$B$15,Paramètres!$A$1:$I$89,3,0)*0.475*44/12</f>
        <v>15.076227879958033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78.574704973706702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529.73752332571166</v>
      </c>
      <c r="S36" s="62">
        <f ca="1">AVERAGE(OFFSET($R$3,0,0,'Données projet'!$E$9+1,1))-AVERAGE(OFFSET($H$3,0,0,'Données projet'!$E$9+1,1))</f>
        <v>426.87921482911719</v>
      </c>
      <c r="T36" s="62">
        <f t="shared" si="34"/>
        <v>313.49594674441835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466.89949029036518</v>
      </c>
      <c r="AN36" s="62">
        <f ca="1">AVERAGE(OFFSET($AM$3,0,0,'Données projet'!$E$10+1,1))-AVERAGE(OFFSET($H$3,0,0,'Données projet'!$E$10+1,1))</f>
        <v>462.95686283420531</v>
      </c>
      <c r="AO36" s="62">
        <f t="shared" si="36"/>
        <v>275.54513370838777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13.4</v>
      </c>
      <c r="BD36" s="13">
        <f>IF('Données projet'!$A$88&gt;35,BD35+BC36-BL35,IF(A36&lt;'Données projet'!$A$88,$BA$205^A36,IF(A36='Données projet'!$A$88,'Données projet'!$B$88,BD35+BC36-BL35)))</f>
        <v>243.20000000000007</v>
      </c>
      <c r="BE36" s="14">
        <f>BD36*VLOOKUP('Données projet'!$B$11,Paramètres!$A$1:$I$89,3,0)*VLOOKUP('Données projet'!$B$11,Paramètres!$A$1:$I$89,5,0)</f>
        <v>145.43360000000007</v>
      </c>
      <c r="BF36" s="14">
        <f t="shared" si="37"/>
        <v>37.538995050574634</v>
      </c>
      <c r="BG36" s="22">
        <f t="shared" si="7"/>
        <v>318.67726971308429</v>
      </c>
      <c r="BH36" s="62">
        <f t="shared" si="8"/>
        <v>560.55811554762499</v>
      </c>
      <c r="BI36" s="62">
        <f ca="1">AVERAGE(OFFSET($BH$3,0,0,'Données projet'!$E$11+1,1))-AVERAGE(OFFSET($H$3,0,0,'Données projet'!$E$11+1,1))</f>
        <v>505.16888119060701</v>
      </c>
      <c r="BJ36" s="62">
        <f t="shared" si="38"/>
        <v>351.15312364640613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5.318771734318001</v>
      </c>
      <c r="BS36" s="24">
        <f t="shared" si="9"/>
        <v>5.318771734318001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68.195506926115257</v>
      </c>
      <c r="CE36" s="62">
        <f t="shared" si="40"/>
        <v>352.52565673897004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54.125795126118142</v>
      </c>
      <c r="CL36" s="23">
        <f>EXP(-LN(2)/25)*CL35+(1-EXP(-LN(2)/25))/(LN(2)/25)*Calculateur!CG36*Calculateur!CI36*VLOOKUP('Données projet'!$B$12,Paramètres!$A$1:$I$89,3,0)*0.475*44/12</f>
        <v>12.749505194421372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66.875300320539509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77.885897614924062</v>
      </c>
      <c r="CZ36" s="62">
        <f t="shared" si="42"/>
        <v>401.02460251355296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62.253310688187</v>
      </c>
      <c r="DG36" s="23">
        <f>EXP(-LN(2)/25)*DG35+(1-EXP(-LN(2)/25))/(LN(2)/25)*Calculateur!DB36*Calculateur!DD36*VLOOKUP('Données projet'!$B$13,Paramètres!$A$1:$I$89,3,0)*0.475*44/12</f>
        <v>14.663967635756213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76.917278323943208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>
        <f>DO36*VLOOKUP('Données projet'!$B$14,Paramètres!$A$1:$I$89,3,0)*VLOOKUP('Données projet'!$B$14,Paramètres!$A$1:$I$89,5,0)</f>
        <v>0</v>
      </c>
      <c r="DQ36" s="14" t="e">
        <f t="shared" si="43"/>
        <v>#NUM!</v>
      </c>
      <c r="DR36" s="22" t="e">
        <f t="shared" si="16"/>
        <v>#NUM!</v>
      </c>
      <c r="DS36" s="62" t="e">
        <f t="shared" si="17"/>
        <v>#NUM!</v>
      </c>
      <c r="DT36" s="62">
        <f ca="1">AVERAGE(OFFSET($DS$3,0,0,'Données projet'!$E$14+1,1))-AVERAGE(OFFSET($H$3,0,0,'Données projet'!$E$14+1,1))</f>
        <v>79.532301588639172</v>
      </c>
      <c r="DU36" s="62">
        <f t="shared" si="44"/>
        <v>409.2657792678549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63.63671759236891</v>
      </c>
      <c r="EB36" s="23">
        <f>EXP(-LN(2)/25)*EB35+(1-EXP(-LN(2)/25))/(LN(2)/25)*Calculateur!DW36*Calculateur!DY36*VLOOKUP('Données projet'!$B$14,Paramètres!$A$1:$I$89,3,0)*0.475*44/12</f>
        <v>14.989833583217465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78.626551175586371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>
        <f>EJ36*VLOOKUP('Données projet'!$B$15,Paramètres!$A$1:$I$89,3,0)*VLOOKUP('Données projet'!$B$15,Paramètres!$A$1:$I$89,5,0)</f>
        <v>0</v>
      </c>
      <c r="EL36" s="14" t="e">
        <f t="shared" si="45"/>
        <v>#NUM!</v>
      </c>
      <c r="EM36" s="22" t="e">
        <f t="shared" si="19"/>
        <v>#NUM!</v>
      </c>
      <c r="EN36" s="62" t="e">
        <f t="shared" si="20"/>
        <v>#NUM!</v>
      </c>
      <c r="EO36" s="62">
        <f ca="1">AVERAGE(OFFSET($EN$3,0,0,'Données projet'!$E$15+1,1))-AVERAGE(OFFSET($H$3,0,0,'Données projet'!$E$15+1,1))</f>
        <v>77.885897614924062</v>
      </c>
      <c r="EP36" s="62">
        <f t="shared" si="46"/>
        <v>401.02460251355296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62.253310688187</v>
      </c>
      <c r="EW36" s="23">
        <f>EXP(-LN(2)/25)*EW35+(1-EXP(-LN(2)/25))/(LN(2)/25)*Calculateur!ER36*Calculateur!ET36*VLOOKUP('Données projet'!$B$15,Paramètres!$A$1:$I$89,3,0)*0.475*44/12</f>
        <v>14.663967635756213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76.917278323943208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540.65895939887173</v>
      </c>
      <c r="S37" s="62">
        <f ca="1">AVERAGE(OFFSET($R$3,0,0,'Données projet'!$E$9+1,1))-AVERAGE(OFFSET($H$3,0,0,'Données projet'!$E$9+1,1))</f>
        <v>426.87921482911719</v>
      </c>
      <c r="T37" s="62">
        <f t="shared" si="34"/>
        <v>313.49594674441835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484.82779002423206</v>
      </c>
      <c r="AN37" s="62">
        <f ca="1">AVERAGE(OFFSET($AM$3,0,0,'Données projet'!$E$10+1,1))-AVERAGE(OFFSET($H$3,0,0,'Données projet'!$E$10+1,1))</f>
        <v>462.95686283420531</v>
      </c>
      <c r="AO37" s="62">
        <f t="shared" si="36"/>
        <v>275.54513370838777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13.4</v>
      </c>
      <c r="BD37" s="13">
        <f>IF('Données projet'!$A$88&gt;35,BD36+BC37-BL36,IF(A37&lt;'Données projet'!$A$88,$BA$205^A37,IF(A37='Données projet'!$A$88,'Données projet'!$B$88,BD36+BC37-BL36)))</f>
        <v>256.60000000000008</v>
      </c>
      <c r="BE37" s="14">
        <f>BD37*VLOOKUP('Données projet'!$B$11,Paramètres!$A$1:$I$89,3,0)*VLOOKUP('Données projet'!$B$11,Paramètres!$A$1:$I$89,5,0)</f>
        <v>153.44680000000005</v>
      </c>
      <c r="BF37" s="14">
        <f t="shared" si="37"/>
        <v>39.360844589868847</v>
      </c>
      <c r="BG37" s="22">
        <f t="shared" si="7"/>
        <v>335.80664766068833</v>
      </c>
      <c r="BH37" s="62">
        <f t="shared" si="8"/>
        <v>578.58007912280391</v>
      </c>
      <c r="BI37" s="62">
        <f ca="1">AVERAGE(OFFSET($BH$3,0,0,'Données projet'!$E$11+1,1))-AVERAGE(OFFSET($H$3,0,0,'Données projet'!$E$11+1,1))</f>
        <v>505.16888119060701</v>
      </c>
      <c r="BJ37" s="62">
        <f t="shared" si="38"/>
        <v>351.15312364640613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3.760939560919593</v>
      </c>
      <c r="BS37" s="24">
        <f t="shared" si="9"/>
        <v>3.760939560919593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68.195506926115257</v>
      </c>
      <c r="CE37" s="62">
        <f t="shared" si="40"/>
        <v>352.52565673897004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53.064421297170185</v>
      </c>
      <c r="CL37" s="23">
        <f>EXP(-LN(2)/25)*CL36+(1-EXP(-LN(2)/25))/(LN(2)/25)*Calculateur!CG37*Calculateur!CI37*VLOOKUP('Données projet'!$B$12,Paramètres!$A$1:$I$89,3,0)*0.475*44/12</f>
        <v>12.400869304412581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65.465290601582765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77.885897614924062</v>
      </c>
      <c r="CZ37" s="62">
        <f t="shared" si="42"/>
        <v>401.02460251355296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61.032561236361872</v>
      </c>
      <c r="DG37" s="23">
        <f>EXP(-LN(2)/25)*DG36+(1-EXP(-LN(2)/25))/(LN(2)/25)*Calculateur!DB37*Calculateur!DD37*VLOOKUP('Données projet'!$B$13,Paramètres!$A$1:$I$89,3,0)*0.475*44/12</f>
        <v>14.262980669611917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75.295541905973792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>
        <f>DO37*VLOOKUP('Données projet'!$B$14,Paramètres!$A$1:$I$89,3,0)*VLOOKUP('Données projet'!$B$14,Paramètres!$A$1:$I$89,5,0)</f>
        <v>0</v>
      </c>
      <c r="DQ37" s="14" t="e">
        <f t="shared" si="43"/>
        <v>#NUM!</v>
      </c>
      <c r="DR37" s="22" t="e">
        <f t="shared" si="16"/>
        <v>#NUM!</v>
      </c>
      <c r="DS37" s="62" t="e">
        <f t="shared" si="17"/>
        <v>#NUM!</v>
      </c>
      <c r="DT37" s="62">
        <f ca="1">AVERAGE(OFFSET($DS$3,0,0,'Données projet'!$E$14+1,1))-AVERAGE(OFFSET($H$3,0,0,'Données projet'!$E$14+1,1))</f>
        <v>79.532301588639172</v>
      </c>
      <c r="DU37" s="62">
        <f t="shared" si="44"/>
        <v>409.2657792678549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62.388840374947669</v>
      </c>
      <c r="EB37" s="23">
        <f>EXP(-LN(2)/25)*EB36+(1-EXP(-LN(2)/25))/(LN(2)/25)*Calculateur!DW37*Calculateur!DY37*VLOOKUP('Données projet'!$B$14,Paramètres!$A$1:$I$89,3,0)*0.475*44/12</f>
        <v>14.579935795603294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76.968776170550967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>
        <f>EJ37*VLOOKUP('Données projet'!$B$15,Paramètres!$A$1:$I$89,3,0)*VLOOKUP('Données projet'!$B$15,Paramètres!$A$1:$I$89,5,0)</f>
        <v>0</v>
      </c>
      <c r="EL37" s="14" t="e">
        <f t="shared" si="45"/>
        <v>#NUM!</v>
      </c>
      <c r="EM37" s="22" t="e">
        <f t="shared" si="19"/>
        <v>#NUM!</v>
      </c>
      <c r="EN37" s="62" t="e">
        <f t="shared" si="20"/>
        <v>#NUM!</v>
      </c>
      <c r="EO37" s="62">
        <f ca="1">AVERAGE(OFFSET($EN$3,0,0,'Données projet'!$E$15+1,1))-AVERAGE(OFFSET($H$3,0,0,'Données projet'!$E$15+1,1))</f>
        <v>77.885897614924062</v>
      </c>
      <c r="EP37" s="62">
        <f t="shared" si="46"/>
        <v>401.02460251355296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61.032561236361872</v>
      </c>
      <c r="EW37" s="23">
        <f>EXP(-LN(2)/25)*EW36+(1-EXP(-LN(2)/25))/(LN(2)/25)*Calculateur!ER37*Calculateur!ET37*VLOOKUP('Données projet'!$B$15,Paramètres!$A$1:$I$89,3,0)*0.475*44/12</f>
        <v>14.262980669611917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75.295541905973792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551.557387335013</v>
      </c>
      <c r="S38" s="62">
        <f ca="1">AVERAGE(OFFSET($R$3,0,0,'Données projet'!$E$9+1,1))-AVERAGE(OFFSET($H$3,0,0,'Données projet'!$E$9+1,1))</f>
        <v>426.87921482911719</v>
      </c>
      <c r="T38" s="62">
        <f t="shared" si="34"/>
        <v>313.49594674441835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502.71333546669905</v>
      </c>
      <c r="AN38" s="62">
        <f ca="1">AVERAGE(OFFSET($AM$3,0,0,'Données projet'!$E$10+1,1))-AVERAGE(OFFSET($H$3,0,0,'Données projet'!$E$10+1,1))</f>
        <v>462.95686283420531</v>
      </c>
      <c r="AO38" s="62">
        <f t="shared" si="36"/>
        <v>275.54513370838777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13.4</v>
      </c>
      <c r="BD38" s="13">
        <f>IF('Données projet'!$A$88&gt;35,BD37+BC38-BL37,IF(A38&lt;'Données projet'!$A$88,$BA$205^A38,IF(A38='Données projet'!$A$88,'Données projet'!$B$88,BD37+BC38-BL37)))</f>
        <v>270.00000000000006</v>
      </c>
      <c r="BE38" s="14">
        <f>BD38*VLOOKUP('Données projet'!$B$11,Paramètres!$A$1:$I$89,3,0)*VLOOKUP('Données projet'!$B$11,Paramètres!$A$1:$I$89,5,0)</f>
        <v>161.46000000000004</v>
      </c>
      <c r="BF38" s="14">
        <f t="shared" si="37"/>
        <v>41.171648186302534</v>
      </c>
      <c r="BG38" s="22">
        <f t="shared" si="7"/>
        <v>352.91678725781031</v>
      </c>
      <c r="BH38" s="62">
        <f t="shared" si="8"/>
        <v>596.56731998238479</v>
      </c>
      <c r="BI38" s="62">
        <f ca="1">AVERAGE(OFFSET($BH$3,0,0,'Données projet'!$E$11+1,1))-AVERAGE(OFFSET($H$3,0,0,'Données projet'!$E$11+1,1))</f>
        <v>505.16888119060701</v>
      </c>
      <c r="BJ38" s="62">
        <f t="shared" si="38"/>
        <v>351.15312364640613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2.6593858671590009</v>
      </c>
      <c r="BS38" s="24">
        <f t="shared" si="9"/>
        <v>2.6593858671590009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68.195506926115257</v>
      </c>
      <c r="CE38" s="62">
        <f t="shared" si="40"/>
        <v>352.52565673897004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52.02386036163378</v>
      </c>
      <c r="CL38" s="23">
        <f>EXP(-LN(2)/25)*CL37+(1-EXP(-LN(2)/25))/(LN(2)/25)*Calculateur!CG38*Calculateur!CI38*VLOOKUP('Données projet'!$B$12,Paramètres!$A$1:$I$89,3,0)*0.475*44/12</f>
        <v>12.061766881150044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64.085627242783829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77.885897614924062</v>
      </c>
      <c r="CZ38" s="62">
        <f t="shared" si="42"/>
        <v>401.02460251355296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59.835749936703387</v>
      </c>
      <c r="DG38" s="23">
        <f>EXP(-LN(2)/25)*DG37+(1-EXP(-LN(2)/25))/(LN(2)/25)*Calculateur!DB38*Calculateur!DD38*VLOOKUP('Données projet'!$B$13,Paramètres!$A$1:$I$89,3,0)*0.475*44/12</f>
        <v>13.872958713143824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73.70870864984721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projet'!$B$14,Paramètres!$A$1:$I$89,3,0)*VLOOKUP('Données projet'!$B$14,Paramètres!$A$1:$I$89,5,0)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79.532301588639172</v>
      </c>
      <c r="DU38" s="62">
        <f t="shared" si="44"/>
        <v>409.2657792678549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61.16543326863011</v>
      </c>
      <c r="EB38" s="23">
        <f>EXP(-LN(2)/25)*EB37+(1-EXP(-LN(2)/25))/(LN(2)/25)*Calculateur!DW38*Calculateur!DY38*VLOOKUP('Données projet'!$B$14,Paramètres!$A$1:$I$89,3,0)*0.475*44/12</f>
        <v>14.181246684547022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75.34667995317713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>
        <f>EJ38*VLOOKUP('Données projet'!$B$15,Paramètres!$A$1:$I$89,3,0)*VLOOKUP('Données projet'!$B$15,Paramètres!$A$1:$I$89,5,0)</f>
        <v>0</v>
      </c>
      <c r="EL38" s="14" t="e">
        <f t="shared" si="45"/>
        <v>#NUM!</v>
      </c>
      <c r="EM38" s="22" t="e">
        <f t="shared" si="19"/>
        <v>#NUM!</v>
      </c>
      <c r="EN38" s="62" t="e">
        <f t="shared" si="20"/>
        <v>#NUM!</v>
      </c>
      <c r="EO38" s="62">
        <f ca="1">AVERAGE(OFFSET($EN$3,0,0,'Données projet'!$E$15+1,1))-AVERAGE(OFFSET($H$3,0,0,'Données projet'!$E$15+1,1))</f>
        <v>77.885897614924062</v>
      </c>
      <c r="EP38" s="62">
        <f t="shared" si="46"/>
        <v>401.02460251355296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59.835749936703387</v>
      </c>
      <c r="EW38" s="23">
        <f>EXP(-LN(2)/25)*EW37+(1-EXP(-LN(2)/25))/(LN(2)/25)*Calculateur!ER38*Calculateur!ET38*VLOOKUP('Données projet'!$B$15,Paramètres!$A$1:$I$89,3,0)*0.475*44/12</f>
        <v>13.872958713143824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73.70870864984721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562.43335530056481</v>
      </c>
      <c r="S39" s="62">
        <f ca="1">AVERAGE(OFFSET($R$3,0,0,'Données projet'!$E$9+1,1))-AVERAGE(OFFSET($H$3,0,0,'Données projet'!$E$9+1,1))</f>
        <v>426.87921482911719</v>
      </c>
      <c r="T39" s="62">
        <f t="shared" si="34"/>
        <v>313.49594674441835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476.08663096951921</v>
      </c>
      <c r="AN39" s="62">
        <f ca="1">AVERAGE(OFFSET($AM$3,0,0,'Données projet'!$E$10+1,1))-AVERAGE(OFFSET($H$3,0,0,'Données projet'!$E$10+1,1))</f>
        <v>462.95686283420531</v>
      </c>
      <c r="AO39" s="62">
        <f t="shared" si="36"/>
        <v>275.54513370838777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13.4</v>
      </c>
      <c r="BD39" s="13">
        <f>IF('Données projet'!$A$88&gt;35,BD38+BC39-BL38,IF(A39&lt;'Données projet'!$A$88,$BA$205^A39,IF(A39='Données projet'!$A$88,'Données projet'!$B$88,BD38+BC39-BL38)))</f>
        <v>283.40000000000003</v>
      </c>
      <c r="BE39" s="14">
        <f>BD39*VLOOKUP('Données projet'!$B$11,Paramètres!$A$1:$I$89,3,0)*VLOOKUP('Données projet'!$B$11,Paramètres!$A$1:$I$89,5,0)</f>
        <v>169.47320000000005</v>
      </c>
      <c r="BF39" s="14">
        <f t="shared" si="37"/>
        <v>42.97201660617938</v>
      </c>
      <c r="BG39" s="22">
        <f t="shared" si="7"/>
        <v>370.00875225576243</v>
      </c>
      <c r="BH39" s="62">
        <f t="shared" si="8"/>
        <v>614.52117049679691</v>
      </c>
      <c r="BI39" s="62">
        <f ca="1">AVERAGE(OFFSET($BH$3,0,0,'Données projet'!$E$11+1,1))-AVERAGE(OFFSET($H$3,0,0,'Données projet'!$E$11+1,1))</f>
        <v>505.16888119060701</v>
      </c>
      <c r="BJ39" s="62">
        <f t="shared" si="38"/>
        <v>351.15312364640613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1.8804697804597967</v>
      </c>
      <c r="BS39" s="24">
        <f t="shared" si="9"/>
        <v>1.8804697804597967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68.195506926115257</v>
      </c>
      <c r="CE39" s="62">
        <f t="shared" si="40"/>
        <v>352.52565673897004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51.003704191363745</v>
      </c>
      <c r="CL39" s="23">
        <f>EXP(-LN(2)/25)*CL38+(1-EXP(-LN(2)/25))/(LN(2)/25)*Calculateur!CG39*Calculateur!CI39*VLOOKUP('Données projet'!$B$12,Paramètres!$A$1:$I$89,3,0)*0.475*44/12</f>
        <v>11.731937231484244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62.735641422847991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77.885897614924062</v>
      </c>
      <c r="CZ39" s="62">
        <f t="shared" si="42"/>
        <v>401.02460251355296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58.662407376648396</v>
      </c>
      <c r="DG39" s="23">
        <f>EXP(-LN(2)/25)*DG38+(1-EXP(-LN(2)/25))/(LN(2)/25)*Calculateur!DB39*Calculateur!DD39*VLOOKUP('Données projet'!$B$13,Paramètres!$A$1:$I$89,3,0)*0.475*44/12</f>
        <v>13.493601927585715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72.156009304234118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projet'!$B$14,Paramètres!$A$1:$I$89,3,0)*VLOOKUP('Données projet'!$B$14,Paramètres!$A$1:$I$89,5,0)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79.532301588639172</v>
      </c>
      <c r="DU39" s="62">
        <f t="shared" si="44"/>
        <v>409.2657792678549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59.966016429462783</v>
      </c>
      <c r="EB39" s="23">
        <f>EXP(-LN(2)/25)*EB38+(1-EXP(-LN(2)/25))/(LN(2)/25)*Calculateur!DW39*Calculateur!DY39*VLOOKUP('Données projet'!$B$14,Paramètres!$A$1:$I$89,3,0)*0.475*44/12</f>
        <v>13.793459748198732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73.759476177661512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>
        <f>EJ39*VLOOKUP('Données projet'!$B$15,Paramètres!$A$1:$I$89,3,0)*VLOOKUP('Données projet'!$B$15,Paramètres!$A$1:$I$89,5,0)</f>
        <v>0</v>
      </c>
      <c r="EL39" s="14" t="e">
        <f t="shared" si="45"/>
        <v>#NUM!</v>
      </c>
      <c r="EM39" s="22" t="e">
        <f t="shared" si="19"/>
        <v>#NUM!</v>
      </c>
      <c r="EN39" s="62" t="e">
        <f t="shared" si="20"/>
        <v>#NUM!</v>
      </c>
      <c r="EO39" s="62">
        <f ca="1">AVERAGE(OFFSET($EN$3,0,0,'Données projet'!$E$15+1,1))-AVERAGE(OFFSET($H$3,0,0,'Données projet'!$E$15+1,1))</f>
        <v>77.885897614924062</v>
      </c>
      <c r="EP39" s="62">
        <f t="shared" si="46"/>
        <v>401.02460251355296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58.662407376648396</v>
      </c>
      <c r="EW39" s="23">
        <f>EXP(-LN(2)/25)*EW38+(1-EXP(-LN(2)/25))/(LN(2)/25)*Calculateur!ER39*Calculateur!ET39*VLOOKUP('Données projet'!$B$15,Paramètres!$A$1:$I$89,3,0)*0.475*44/12</f>
        <v>13.493601927585715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72.156009304234118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573.28738774279543</v>
      </c>
      <c r="S40" s="62">
        <f ca="1">AVERAGE(OFFSET($R$3,0,0,'Données projet'!$E$9+1,1))-AVERAGE(OFFSET($H$3,0,0,'Données projet'!$E$9+1,1))</f>
        <v>426.87921482911719</v>
      </c>
      <c r="T40" s="62">
        <f t="shared" si="34"/>
        <v>313.49594674441835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495.26701960621858</v>
      </c>
      <c r="AN40" s="62">
        <f ca="1">AVERAGE(OFFSET($AM$3,0,0,'Données projet'!$E$10+1,1))-AVERAGE(OFFSET($H$3,0,0,'Données projet'!$E$10+1,1))</f>
        <v>462.95686283420531</v>
      </c>
      <c r="AO40" s="62">
        <f t="shared" si="36"/>
        <v>275.54513370838777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13.4</v>
      </c>
      <c r="BD40" s="13">
        <f>IF('Données projet'!$A$88&gt;35,BD39+BC40-BL39,IF(A40&lt;'Données projet'!$A$88,$BA$205^A40,IF(A40='Données projet'!$A$88,'Données projet'!$B$88,BD39+BC40-BL39)))</f>
        <v>296.8</v>
      </c>
      <c r="BE40" s="14">
        <f>BD40*VLOOKUP('Données projet'!$B$11,Paramètres!$A$1:$I$89,3,0)*VLOOKUP('Données projet'!$B$11,Paramètres!$A$1:$I$89,5,0)</f>
        <v>177.48640000000003</v>
      </c>
      <c r="BF40" s="14">
        <f t="shared" si="37"/>
        <v>44.762499594286325</v>
      </c>
      <c r="BG40" s="22">
        <f t="shared" si="7"/>
        <v>387.08350012671536</v>
      </c>
      <c r="BH40" s="62">
        <f t="shared" si="8"/>
        <v>632.44285209738644</v>
      </c>
      <c r="BI40" s="62">
        <f ca="1">AVERAGE(OFFSET($BH$3,0,0,'Données projet'!$E$11+1,1))-AVERAGE(OFFSET($H$3,0,0,'Données projet'!$E$11+1,1))</f>
        <v>505.16888119060701</v>
      </c>
      <c r="BJ40" s="62">
        <f t="shared" si="38"/>
        <v>351.15312364640613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1.3296929335795007</v>
      </c>
      <c r="BS40" s="24">
        <f t="shared" si="9"/>
        <v>1.3296929335795007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68.195506926115257</v>
      </c>
      <c r="CE40" s="62">
        <f t="shared" si="40"/>
        <v>352.52565673897004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50.003552661358881</v>
      </c>
      <c r="CL40" s="23">
        <f>EXP(-LN(2)/25)*CL39+(1-EXP(-LN(2)/25))/(LN(2)/25)*Calculateur!CG40*Calculateur!CI40*VLOOKUP('Données projet'!$B$12,Paramètres!$A$1:$I$89,3,0)*0.475*44/12</f>
        <v>11.411126790933542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61.414679452292425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77.885897614924062</v>
      </c>
      <c r="CZ40" s="62">
        <f t="shared" si="42"/>
        <v>401.02460251355296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57.512073348527785</v>
      </c>
      <c r="DG40" s="23">
        <f>EXP(-LN(2)/25)*DG39+(1-EXP(-LN(2)/25))/(LN(2)/25)*Calculateur!DB40*Calculateur!DD40*VLOOKUP('Données projet'!$B$13,Paramètres!$A$1:$I$89,3,0)*0.475*44/12</f>
        <v>13.124618673278198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70.636692021805985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projet'!$B$14,Paramètres!$A$1:$I$89,3,0)*VLOOKUP('Données projet'!$B$14,Paramètres!$A$1:$I$89,5,0)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79.532301588639172</v>
      </c>
      <c r="DU40" s="62">
        <f t="shared" si="44"/>
        <v>409.2657792678549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58.79011942293949</v>
      </c>
      <c r="EB40" s="23">
        <f>EXP(-LN(2)/25)*EB39+(1-EXP(-LN(2)/25))/(LN(2)/25)*Calculateur!DW40*Calculateur!DY40*VLOOKUP('Données projet'!$B$14,Paramètres!$A$1:$I$89,3,0)*0.475*44/12</f>
        <v>13.416276866017714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72.206396288957208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>
        <f>EJ40*VLOOKUP('Données projet'!$B$15,Paramètres!$A$1:$I$89,3,0)*VLOOKUP('Données projet'!$B$15,Paramètres!$A$1:$I$89,5,0)</f>
        <v>0</v>
      </c>
      <c r="EL40" s="14" t="e">
        <f t="shared" si="45"/>
        <v>#NUM!</v>
      </c>
      <c r="EM40" s="22" t="e">
        <f t="shared" si="19"/>
        <v>#NUM!</v>
      </c>
      <c r="EN40" s="62" t="e">
        <f t="shared" si="20"/>
        <v>#NUM!</v>
      </c>
      <c r="EO40" s="62">
        <f ca="1">AVERAGE(OFFSET($EN$3,0,0,'Données projet'!$E$15+1,1))-AVERAGE(OFFSET($H$3,0,0,'Données projet'!$E$15+1,1))</f>
        <v>77.885897614924062</v>
      </c>
      <c r="EP40" s="62">
        <f t="shared" si="46"/>
        <v>401.02460251355296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57.512073348527785</v>
      </c>
      <c r="EW40" s="23">
        <f>EXP(-LN(2)/25)*EW39+(1-EXP(-LN(2)/25))/(LN(2)/25)*Calculateur!ER40*Calculateur!ET40*VLOOKUP('Données projet'!$B$15,Paramètres!$A$1:$I$89,3,0)*0.475*44/12</f>
        <v>13.124618673278198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70.636692021805985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584.11998732463928</v>
      </c>
      <c r="S41" s="62">
        <f ca="1">AVERAGE(OFFSET($R$3,0,0,'Données projet'!$E$9+1,1))-AVERAGE(OFFSET($H$3,0,0,'Données projet'!$E$9+1,1))</f>
        <v>426.87921482911719</v>
      </c>
      <c r="T41" s="62">
        <f t="shared" si="34"/>
        <v>313.49594674441835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514.40222125365392</v>
      </c>
      <c r="AN41" s="62">
        <f ca="1">AVERAGE(OFFSET($AM$3,0,0,'Données projet'!$E$10+1,1))-AVERAGE(OFFSET($H$3,0,0,'Données projet'!$E$10+1,1))</f>
        <v>462.95686283420531</v>
      </c>
      <c r="AO41" s="62">
        <f t="shared" si="36"/>
        <v>275.54513370838777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13.4</v>
      </c>
      <c r="BD41" s="13">
        <f>IF('Données projet'!$A$88&gt;35,BD40+BC41-BL40,IF(A41&lt;'Données projet'!$A$88,$BA$205^A41,IF(A41='Données projet'!$A$88,'Données projet'!$B$88,BD40+BC41-BL40)))</f>
        <v>310.2</v>
      </c>
      <c r="BE41" s="14">
        <f>BD41*VLOOKUP('Données projet'!$B$11,Paramètres!$A$1:$I$89,3,0)*VLOOKUP('Données projet'!$B$11,Paramètres!$A$1:$I$89,5,0)</f>
        <v>185.49960000000002</v>
      </c>
      <c r="BF41" s="14">
        <f t="shared" si="37"/>
        <v>46.543594449249056</v>
      </c>
      <c r="BG41" s="22">
        <f t="shared" si="7"/>
        <v>404.14189699910884</v>
      </c>
      <c r="BH41" s="62">
        <f t="shared" si="8"/>
        <v>650.33349029266753</v>
      </c>
      <c r="BI41" s="62">
        <f ca="1">AVERAGE(OFFSET($BH$3,0,0,'Données projet'!$E$11+1,1))-AVERAGE(OFFSET($H$3,0,0,'Données projet'!$E$11+1,1))</f>
        <v>505.16888119060701</v>
      </c>
      <c r="BJ41" s="62">
        <f t="shared" si="38"/>
        <v>351.15312364640613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0.94023489022989848</v>
      </c>
      <c r="BS41" s="24">
        <f t="shared" si="9"/>
        <v>0.94023489022989848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68.195506926115257</v>
      </c>
      <c r="CE41" s="62">
        <f t="shared" si="40"/>
        <v>352.52565673897004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49.023013492825214</v>
      </c>
      <c r="CL41" s="23">
        <f>EXP(-LN(2)/25)*CL40+(1-EXP(-LN(2)/25))/(LN(2)/25)*Calculateur!CG41*Calculateur!CI41*VLOOKUP('Données projet'!$B$12,Paramètres!$A$1:$I$89,3,0)*0.475*44/12</f>
        <v>11.099088928750387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60.122102421575605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77.885897614924062</v>
      </c>
      <c r="CZ41" s="62">
        <f t="shared" si="42"/>
        <v>401.02460251355296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56.384296669064142</v>
      </c>
      <c r="DG41" s="23">
        <f>EXP(-LN(2)/25)*DG40+(1-EXP(-LN(2)/25))/(LN(2)/25)*Calculateur!DB41*Calculateur!DD41*VLOOKUP('Données projet'!$B$13,Paramètres!$A$1:$I$89,3,0)*0.475*44/12</f>
        <v>12.765725285463706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69.150021954527844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projet'!$B$14,Paramètres!$A$1:$I$89,3,0)*VLOOKUP('Données projet'!$B$14,Paramètres!$A$1:$I$89,5,0)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79.532301588639172</v>
      </c>
      <c r="DU41" s="62">
        <f t="shared" si="44"/>
        <v>409.2657792678549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57.637281039487767</v>
      </c>
      <c r="EB41" s="23">
        <f>EXP(-LN(2)/25)*EB40+(1-EXP(-LN(2)/25))/(LN(2)/25)*Calculateur!DW41*Calculateur!DY41*VLOOKUP('Données projet'!$B$14,Paramètres!$A$1:$I$89,3,0)*0.475*44/12</f>
        <v>13.049408069585123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70.686689109072887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>
        <f>EJ41*VLOOKUP('Données projet'!$B$15,Paramètres!$A$1:$I$89,3,0)*VLOOKUP('Données projet'!$B$15,Paramètres!$A$1:$I$89,5,0)</f>
        <v>0</v>
      </c>
      <c r="EL41" s="14" t="e">
        <f t="shared" si="45"/>
        <v>#NUM!</v>
      </c>
      <c r="EM41" s="22" t="e">
        <f t="shared" si="19"/>
        <v>#NUM!</v>
      </c>
      <c r="EN41" s="62" t="e">
        <f t="shared" si="20"/>
        <v>#NUM!</v>
      </c>
      <c r="EO41" s="62">
        <f ca="1">AVERAGE(OFFSET($EN$3,0,0,'Données projet'!$E$15+1,1))-AVERAGE(OFFSET($H$3,0,0,'Données projet'!$E$15+1,1))</f>
        <v>77.885897614924062</v>
      </c>
      <c r="EP41" s="62">
        <f t="shared" si="46"/>
        <v>401.02460251355296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56.384296669064142</v>
      </c>
      <c r="EW41" s="23">
        <f>EXP(-LN(2)/25)*EW40+(1-EXP(-LN(2)/25))/(LN(2)/25)*Calculateur!ER41*Calculateur!ET41*VLOOKUP('Données projet'!$B$15,Paramètres!$A$1:$I$89,3,0)*0.475*44/12</f>
        <v>12.765725285463706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69.150021954527844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594.9316366270823</v>
      </c>
      <c r="S42" s="62">
        <f ca="1">AVERAGE(OFFSET($R$3,0,0,'Données projet'!$E$9+1,1))-AVERAGE(OFFSET($H$3,0,0,'Données projet'!$E$9+1,1))</f>
        <v>426.87921482911719</v>
      </c>
      <c r="T42" s="62">
        <f t="shared" si="34"/>
        <v>313.49594674441835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533.49486426623253</v>
      </c>
      <c r="AN42" s="62">
        <f ca="1">AVERAGE(OFFSET($AM$3,0,0,'Données projet'!$E$10+1,1))-AVERAGE(OFFSET($H$3,0,0,'Données projet'!$E$10+1,1))</f>
        <v>462.95686283420531</v>
      </c>
      <c r="AO42" s="62">
        <f t="shared" si="36"/>
        <v>275.54513370838777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13.4</v>
      </c>
      <c r="BD42" s="13">
        <f>IF('Données projet'!$A$88&gt;35,BD41+BC42-BL41,IF(A42&lt;'Données projet'!$A$88,$BA$205^A42,IF(A42='Données projet'!$A$88,'Données projet'!$B$88,BD41+BC42-BL41)))</f>
        <v>323.59999999999997</v>
      </c>
      <c r="BE42" s="14">
        <f>BD42*VLOOKUP('Données projet'!$B$11,Paramètres!$A$1:$I$89,3,0)*VLOOKUP('Données projet'!$B$11,Paramètres!$A$1:$I$89,5,0)</f>
        <v>193.5128</v>
      </c>
      <c r="BF42" s="14">
        <f t="shared" si="37"/>
        <v>48.315753075335742</v>
      </c>
      <c r="BG42" s="22">
        <f t="shared" si="7"/>
        <v>421.1847299395431</v>
      </c>
      <c r="BH42" s="62">
        <f t="shared" si="8"/>
        <v>668.19412702965019</v>
      </c>
      <c r="BI42" s="62">
        <f ca="1">AVERAGE(OFFSET($BH$3,0,0,'Données projet'!$E$11+1,1))-AVERAGE(OFFSET($H$3,0,0,'Données projet'!$E$11+1,1))</f>
        <v>505.16888119060701</v>
      </c>
      <c r="BJ42" s="62">
        <f t="shared" si="38"/>
        <v>351.15312364640613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0.66484646678975035</v>
      </c>
      <c r="BS42" s="24">
        <f t="shared" si="9"/>
        <v>0.66484646678975035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68.195506926115257</v>
      </c>
      <c r="CE42" s="62">
        <f t="shared" si="40"/>
        <v>352.52565673897004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48.061702099316655</v>
      </c>
      <c r="CL42" s="23">
        <f>EXP(-LN(2)/25)*CL41+(1-EXP(-LN(2)/25))/(LN(2)/25)*Calculateur!CG42*Calculateur!CI42*VLOOKUP('Données projet'!$B$12,Paramètres!$A$1:$I$89,3,0)*0.475*44/12</f>
        <v>10.795583758317989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58.857285857634643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77.885897614924062</v>
      </c>
      <c r="CZ42" s="62">
        <f t="shared" si="42"/>
        <v>401.02460251355296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55.278635002408933</v>
      </c>
      <c r="DG42" s="23">
        <f>EXP(-LN(2)/25)*DG41+(1-EXP(-LN(2)/25))/(LN(2)/25)*Calculateur!DB42*Calculateur!DD42*VLOOKUP('Données projet'!$B$13,Paramètres!$A$1:$I$89,3,0)*0.475*44/12</f>
        <v>12.416645856212384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67.695280858621317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projet'!$B$14,Paramètres!$A$1:$I$89,3,0)*VLOOKUP('Données projet'!$B$14,Paramètres!$A$1:$I$89,5,0)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79.532301588639172</v>
      </c>
      <c r="DU42" s="62">
        <f t="shared" si="44"/>
        <v>409.2657792678549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56.507049113573551</v>
      </c>
      <c r="EB42" s="23">
        <f>EXP(-LN(2)/25)*EB41+(1-EXP(-LN(2)/25))/(LN(2)/25)*Calculateur!DW42*Calculateur!DY42*VLOOKUP('Données projet'!$B$14,Paramètres!$A$1:$I$89,3,0)*0.475*44/12</f>
        <v>12.692571319683772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69.199620433257323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>
        <f>EJ42*VLOOKUP('Données projet'!$B$15,Paramètres!$A$1:$I$89,3,0)*VLOOKUP('Données projet'!$B$15,Paramètres!$A$1:$I$89,5,0)</f>
        <v>0</v>
      </c>
      <c r="EL42" s="14" t="e">
        <f t="shared" si="45"/>
        <v>#NUM!</v>
      </c>
      <c r="EM42" s="22" t="e">
        <f t="shared" si="19"/>
        <v>#NUM!</v>
      </c>
      <c r="EN42" s="62" t="e">
        <f t="shared" si="20"/>
        <v>#NUM!</v>
      </c>
      <c r="EO42" s="62">
        <f ca="1">AVERAGE(OFFSET($EN$3,0,0,'Données projet'!$E$15+1,1))-AVERAGE(OFFSET($H$3,0,0,'Données projet'!$E$15+1,1))</f>
        <v>77.885897614924062</v>
      </c>
      <c r="EP42" s="62">
        <f t="shared" si="46"/>
        <v>401.02460251355296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55.278635002408933</v>
      </c>
      <c r="EW42" s="23">
        <f>EXP(-LN(2)/25)*EW41+(1-EXP(-LN(2)/25))/(LN(2)/25)*Calculateur!ER42*Calculateur!ET42*VLOOKUP('Données projet'!$B$15,Paramètres!$A$1:$I$89,3,0)*0.475*44/12</f>
        <v>12.416645856212384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67.695280858621317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605.72279965386656</v>
      </c>
      <c r="S43" s="62">
        <f ca="1">AVERAGE(OFFSET($R$3,0,0,'Données projet'!$E$9+1,1))-AVERAGE(OFFSET($H$3,0,0,'Données projet'!$E$9+1,1))</f>
        <v>426.87921482911719</v>
      </c>
      <c r="T43" s="62">
        <f t="shared" si="34"/>
        <v>313.49594674441835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552.5472449761395</v>
      </c>
      <c r="AN43" s="62">
        <f ca="1">AVERAGE(OFFSET($AM$3,0,0,'Données projet'!$E$10+1,1))-AVERAGE(OFFSET($H$3,0,0,'Données projet'!$E$10+1,1))</f>
        <v>462.95686283420531</v>
      </c>
      <c r="AO43" s="62">
        <f t="shared" si="36"/>
        <v>275.54513370838777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337</v>
      </c>
      <c r="BB43" s="13">
        <f>VLOOKUP(A43,'Données projet'!$A$87:$I$107,9,0)</f>
        <v>13.4</v>
      </c>
      <c r="BC43" s="13">
        <f t="array" ref="BC43">INDEX(BB:BB,MIN(IF(ISNUMBER(BB43:BB239),ROW(BB43:BB239),"")))</f>
        <v>13.4</v>
      </c>
      <c r="BD43" s="13">
        <f>IF('Données projet'!$A$88&gt;35,BD42+BC43-BL42,IF(A43&lt;'Données projet'!$A$88,$BA$205^A43,IF(A43='Données projet'!$A$88,'Données projet'!$B$88,BD42+BC43-BL42)))</f>
        <v>336.99999999999994</v>
      </c>
      <c r="BE43" s="14">
        <f>BD43*VLOOKUP('Données projet'!$B$11,Paramètres!$A$1:$I$89,3,0)*VLOOKUP('Données projet'!$B$11,Paramètres!$A$1:$I$89,5,0)</f>
        <v>201.52599999999998</v>
      </c>
      <c r="BF43" s="14">
        <f t="shared" si="37"/>
        <v>50.079387833316794</v>
      </c>
      <c r="BG43" s="22">
        <f t="shared" si="7"/>
        <v>438.21271714302674</v>
      </c>
      <c r="BH43" s="62">
        <f t="shared" si="8"/>
        <v>686.02573096214758</v>
      </c>
      <c r="BI43" s="62">
        <f ca="1">AVERAGE(OFFSET($BH$3,0,0,'Données projet'!$E$11+1,1))-AVERAGE(OFFSET($H$3,0,0,'Données projet'!$E$11+1,1))</f>
        <v>505.16888119060701</v>
      </c>
      <c r="BJ43" s="62">
        <f t="shared" si="38"/>
        <v>351.15312364640613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0.47011744511494924</v>
      </c>
      <c r="BS43" s="24">
        <f t="shared" si="9"/>
        <v>0.47011744511494924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68.195506926115257</v>
      </c>
      <c r="CE43" s="62">
        <f t="shared" si="40"/>
        <v>352.52565673897004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47.119241435892746</v>
      </c>
      <c r="CL43" s="23">
        <f>EXP(-LN(2)/25)*CL42+(1-EXP(-LN(2)/25))/(LN(2)/25)*Calculateur!CG43*Calculateur!CI43*VLOOKUP('Données projet'!$B$12,Paramètres!$A$1:$I$89,3,0)*0.475*44/12</f>
        <v>10.500377952731707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57.619619388624457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77.885897614924062</v>
      </c>
      <c r="CZ43" s="62">
        <f t="shared" si="42"/>
        <v>401.02460251355296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54.194654686649805</v>
      </c>
      <c r="DG43" s="23">
        <f>EXP(-LN(2)/25)*DG42+(1-EXP(-LN(2)/25))/(LN(2)/25)*Calculateur!DB43*Calculateur!DD43*VLOOKUP('Données projet'!$B$13,Paramètres!$A$1:$I$89,3,0)*0.475*44/12</f>
        <v>12.07711202231123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66.271766708961039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projet'!$B$14,Paramètres!$A$1:$I$89,3,0)*VLOOKUP('Données projet'!$B$14,Paramètres!$A$1:$I$89,5,0)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79.532301588639172</v>
      </c>
      <c r="DU43" s="62">
        <f t="shared" si="44"/>
        <v>409.2657792678549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55.398980346353106</v>
      </c>
      <c r="EB43" s="23">
        <f>EXP(-LN(2)/25)*EB42+(1-EXP(-LN(2)/25))/(LN(2)/25)*Calculateur!DW43*Calculateur!DY43*VLOOKUP('Données projet'!$B$14,Paramètres!$A$1:$I$89,3,0)*0.475*44/12</f>
        <v>12.345492289473702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67.74447263582681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>
        <f>EJ43*VLOOKUP('Données projet'!$B$15,Paramètres!$A$1:$I$89,3,0)*VLOOKUP('Données projet'!$B$15,Paramètres!$A$1:$I$89,5,0)</f>
        <v>0</v>
      </c>
      <c r="EL43" s="14" t="e">
        <f t="shared" si="45"/>
        <v>#NUM!</v>
      </c>
      <c r="EM43" s="22" t="e">
        <f t="shared" si="19"/>
        <v>#NUM!</v>
      </c>
      <c r="EN43" s="62" t="e">
        <f t="shared" si="20"/>
        <v>#NUM!</v>
      </c>
      <c r="EO43" s="62">
        <f ca="1">AVERAGE(OFFSET($EN$3,0,0,'Données projet'!$E$15+1,1))-AVERAGE(OFFSET($H$3,0,0,'Données projet'!$E$15+1,1))</f>
        <v>77.885897614924062</v>
      </c>
      <c r="EP43" s="62">
        <f t="shared" si="46"/>
        <v>401.02460251355296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54.194654686649805</v>
      </c>
      <c r="EW43" s="23">
        <f>EXP(-LN(2)/25)*EW42+(1-EXP(-LN(2)/25))/(LN(2)/25)*Calculateur!ER43*Calculateur!ET43*VLOOKUP('Données projet'!$B$15,Paramètres!$A$1:$I$89,3,0)*0.475*44/12</f>
        <v>12.07711202231123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66.271766708961039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529.93643816932706</v>
      </c>
      <c r="S44" s="62">
        <f ca="1">AVERAGE(OFFSET($R$3,0,0,'Données projet'!$E$9+1,1))-AVERAGE(OFFSET($H$3,0,0,'Données projet'!$E$9+1,1))</f>
        <v>426.87921482911719</v>
      </c>
      <c r="T44" s="62">
        <f t="shared" si="34"/>
        <v>313.49594674441835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525.95411757395686</v>
      </c>
      <c r="AN44" s="62">
        <f ca="1">AVERAGE(OFFSET($AM$3,0,0,'Données projet'!$E$10+1,1))-AVERAGE(OFFSET($H$3,0,0,'Données projet'!$E$10+1,1))</f>
        <v>462.95686283420531</v>
      </c>
      <c r="AO44" s="62">
        <f t="shared" si="36"/>
        <v>275.54513370838777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12.2</v>
      </c>
      <c r="BD44" s="13">
        <f>IF('Données projet'!$A$88&gt;35,BD43+BC44-BL43,IF(A44&lt;'Données projet'!$A$88,$BA$205^A44,IF(A44='Données projet'!$A$88,'Données projet'!$B$88,BD43+BC44-BL43)))</f>
        <v>314.19999999999993</v>
      </c>
      <c r="BE44" s="14">
        <f>BD44*VLOOKUP('Données projet'!$B$11,Paramètres!$A$1:$I$89,3,0)*VLOOKUP('Données projet'!$B$11,Paramètres!$A$1:$I$89,5,0)</f>
        <v>187.89159999999998</v>
      </c>
      <c r="BF44" s="14">
        <f t="shared" si="37"/>
        <v>47.073513247861442</v>
      </c>
      <c r="BG44" s="22">
        <f t="shared" si="7"/>
        <v>409.2309055733586</v>
      </c>
      <c r="BH44" s="62">
        <f t="shared" si="8"/>
        <v>657.83359516786254</v>
      </c>
      <c r="BI44" s="62">
        <f ca="1">AVERAGE(OFFSET($BH$3,0,0,'Données projet'!$E$11+1,1))-AVERAGE(OFFSET($H$3,0,0,'Données projet'!$E$11+1,1))</f>
        <v>505.16888119060701</v>
      </c>
      <c r="BJ44" s="62">
        <f t="shared" si="38"/>
        <v>351.15312364640613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0.33242323339487517</v>
      </c>
      <c r="BS44" s="24">
        <f t="shared" si="9"/>
        <v>0.33242323339487517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68.195506926115257</v>
      </c>
      <c r="CE44" s="62">
        <f t="shared" si="40"/>
        <v>352.52565673897004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46.195261851234335</v>
      </c>
      <c r="CL44" s="23">
        <f>EXP(-LN(2)/25)*CL43+(1-EXP(-LN(2)/25))/(LN(2)/25)*Calculateur!CG44*Calculateur!CI44*VLOOKUP('Données projet'!$B$12,Paramètres!$A$1:$I$89,3,0)*0.475*44/12</f>
        <v>10.213244565423381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56.408506416657715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77.885897614924062</v>
      </c>
      <c r="CZ44" s="62">
        <f t="shared" si="42"/>
        <v>401.02460251355296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53.131930563720005</v>
      </c>
      <c r="DG44" s="23">
        <f>EXP(-LN(2)/25)*DG43+(1-EXP(-LN(2)/25))/(LN(2)/25)*Calculateur!DB44*Calculateur!DD44*VLOOKUP('Données projet'!$B$13,Paramètres!$A$1:$I$89,3,0)*0.475*44/12</f>
        <v>11.74686275895341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64.878793322673417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projet'!$B$14,Paramètres!$A$1:$I$89,3,0)*VLOOKUP('Données projet'!$B$14,Paramètres!$A$1:$I$89,5,0)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79.532301588639172</v>
      </c>
      <c r="DU44" s="62">
        <f t="shared" si="44"/>
        <v>409.2657792678549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54.312640131802645</v>
      </c>
      <c r="EB44" s="23">
        <f>EXP(-LN(2)/25)*EB43+(1-EXP(-LN(2)/25))/(LN(2)/25)*Calculateur!DW44*Calculateur!DY44*VLOOKUP('Données projet'!$B$14,Paramètres!$A$1:$I$89,3,0)*0.475*44/12</f>
        <v>12.007904153596821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66.320544285399464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>
        <f>EJ44*VLOOKUP('Données projet'!$B$15,Paramètres!$A$1:$I$89,3,0)*VLOOKUP('Données projet'!$B$15,Paramètres!$A$1:$I$89,5,0)</f>
        <v>0</v>
      </c>
      <c r="EL44" s="14" t="e">
        <f t="shared" si="45"/>
        <v>#NUM!</v>
      </c>
      <c r="EM44" s="22" t="e">
        <f t="shared" si="19"/>
        <v>#NUM!</v>
      </c>
      <c r="EN44" s="62" t="e">
        <f t="shared" si="20"/>
        <v>#NUM!</v>
      </c>
      <c r="EO44" s="62">
        <f ca="1">AVERAGE(OFFSET($EN$3,0,0,'Données projet'!$E$15+1,1))-AVERAGE(OFFSET($H$3,0,0,'Données projet'!$E$15+1,1))</f>
        <v>77.885897614924062</v>
      </c>
      <c r="EP44" s="62">
        <f t="shared" si="46"/>
        <v>401.02460251355296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53.131930563720005</v>
      </c>
      <c r="EW44" s="23">
        <f>EXP(-LN(2)/25)*EW43+(1-EXP(-LN(2)/25))/(LN(2)/25)*Calculateur!ER44*Calculateur!ET44*VLOOKUP('Données projet'!$B$15,Paramètres!$A$1:$I$89,3,0)*0.475*44/12</f>
        <v>11.74686275895341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64.878793322673417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542.25072771838245</v>
      </c>
      <c r="S45" s="62">
        <f ca="1">AVERAGE(OFFSET($R$3,0,0,'Données projet'!$E$9+1,1))-AVERAGE(OFFSET($H$3,0,0,'Données projet'!$E$9+1,1))</f>
        <v>426.87921482911719</v>
      </c>
      <c r="T45" s="62">
        <f t="shared" si="34"/>
        <v>313.49594674441835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544.99165793774489</v>
      </c>
      <c r="AN45" s="62">
        <f ca="1">AVERAGE(OFFSET($AM$3,0,0,'Données projet'!$E$10+1,1))-AVERAGE(OFFSET($H$3,0,0,'Données projet'!$E$10+1,1))</f>
        <v>462.95686283420531</v>
      </c>
      <c r="AO45" s="62">
        <f t="shared" si="36"/>
        <v>275.54513370838777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12.2</v>
      </c>
      <c r="BD45" s="13">
        <f>IF('Données projet'!$A$88&gt;35,BD44+BC45-BL44,IF(A45&lt;'Données projet'!$A$88,$BA$205^A45,IF(A45='Données projet'!$A$88,'Données projet'!$B$88,BD44+BC45-BL44)))</f>
        <v>326.39999999999992</v>
      </c>
      <c r="BE45" s="14">
        <f>BD45*VLOOKUP('Données projet'!$B$11,Paramètres!$A$1:$I$89,3,0)*VLOOKUP('Données projet'!$B$11,Paramètres!$A$1:$I$89,5,0)</f>
        <v>195.18719999999999</v>
      </c>
      <c r="BF45" s="14">
        <f t="shared" si="37"/>
        <v>48.684965171431614</v>
      </c>
      <c r="BG45" s="22">
        <f t="shared" si="7"/>
        <v>424.74402100691003</v>
      </c>
      <c r="BH45" s="62">
        <f t="shared" si="8"/>
        <v>674.12268726754473</v>
      </c>
      <c r="BI45" s="62">
        <f ca="1">AVERAGE(OFFSET($BH$3,0,0,'Données projet'!$E$11+1,1))-AVERAGE(OFFSET($H$3,0,0,'Données projet'!$E$11+1,1))</f>
        <v>505.16888119060701</v>
      </c>
      <c r="BJ45" s="62">
        <f t="shared" si="38"/>
        <v>351.15312364640613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0.23505872255747462</v>
      </c>
      <c r="BS45" s="24">
        <f t="shared" si="9"/>
        <v>0.23505872255747462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68.195506926115257</v>
      </c>
      <c r="CE45" s="62">
        <f t="shared" si="40"/>
        <v>352.52565673897004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45.289400942659178</v>
      </c>
      <c r="CL45" s="23">
        <f>EXP(-LN(2)/25)*CL44+(1-EXP(-LN(2)/25))/(LN(2)/25)*Calculateur!CG45*Calculateur!CI45*VLOOKUP('Données projet'!$B$12,Paramètres!$A$1:$I$89,3,0)*0.475*44/12</f>
        <v>9.9339628556906892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55.223363798349865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77.885897614924062</v>
      </c>
      <c r="CZ45" s="62">
        <f t="shared" si="42"/>
        <v>401.02460251355296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52.090045812643147</v>
      </c>
      <c r="DG45" s="23">
        <f>EXP(-LN(2)/25)*DG44+(1-EXP(-LN(2)/25))/(LN(2)/25)*Calculateur!DB45*Calculateur!DD45*VLOOKUP('Données projet'!$B$13,Paramètres!$A$1:$I$89,3,0)*0.475*44/12</f>
        <v>11.425644179069165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63.515689991712314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projet'!$B$14,Paramètres!$A$1:$I$89,3,0)*VLOOKUP('Données projet'!$B$14,Paramètres!$A$1:$I$89,5,0)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79.532301588639172</v>
      </c>
      <c r="DU45" s="62">
        <f t="shared" si="44"/>
        <v>409.2657792678549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53.247602386257412</v>
      </c>
      <c r="EB45" s="23">
        <f>EXP(-LN(2)/25)*EB44+(1-EXP(-LN(2)/25))/(LN(2)/25)*Calculateur!DW45*Calculateur!DY45*VLOOKUP('Données projet'!$B$14,Paramètres!$A$1:$I$89,3,0)*0.475*44/12</f>
        <v>11.679547383048481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64.927149769305899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>
        <f>EJ45*VLOOKUP('Données projet'!$B$15,Paramètres!$A$1:$I$89,3,0)*VLOOKUP('Données projet'!$B$15,Paramètres!$A$1:$I$89,5,0)</f>
        <v>0</v>
      </c>
      <c r="EL45" s="14" t="e">
        <f t="shared" si="45"/>
        <v>#NUM!</v>
      </c>
      <c r="EM45" s="22" t="e">
        <f t="shared" si="19"/>
        <v>#NUM!</v>
      </c>
      <c r="EN45" s="62" t="e">
        <f t="shared" si="20"/>
        <v>#NUM!</v>
      </c>
      <c r="EO45" s="62">
        <f ca="1">AVERAGE(OFFSET($EN$3,0,0,'Données projet'!$E$15+1,1))-AVERAGE(OFFSET($H$3,0,0,'Données projet'!$E$15+1,1))</f>
        <v>77.885897614924062</v>
      </c>
      <c r="EP45" s="62">
        <f t="shared" si="46"/>
        <v>401.02460251355296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52.090045812643147</v>
      </c>
      <c r="EW45" s="23">
        <f>EXP(-LN(2)/25)*EW44+(1-EXP(-LN(2)/25))/(LN(2)/25)*Calculateur!ER45*Calculateur!ET45*VLOOKUP('Données projet'!$B$15,Paramètres!$A$1:$I$89,3,0)*0.475*44/12</f>
        <v>11.425644179069165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63.515689991712314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554.54140965870954</v>
      </c>
      <c r="S46" s="62">
        <f ca="1">AVERAGE(OFFSET($R$3,0,0,'Données projet'!$E$9+1,1))-AVERAGE(OFFSET($H$3,0,0,'Données projet'!$E$9+1,1))</f>
        <v>426.87921482911719</v>
      </c>
      <c r="T46" s="62">
        <f t="shared" si="34"/>
        <v>313.49594674441835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563.99058187455717</v>
      </c>
      <c r="AN46" s="62">
        <f ca="1">AVERAGE(OFFSET($AM$3,0,0,'Données projet'!$E$10+1,1))-AVERAGE(OFFSET($H$3,0,0,'Données projet'!$E$10+1,1))</f>
        <v>462.95686283420531</v>
      </c>
      <c r="AO46" s="62">
        <f t="shared" si="36"/>
        <v>275.54513370838777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12.2</v>
      </c>
      <c r="BD46" s="13">
        <f>IF('Données projet'!$A$88&gt;35,BD45+BC46-BL45,IF(A46&lt;'Données projet'!$A$88,$BA$205^A46,IF(A46='Données projet'!$A$88,'Données projet'!$B$88,BD45+BC46-BL45)))</f>
        <v>338.59999999999991</v>
      </c>
      <c r="BE46" s="14">
        <f>BD46*VLOOKUP('Données projet'!$B$11,Paramètres!$A$1:$I$89,3,0)*VLOOKUP('Données projet'!$B$11,Paramètres!$A$1:$I$89,5,0)</f>
        <v>202.48279999999997</v>
      </c>
      <c r="BF46" s="14">
        <f t="shared" si="37"/>
        <v>50.289419602655045</v>
      </c>
      <c r="BG46" s="22">
        <f t="shared" si="7"/>
        <v>440.24494914129082</v>
      </c>
      <c r="BH46" s="62">
        <f t="shared" si="8"/>
        <v>690.38613060772286</v>
      </c>
      <c r="BI46" s="62">
        <f ca="1">AVERAGE(OFFSET($BH$3,0,0,'Données projet'!$E$11+1,1))-AVERAGE(OFFSET($H$3,0,0,'Données projet'!$E$11+1,1))</f>
        <v>505.16888119060701</v>
      </c>
      <c r="BJ46" s="62">
        <f t="shared" si="38"/>
        <v>351.15312364640613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0.16621161669743759</v>
      </c>
      <c r="BS46" s="24">
        <f t="shared" si="9"/>
        <v>0.16621161669743759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68.195506926115257</v>
      </c>
      <c r="CE46" s="62">
        <f t="shared" si="40"/>
        <v>352.52565673897004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44.401303413980585</v>
      </c>
      <c r="CL46" s="23">
        <f>EXP(-LN(2)/25)*CL45+(1-EXP(-LN(2)/25))/(LN(2)/25)*Calculateur!CG46*Calculateur!CI46*VLOOKUP('Données projet'!$B$12,Paramètres!$A$1:$I$89,3,0)*0.475*44/12</f>
        <v>9.6623181189974243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54.063621532978011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77.885897614924062</v>
      </c>
      <c r="CZ46" s="62">
        <f t="shared" si="42"/>
        <v>401.02460251355296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51.068591786047961</v>
      </c>
      <c r="DG46" s="23">
        <f>EXP(-LN(2)/25)*DG45+(1-EXP(-LN(2)/25))/(LN(2)/25)*Calculateur!DB46*Calculateur!DD46*VLOOKUP('Données projet'!$B$13,Paramètres!$A$1:$I$89,3,0)*0.475*44/12</f>
        <v>11.113209338144005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62.181801124191963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79.532301588639172</v>
      </c>
      <c r="DU46" s="62">
        <f t="shared" si="44"/>
        <v>409.2657792678549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52.203449381293439</v>
      </c>
      <c r="EB46" s="23">
        <f>EXP(-LN(2)/25)*EB45+(1-EXP(-LN(2)/25))/(LN(2)/25)*Calculateur!DW46*Calculateur!DY46*VLOOKUP('Données projet'!$B$14,Paramètres!$A$1:$I$89,3,0)*0.475*44/12</f>
        <v>11.360169545658318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63.563618926951754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>
        <f>EJ46*VLOOKUP('Données projet'!$B$15,Paramètres!$A$1:$I$89,3,0)*VLOOKUP('Données projet'!$B$15,Paramètres!$A$1:$I$89,5,0)</f>
        <v>0</v>
      </c>
      <c r="EL46" s="14" t="e">
        <f t="shared" si="45"/>
        <v>#NUM!</v>
      </c>
      <c r="EM46" s="22" t="e">
        <f t="shared" si="19"/>
        <v>#NUM!</v>
      </c>
      <c r="EN46" s="62" t="e">
        <f t="shared" si="20"/>
        <v>#NUM!</v>
      </c>
      <c r="EO46" s="62">
        <f ca="1">AVERAGE(OFFSET($EN$3,0,0,'Données projet'!$E$15+1,1))-AVERAGE(OFFSET($H$3,0,0,'Données projet'!$E$15+1,1))</f>
        <v>77.885897614924062</v>
      </c>
      <c r="EP46" s="62">
        <f t="shared" si="46"/>
        <v>401.02460251355296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51.068591786047961</v>
      </c>
      <c r="EW46" s="23">
        <f>EXP(-LN(2)/25)*EW45+(1-EXP(-LN(2)/25))/(LN(2)/25)*Calculateur!ER46*Calculateur!ET46*VLOOKUP('Données projet'!$B$15,Paramètres!$A$1:$I$89,3,0)*0.475*44/12</f>
        <v>11.113209338144005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62.181801124191963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566.80915608362091</v>
      </c>
      <c r="S47" s="62">
        <f ca="1">AVERAGE(OFFSET($R$3,0,0,'Données projet'!$E$9+1,1))-AVERAGE(OFFSET($H$3,0,0,'Données projet'!$E$9+1,1))</f>
        <v>426.87921482911719</v>
      </c>
      <c r="T47" s="62">
        <f t="shared" si="34"/>
        <v>313.49594674441835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582.95278982375453</v>
      </c>
      <c r="AN47" s="62">
        <f ca="1">AVERAGE(OFFSET($AM$3,0,0,'Données projet'!$E$10+1,1))-AVERAGE(OFFSET($H$3,0,0,'Données projet'!$E$10+1,1))</f>
        <v>462.95686283420531</v>
      </c>
      <c r="AO47" s="62">
        <f t="shared" si="36"/>
        <v>275.54513370838777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12.2</v>
      </c>
      <c r="BD47" s="13">
        <f>IF('Données projet'!$A$88&gt;35,BD46+BC47-BL46,IF(A47&lt;'Données projet'!$A$88,$BA$205^A47,IF(A47='Données projet'!$A$88,'Données projet'!$B$88,BD46+BC47-BL46)))</f>
        <v>350.7999999999999</v>
      </c>
      <c r="BE47" s="14">
        <f>BD47*VLOOKUP('Données projet'!$B$11,Paramètres!$A$1:$I$89,3,0)*VLOOKUP('Données projet'!$B$11,Paramètres!$A$1:$I$89,5,0)</f>
        <v>209.77839999999998</v>
      </c>
      <c r="BF47" s="14">
        <f t="shared" si="37"/>
        <v>51.887157547732421</v>
      </c>
      <c r="BG47" s="22">
        <f t="shared" si="7"/>
        <v>455.73417939563393</v>
      </c>
      <c r="BH47" s="62">
        <f t="shared" si="8"/>
        <v>706.62464813377142</v>
      </c>
      <c r="BI47" s="62">
        <f ca="1">AVERAGE(OFFSET($BH$3,0,0,'Données projet'!$E$11+1,1))-AVERAGE(OFFSET($H$3,0,0,'Données projet'!$E$11+1,1))</f>
        <v>505.16888119060701</v>
      </c>
      <c r="BJ47" s="62">
        <f t="shared" si="38"/>
        <v>351.15312364640613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0.11752936127873731</v>
      </c>
      <c r="BS47" s="24">
        <f t="shared" si="9"/>
        <v>0.11752936127873731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68.195506926115257</v>
      </c>
      <c r="CE47" s="62">
        <f t="shared" si="40"/>
        <v>352.52565673897004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43.530620936153369</v>
      </c>
      <c r="CL47" s="23">
        <f>EXP(-LN(2)/25)*CL46+(1-EXP(-LN(2)/25))/(LN(2)/25)*Calculateur!CG47*Calculateur!CI47*VLOOKUP('Données projet'!$B$12,Paramètres!$A$1:$I$89,3,0)*0.475*44/12</f>
        <v>9.3981015219142137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52.928722458067583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77.885897614924062</v>
      </c>
      <c r="CZ47" s="62">
        <f t="shared" si="42"/>
        <v>401.02460251355296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50.067167849888861</v>
      </c>
      <c r="DG47" s="23">
        <f>EXP(-LN(2)/25)*DG46+(1-EXP(-LN(2)/25))/(LN(2)/25)*Calculateur!DB47*Calculateur!DD47*VLOOKUP('Données projet'!$B$13,Paramètres!$A$1:$I$89,3,0)*0.475*44/12</f>
        <v>10.809318044374177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60.876485894263041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79.532301588639172</v>
      </c>
      <c r="DU47" s="62">
        <f t="shared" si="44"/>
        <v>409.2657792678549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51.179771579886363</v>
      </c>
      <c r="EB47" s="23">
        <f>EXP(-LN(2)/25)*EB46+(1-EXP(-LN(2)/25))/(LN(2)/25)*Calculateur!DW47*Calculateur!DY47*VLOOKUP('Données projet'!$B$14,Paramètres!$A$1:$I$89,3,0)*0.475*44/12</f>
        <v>11.049525112026938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62.229296691913305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>
        <f>EJ47*VLOOKUP('Données projet'!$B$15,Paramètres!$A$1:$I$89,3,0)*VLOOKUP('Données projet'!$B$15,Paramètres!$A$1:$I$89,5,0)</f>
        <v>0</v>
      </c>
      <c r="EL47" s="14" t="e">
        <f t="shared" si="45"/>
        <v>#NUM!</v>
      </c>
      <c r="EM47" s="22" t="e">
        <f t="shared" si="19"/>
        <v>#NUM!</v>
      </c>
      <c r="EN47" s="62" t="e">
        <f t="shared" si="20"/>
        <v>#NUM!</v>
      </c>
      <c r="EO47" s="62">
        <f ca="1">AVERAGE(OFFSET($EN$3,0,0,'Données projet'!$E$15+1,1))-AVERAGE(OFFSET($H$3,0,0,'Données projet'!$E$15+1,1))</f>
        <v>77.885897614924062</v>
      </c>
      <c r="EP47" s="62">
        <f t="shared" si="46"/>
        <v>401.02460251355296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50.067167849888861</v>
      </c>
      <c r="EW47" s="23">
        <f>EXP(-LN(2)/25)*EW46+(1-EXP(-LN(2)/25))/(LN(2)/25)*Calculateur!ER47*Calculateur!ET47*VLOOKUP('Données projet'!$B$15,Paramètres!$A$1:$I$89,3,0)*0.475*44/12</f>
        <v>10.809318044374177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60.876485894263041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579.05460042972175</v>
      </c>
      <c r="S48" s="62">
        <f ca="1">AVERAGE(OFFSET($R$3,0,0,'Données projet'!$E$9+1,1))-AVERAGE(OFFSET($H$3,0,0,'Données projet'!$E$9+1,1))</f>
        <v>426.87921482911719</v>
      </c>
      <c r="T48" s="62">
        <f t="shared" si="34"/>
        <v>313.49594674441835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601.87998040738591</v>
      </c>
      <c r="AN48" s="62">
        <f ca="1">AVERAGE(OFFSET($AM$3,0,0,'Données projet'!$E$10+1,1))-AVERAGE(OFFSET($H$3,0,0,'Données projet'!$E$10+1,1))</f>
        <v>462.95686283420531</v>
      </c>
      <c r="AO48" s="62">
        <f t="shared" si="36"/>
        <v>275.54513370838777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12.2</v>
      </c>
      <c r="BD48" s="13">
        <f>IF('Données projet'!$A$88&gt;35,BD47+BC48-BL47,IF(A48&lt;'Données projet'!$A$88,$BA$205^A48,IF(A48='Données projet'!$A$88,'Données projet'!$B$88,BD47+BC48-BL47)))</f>
        <v>362.99999999999989</v>
      </c>
      <c r="BE48" s="14">
        <f>BD48*VLOOKUP('Données projet'!$B$11,Paramètres!$A$1:$I$89,3,0)*VLOOKUP('Données projet'!$B$11,Paramètres!$A$1:$I$89,5,0)</f>
        <v>217.07399999999996</v>
      </c>
      <c r="BF48" s="14">
        <f t="shared" si="37"/>
        <v>53.47843935897447</v>
      </c>
      <c r="BG48" s="22">
        <f t="shared" si="7"/>
        <v>471.21216521688046</v>
      </c>
      <c r="BH48" s="62">
        <f t="shared" si="8"/>
        <v>722.83892276771462</v>
      </c>
      <c r="BI48" s="62">
        <f ca="1">AVERAGE(OFFSET($BH$3,0,0,'Données projet'!$E$11+1,1))-AVERAGE(OFFSET($H$3,0,0,'Données projet'!$E$11+1,1))</f>
        <v>505.16888119060701</v>
      </c>
      <c r="BJ48" s="62">
        <f t="shared" si="38"/>
        <v>351.15312364640613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8.3105808348718793E-2</v>
      </c>
      <c r="BS48" s="24">
        <f t="shared" si="9"/>
        <v>8.3105808348718793E-2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68.195506926115257</v>
      </c>
      <c r="CE48" s="62">
        <f t="shared" si="40"/>
        <v>352.52565673897004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42.677012010652476</v>
      </c>
      <c r="CL48" s="23">
        <f>EXP(-LN(2)/25)*CL47+(1-EXP(-LN(2)/25))/(LN(2)/25)*Calculateur!CG48*Calculateur!CI48*VLOOKUP('Données projet'!$B$12,Paramètres!$A$1:$I$89,3,0)*0.475*44/12</f>
        <v>9.1411099415727897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51.818121952225269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77.885897614924062</v>
      </c>
      <c r="CZ48" s="62">
        <f t="shared" si="42"/>
        <v>401.02460251355296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49.085381226309558</v>
      </c>
      <c r="DG48" s="23">
        <f>EXP(-LN(2)/25)*DG47+(1-EXP(-LN(2)/25))/(LN(2)/25)*Calculateur!DB48*Calculateur!DD48*VLOOKUP('Données projet'!$B$13,Paramètres!$A$1:$I$89,3,0)*0.475*44/12</f>
        <v>10.513736674013433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59.599117900322995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79.532301588639172</v>
      </c>
      <c r="DU48" s="62">
        <f t="shared" si="44"/>
        <v>409.2657792678549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50.176167475783075</v>
      </c>
      <c r="EB48" s="23">
        <f>EXP(-LN(2)/25)*EB47+(1-EXP(-LN(2)/25))/(LN(2)/25)*Calculateur!DW48*Calculateur!DY48*VLOOKUP('Données projet'!$B$14,Paramètres!$A$1:$I$89,3,0)*0.475*44/12</f>
        <v>10.747375266769289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60.923542742552364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>
        <f>EJ48*VLOOKUP('Données projet'!$B$15,Paramètres!$A$1:$I$89,3,0)*VLOOKUP('Données projet'!$B$15,Paramètres!$A$1:$I$89,5,0)</f>
        <v>0</v>
      </c>
      <c r="EL48" s="14" t="e">
        <f t="shared" si="45"/>
        <v>#NUM!</v>
      </c>
      <c r="EM48" s="22" t="e">
        <f t="shared" si="19"/>
        <v>#NUM!</v>
      </c>
      <c r="EN48" s="62" t="e">
        <f t="shared" si="20"/>
        <v>#NUM!</v>
      </c>
      <c r="EO48" s="62">
        <f ca="1">AVERAGE(OFFSET($EN$3,0,0,'Données projet'!$E$15+1,1))-AVERAGE(OFFSET($H$3,0,0,'Données projet'!$E$15+1,1))</f>
        <v>77.885897614924062</v>
      </c>
      <c r="EP48" s="62">
        <f t="shared" si="46"/>
        <v>401.02460251355296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49.085381226309558</v>
      </c>
      <c r="EW48" s="23">
        <f>EXP(-LN(2)/25)*EW47+(1-EXP(-LN(2)/25))/(LN(2)/25)*Calculateur!ER48*Calculateur!ET48*VLOOKUP('Données projet'!$B$15,Paramètres!$A$1:$I$89,3,0)*0.475*44/12</f>
        <v>10.513736674013433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59.599117900322995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591.27834142424001</v>
      </c>
      <c r="S49" s="62">
        <f ca="1">AVERAGE(OFFSET($R$3,0,0,'Données projet'!$E$9+1,1))-AVERAGE(OFFSET($H$3,0,0,'Données projet'!$E$9+1,1))</f>
        <v>426.87921482911719</v>
      </c>
      <c r="T49" s="62">
        <f t="shared" si="34"/>
        <v>313.49594674441835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575.30897411708634</v>
      </c>
      <c r="AN49" s="62">
        <f ca="1">AVERAGE(OFFSET($AM$3,0,0,'Données projet'!$E$10+1,1))-AVERAGE(OFFSET($H$3,0,0,'Données projet'!$E$10+1,1))</f>
        <v>462.95686283420531</v>
      </c>
      <c r="AO49" s="62">
        <f t="shared" si="36"/>
        <v>275.54513370838777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12.2</v>
      </c>
      <c r="BD49" s="13">
        <f>IF('Données projet'!$A$88&gt;35,BD48+BC49-BL48,IF(A49&lt;'Données projet'!$A$88,$BA$205^A49,IF(A49='Données projet'!$A$88,'Données projet'!$B$88,BD48+BC49-BL48)))</f>
        <v>375.19999999999987</v>
      </c>
      <c r="BE49" s="14">
        <f>BD49*VLOOKUP('Données projet'!$B$11,Paramètres!$A$1:$I$89,3,0)*VLOOKUP('Données projet'!$B$11,Paramètres!$A$1:$I$89,5,0)</f>
        <v>224.36959999999996</v>
      </c>
      <c r="BF49" s="14">
        <f t="shared" si="37"/>
        <v>55.063506895497703</v>
      </c>
      <c r="BG49" s="22">
        <f t="shared" si="7"/>
        <v>486.67932784299177</v>
      </c>
      <c r="BH49" s="62">
        <f t="shared" si="8"/>
        <v>739.02960124171739</v>
      </c>
      <c r="BI49" s="62">
        <f ca="1">AVERAGE(OFFSET($BH$3,0,0,'Données projet'!$E$11+1,1))-AVERAGE(OFFSET($H$3,0,0,'Données projet'!$E$11+1,1))</f>
        <v>505.16888119060701</v>
      </c>
      <c r="BJ49" s="62">
        <f t="shared" si="38"/>
        <v>351.15312364640613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5.8764680639368655E-2</v>
      </c>
      <c r="BS49" s="24">
        <f t="shared" si="9"/>
        <v>5.8764680639368655E-2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68.195506926115257</v>
      </c>
      <c r="CE49" s="62">
        <f t="shared" si="40"/>
        <v>352.52565673897004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41.840141835530616</v>
      </c>
      <c r="CL49" s="23">
        <f>EXP(-LN(2)/25)*CL48+(1-EXP(-LN(2)/25))/(LN(2)/25)*Calculateur!CG49*Calculateur!CI49*VLOOKUP('Données projet'!$B$12,Paramètres!$A$1:$I$89,3,0)*0.475*44/12</f>
        <v>8.8911458095104017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50.731287645041022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77.885897614924062</v>
      </c>
      <c r="CZ49" s="62">
        <f t="shared" si="42"/>
        <v>401.02460251355296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48.122846839587929</v>
      </c>
      <c r="DG49" s="23">
        <f>EXP(-LN(2)/25)*DG48+(1-EXP(-LN(2)/25))/(LN(2)/25)*Calculateur!DB49*Calculateur!DD49*VLOOKUP('Données projet'!$B$13,Paramètres!$A$1:$I$89,3,0)*0.475*44/12</f>
        <v>10.226237991769153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58.349084831357082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79.532301588639172</v>
      </c>
      <c r="DU49" s="62">
        <f t="shared" si="44"/>
        <v>409.2657792678549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49.19224343602319</v>
      </c>
      <c r="EB49" s="23">
        <f>EXP(-LN(2)/25)*EB48+(1-EXP(-LN(2)/25))/(LN(2)/25)*Calculateur!DW49*Calculateur!DY49*VLOOKUP('Données projet'!$B$14,Paramètres!$A$1:$I$89,3,0)*0.475*44/12</f>
        <v>10.453487724919581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59.645731160942773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>
        <f>EJ49*VLOOKUP('Données projet'!$B$15,Paramètres!$A$1:$I$89,3,0)*VLOOKUP('Données projet'!$B$15,Paramètres!$A$1:$I$89,5,0)</f>
        <v>0</v>
      </c>
      <c r="EL49" s="14" t="e">
        <f t="shared" si="45"/>
        <v>#NUM!</v>
      </c>
      <c r="EM49" s="22" t="e">
        <f t="shared" si="19"/>
        <v>#NUM!</v>
      </c>
      <c r="EN49" s="62" t="e">
        <f t="shared" si="20"/>
        <v>#NUM!</v>
      </c>
      <c r="EO49" s="62">
        <f ca="1">AVERAGE(OFFSET($EN$3,0,0,'Données projet'!$E$15+1,1))-AVERAGE(OFFSET($H$3,0,0,'Données projet'!$E$15+1,1))</f>
        <v>77.885897614924062</v>
      </c>
      <c r="EP49" s="62">
        <f t="shared" si="46"/>
        <v>401.02460251355296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48.122846839587929</v>
      </c>
      <c r="EW49" s="23">
        <f>EXP(-LN(2)/25)*EW48+(1-EXP(-LN(2)/25))/(LN(2)/25)*Calculateur!ER49*Calculateur!ET49*VLOOKUP('Données projet'!$B$15,Paramètres!$A$1:$I$89,3,0)*0.475*44/12</f>
        <v>10.226237991769153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58.349084831357082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603.48094647719654</v>
      </c>
      <c r="S50" s="62">
        <f ca="1">AVERAGE(OFFSET($R$3,0,0,'Données projet'!$E$9+1,1))-AVERAGE(OFFSET($H$3,0,0,'Données projet'!$E$9+1,1))</f>
        <v>426.87921482911719</v>
      </c>
      <c r="T50" s="62">
        <f t="shared" si="34"/>
        <v>313.49594674441835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594.22167715604473</v>
      </c>
      <c r="AN50" s="62">
        <f ca="1">AVERAGE(OFFSET($AM$3,0,0,'Données projet'!$E$10+1,1))-AVERAGE(OFFSET($H$3,0,0,'Données projet'!$E$10+1,1))</f>
        <v>462.95686283420531</v>
      </c>
      <c r="AO50" s="62">
        <f t="shared" si="36"/>
        <v>275.54513370838777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12.2</v>
      </c>
      <c r="BD50" s="13">
        <f>IF('Données projet'!$A$88&gt;35,BD49+BC50-BL49,IF(A50&lt;'Données projet'!$A$88,$BA$205^A50,IF(A50='Données projet'!$A$88,'Données projet'!$B$88,BD49+BC50-BL49)))</f>
        <v>387.39999999999986</v>
      </c>
      <c r="BE50" s="14">
        <f>BD50*VLOOKUP('Données projet'!$B$11,Paramètres!$A$1:$I$89,3,0)*VLOOKUP('Données projet'!$B$11,Paramètres!$A$1:$I$89,5,0)</f>
        <v>231.66519999999994</v>
      </c>
      <c r="BF50" s="14">
        <f t="shared" si="37"/>
        <v>56.642585394996331</v>
      </c>
      <c r="BG50" s="22">
        <f t="shared" si="7"/>
        <v>502.13605956295174</v>
      </c>
      <c r="BH50" s="62">
        <f t="shared" si="8"/>
        <v>755.19729742714708</v>
      </c>
      <c r="BI50" s="62">
        <f ca="1">AVERAGE(OFFSET($BH$3,0,0,'Données projet'!$E$11+1,1))-AVERAGE(OFFSET($H$3,0,0,'Données projet'!$E$11+1,1))</f>
        <v>505.16888119060701</v>
      </c>
      <c r="BJ50" s="62">
        <f t="shared" si="38"/>
        <v>351.15312364640613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4.1552904174359397E-2</v>
      </c>
      <c r="BS50" s="24">
        <f t="shared" si="9"/>
        <v>4.1552904174359397E-2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68.195506926115257</v>
      </c>
      <c r="CE50" s="62">
        <f t="shared" si="40"/>
        <v>352.52565673897004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41.019682174102492</v>
      </c>
      <c r="CL50" s="23">
        <f>EXP(-LN(2)/25)*CL49+(1-EXP(-LN(2)/25))/(LN(2)/25)*Calculateur!CG50*Calculateur!CI50*VLOOKUP('Données projet'!$B$12,Paramètres!$A$1:$I$89,3,0)*0.475*44/12</f>
        <v>8.648016959784302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49.667699133886792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77.885897614924062</v>
      </c>
      <c r="CZ50" s="62">
        <f t="shared" si="42"/>
        <v>401.02460251355296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47.179187165101908</v>
      </c>
      <c r="DG50" s="23">
        <f>EXP(-LN(2)/25)*DG49+(1-EXP(-LN(2)/25))/(LN(2)/25)*Calculateur!DB50*Calculateur!DD50*VLOOKUP('Données projet'!$B$13,Paramètres!$A$1:$I$89,3,0)*0.475*44/12</f>
        <v>9.9466009761097425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57.12578814121165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79.532301588639172</v>
      </c>
      <c r="DU50" s="62">
        <f t="shared" si="44"/>
        <v>409.2657792678549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48.227613546548589</v>
      </c>
      <c r="EB50" s="23">
        <f>EXP(-LN(2)/25)*EB49+(1-EXP(-LN(2)/25))/(LN(2)/25)*Calculateur!DW50*Calculateur!DY50*VLOOKUP('Données projet'!$B$14,Paramètres!$A$1:$I$89,3,0)*0.475*44/12</f>
        <v>10.167636553356628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58.395250099905219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>
        <f>EJ50*VLOOKUP('Données projet'!$B$15,Paramètres!$A$1:$I$89,3,0)*VLOOKUP('Données projet'!$B$15,Paramètres!$A$1:$I$89,5,0)</f>
        <v>0</v>
      </c>
      <c r="EL50" s="14" t="e">
        <f t="shared" si="45"/>
        <v>#NUM!</v>
      </c>
      <c r="EM50" s="22" t="e">
        <f t="shared" si="19"/>
        <v>#NUM!</v>
      </c>
      <c r="EN50" s="62" t="e">
        <f t="shared" si="20"/>
        <v>#NUM!</v>
      </c>
      <c r="EO50" s="62">
        <f ca="1">AVERAGE(OFFSET($EN$3,0,0,'Données projet'!$E$15+1,1))-AVERAGE(OFFSET($H$3,0,0,'Données projet'!$E$15+1,1))</f>
        <v>77.885897614924062</v>
      </c>
      <c r="EP50" s="62">
        <f t="shared" si="46"/>
        <v>401.02460251355296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47.179187165101908</v>
      </c>
      <c r="EW50" s="23">
        <f>EXP(-LN(2)/25)*EW49+(1-EXP(-LN(2)/25))/(LN(2)/25)*Calculateur!ER50*Calculateur!ET50*VLOOKUP('Données projet'!$B$15,Paramètres!$A$1:$I$89,3,0)*0.475*44/12</f>
        <v>9.9466009761097425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57.12578814121165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615.66295461352115</v>
      </c>
      <c r="S51" s="62">
        <f ca="1">AVERAGE(OFFSET($R$3,0,0,'Données projet'!$E$9+1,1))-AVERAGE(OFFSET($H$3,0,0,'Données projet'!$E$9+1,1))</f>
        <v>426.87921482911719</v>
      </c>
      <c r="T51" s="62">
        <f t="shared" si="34"/>
        <v>313.49594674441835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613.10069857167059</v>
      </c>
      <c r="AN51" s="62">
        <f ca="1">AVERAGE(OFFSET($AM$3,0,0,'Données projet'!$E$10+1,1))-AVERAGE(OFFSET($H$3,0,0,'Données projet'!$E$10+1,1))</f>
        <v>462.95686283420531</v>
      </c>
      <c r="AO51" s="62">
        <f t="shared" si="36"/>
        <v>275.54513370838777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12.2</v>
      </c>
      <c r="BD51" s="13">
        <f>IF('Données projet'!$A$88&gt;35,BD50+BC51-BL50,IF(A51&lt;'Données projet'!$A$88,$BA$205^A51,IF(A51='Données projet'!$A$88,'Données projet'!$B$88,BD50+BC51-BL50)))</f>
        <v>399.59999999999985</v>
      </c>
      <c r="BE51" s="14">
        <f>BD51*VLOOKUP('Données projet'!$B$11,Paramètres!$A$1:$I$89,3,0)*VLOOKUP('Données projet'!$B$11,Paramètres!$A$1:$I$89,5,0)</f>
        <v>238.96079999999995</v>
      </c>
      <c r="BF51" s="14">
        <f t="shared" si="37"/>
        <v>58.215885103108349</v>
      </c>
      <c r="BG51" s="22">
        <f t="shared" si="7"/>
        <v>517.58272655458029</v>
      </c>
      <c r="BH51" s="62">
        <f t="shared" si="8"/>
        <v>771.34259524024799</v>
      </c>
      <c r="BI51" s="62">
        <f ca="1">AVERAGE(OFFSET($BH$3,0,0,'Données projet'!$E$11+1,1))-AVERAGE(OFFSET($H$3,0,0,'Données projet'!$E$11+1,1))</f>
        <v>505.16888119060701</v>
      </c>
      <c r="BJ51" s="62">
        <f t="shared" si="38"/>
        <v>351.15312364640613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2.9382340319684327E-2</v>
      </c>
      <c r="BS51" s="24">
        <f t="shared" si="9"/>
        <v>2.9382340319684327E-2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68.195506926115257</v>
      </c>
      <c r="CE51" s="62">
        <f t="shared" si="40"/>
        <v>352.52565673897004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40.215311226203994</v>
      </c>
      <c r="CL51" s="23">
        <f>EXP(-LN(2)/25)*CL50+(1-EXP(-LN(2)/25))/(LN(2)/25)*Calculateur!CG51*Calculateur!CI51*VLOOKUP('Données projet'!$B$12,Paramètres!$A$1:$I$89,3,0)*0.475*44/12</f>
        <v>8.411536481239553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48.626847707443545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77.885897614924062</v>
      </c>
      <c r="CZ51" s="62">
        <f t="shared" si="42"/>
        <v>401.02460251355296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46.254032081256987</v>
      </c>
      <c r="DG51" s="23">
        <f>EXP(-LN(2)/25)*DG50+(1-EXP(-LN(2)/25))/(LN(2)/25)*Calculateur!DB51*Calculateur!DD51*VLOOKUP('Données projet'!$B$13,Paramètres!$A$1:$I$89,3,0)*0.475*44/12</f>
        <v>9.6746106493490096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55.928642730606001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79.532301588639172</v>
      </c>
      <c r="DU51" s="62">
        <f t="shared" si="44"/>
        <v>409.2657792678549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47.281899460840449</v>
      </c>
      <c r="EB51" s="23">
        <f>EXP(-LN(2)/25)*EB50+(1-EXP(-LN(2)/25))/(LN(2)/25)*Calculateur!DW51*Calculateur!DY51*VLOOKUP('Données projet'!$B$14,Paramètres!$A$1:$I$89,3,0)*0.475*44/12</f>
        <v>9.8896019971123224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57.171501457952772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>
        <f>EJ51*VLOOKUP('Données projet'!$B$15,Paramètres!$A$1:$I$89,3,0)*VLOOKUP('Données projet'!$B$15,Paramètres!$A$1:$I$89,5,0)</f>
        <v>0</v>
      </c>
      <c r="EL51" s="14" t="e">
        <f t="shared" si="45"/>
        <v>#NUM!</v>
      </c>
      <c r="EM51" s="22" t="e">
        <f t="shared" si="19"/>
        <v>#NUM!</v>
      </c>
      <c r="EN51" s="62" t="e">
        <f t="shared" si="20"/>
        <v>#NUM!</v>
      </c>
      <c r="EO51" s="62">
        <f ca="1">AVERAGE(OFFSET($EN$3,0,0,'Données projet'!$E$15+1,1))-AVERAGE(OFFSET($H$3,0,0,'Données projet'!$E$15+1,1))</f>
        <v>77.885897614924062</v>
      </c>
      <c r="EP51" s="62">
        <f t="shared" si="46"/>
        <v>401.02460251355296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46.254032081256987</v>
      </c>
      <c r="EW51" s="23">
        <f>EXP(-LN(2)/25)*EW50+(1-EXP(-LN(2)/25))/(LN(2)/25)*Calculateur!ER51*Calculateur!ET51*VLOOKUP('Données projet'!$B$15,Paramètres!$A$1:$I$89,3,0)*0.475*44/12</f>
        <v>9.6746106493490096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55.928642730606001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627.82487902134699</v>
      </c>
      <c r="S52" s="62">
        <f ca="1">AVERAGE(OFFSET($R$3,0,0,'Données projet'!$E$9+1,1))-AVERAGE(OFFSET($H$3,0,0,'Données projet'!$E$9+1,1))</f>
        <v>426.87921482911719</v>
      </c>
      <c r="T52" s="62">
        <f t="shared" si="34"/>
        <v>313.49594674441835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631.94748399654713</v>
      </c>
      <c r="AN52" s="62">
        <f ca="1">AVERAGE(OFFSET($AM$3,0,0,'Données projet'!$E$10+1,1))-AVERAGE(OFFSET($H$3,0,0,'Données projet'!$E$10+1,1))</f>
        <v>462.95686283420531</v>
      </c>
      <c r="AO52" s="62">
        <f t="shared" si="36"/>
        <v>275.54513370838777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12.2</v>
      </c>
      <c r="BD52" s="13">
        <f>IF('Données projet'!$A$88&gt;35,BD51+BC52-BL51,IF(A52&lt;'Données projet'!$A$88,$BA$205^A52,IF(A52='Données projet'!$A$88,'Données projet'!$B$88,BD51+BC52-BL51)))</f>
        <v>411.79999999999984</v>
      </c>
      <c r="BE52" s="14">
        <f>BD52*VLOOKUP('Données projet'!$B$11,Paramètres!$A$1:$I$89,3,0)*VLOOKUP('Données projet'!$B$11,Paramètres!$A$1:$I$89,5,0)</f>
        <v>246.25639999999993</v>
      </c>
      <c r="BF52" s="14">
        <f t="shared" si="37"/>
        <v>59.783602698208398</v>
      </c>
      <c r="BG52" s="22">
        <f t="shared" si="7"/>
        <v>533.01967136604617</v>
      </c>
      <c r="BH52" s="62">
        <f t="shared" si="8"/>
        <v>787.46605119033813</v>
      </c>
      <c r="BI52" s="62">
        <f ca="1">AVERAGE(OFFSET($BH$3,0,0,'Données projet'!$E$11+1,1))-AVERAGE(OFFSET($H$3,0,0,'Données projet'!$E$11+1,1))</f>
        <v>505.16888119060701</v>
      </c>
      <c r="BJ52" s="62">
        <f t="shared" si="38"/>
        <v>351.15312364640613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2.0776452087179698E-2</v>
      </c>
      <c r="BS52" s="24">
        <f t="shared" si="9"/>
        <v>2.0776452087179698E-2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68.195506926115257</v>
      </c>
      <c r="CE52" s="62">
        <f t="shared" si="40"/>
        <v>352.52565673897004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39.426713501975954</v>
      </c>
      <c r="CL52" s="23">
        <f>EXP(-LN(2)/25)*CL51+(1-EXP(-LN(2)/25))/(LN(2)/25)*Calculateur!CG52*Calculateur!CI52*VLOOKUP('Données projet'!$B$12,Paramètres!$A$1:$I$89,3,0)*0.475*44/12</f>
        <v>8.1815225738165793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47.608236075792533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77.885897614924062</v>
      </c>
      <c r="CZ52" s="62">
        <f t="shared" si="42"/>
        <v>401.02460251355296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45.347018724317387</v>
      </c>
      <c r="DG52" s="23">
        <f>EXP(-LN(2)/25)*DG51+(1-EXP(-LN(2)/25))/(LN(2)/25)*Calculateur!DB52*Calculateur!DD52*VLOOKUP('Données projet'!$B$13,Paramètres!$A$1:$I$89,3,0)*0.475*44/12</f>
        <v>9.4100579123768977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54.757076636694286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79.532301588639172</v>
      </c>
      <c r="DU52" s="62">
        <f t="shared" si="44"/>
        <v>409.2657792678549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46.354730251524416</v>
      </c>
      <c r="EB52" s="23">
        <f>EXP(-LN(2)/25)*EB51+(1-EXP(-LN(2)/25))/(LN(2)/25)*Calculateur!DW52*Calculateur!DY52*VLOOKUP('Données projet'!$B$14,Paramètres!$A$1:$I$89,3,0)*0.475*44/12</f>
        <v>9.6191703104297197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55.973900561954139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>
        <f>EJ52*VLOOKUP('Données projet'!$B$15,Paramètres!$A$1:$I$89,3,0)*VLOOKUP('Données projet'!$B$15,Paramètres!$A$1:$I$89,5,0)</f>
        <v>0</v>
      </c>
      <c r="EL52" s="14" t="e">
        <f t="shared" si="45"/>
        <v>#NUM!</v>
      </c>
      <c r="EM52" s="22" t="e">
        <f t="shared" si="19"/>
        <v>#NUM!</v>
      </c>
      <c r="EN52" s="62" t="e">
        <f t="shared" si="20"/>
        <v>#NUM!</v>
      </c>
      <c r="EO52" s="62">
        <f ca="1">AVERAGE(OFFSET($EN$3,0,0,'Données projet'!$E$15+1,1))-AVERAGE(OFFSET($H$3,0,0,'Données projet'!$E$15+1,1))</f>
        <v>77.885897614924062</v>
      </c>
      <c r="EP52" s="62">
        <f t="shared" si="46"/>
        <v>401.02460251355296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45.347018724317387</v>
      </c>
      <c r="EW52" s="23">
        <f>EXP(-LN(2)/25)*EW51+(1-EXP(-LN(2)/25))/(LN(2)/25)*Calculateur!ER52*Calculateur!ET52*VLOOKUP('Données projet'!$B$15,Paramètres!$A$1:$I$89,3,0)*0.475*44/12</f>
        <v>9.4100579123768977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54.757076636694286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639.96720927804972</v>
      </c>
      <c r="S53" s="62">
        <f ca="1">AVERAGE(OFFSET($R$3,0,0,'Données projet'!$E$9+1,1))-AVERAGE(OFFSET($H$3,0,0,'Données projet'!$E$9+1,1))</f>
        <v>426.87921482911719</v>
      </c>
      <c r="T53" s="62">
        <f t="shared" si="34"/>
        <v>313.49594674441835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650.76334720932596</v>
      </c>
      <c r="AN53" s="62">
        <f ca="1">AVERAGE(OFFSET($AM$3,0,0,'Données projet'!$E$10+1,1))-AVERAGE(OFFSET($H$3,0,0,'Données projet'!$E$10+1,1))</f>
        <v>462.95686283420531</v>
      </c>
      <c r="AO53" s="62">
        <f t="shared" si="36"/>
        <v>275.54513370838777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424</v>
      </c>
      <c r="BB53" s="13">
        <f>VLOOKUP(A53,'Données projet'!$A$87:$I$107,9,0)</f>
        <v>12.2</v>
      </c>
      <c r="BC53" s="13">
        <f t="array" ref="BC53">INDEX(BB:BB,MIN(IF(ISNUMBER(BB53:BB249),ROW(BB53:BB249),"")))</f>
        <v>12.2</v>
      </c>
      <c r="BD53" s="13">
        <f>IF('Données projet'!$A$88&gt;35,BD52+BC53-BL52,IF(A53&lt;'Données projet'!$A$88,$BA$205^A53,IF(A53='Données projet'!$A$88,'Données projet'!$B$88,BD52+BC53-BL52)))</f>
        <v>423.99999999999983</v>
      </c>
      <c r="BE53" s="14">
        <f>BD53*VLOOKUP('Données projet'!$B$11,Paramètres!$A$1:$I$89,3,0)*VLOOKUP('Données projet'!$B$11,Paramètres!$A$1:$I$89,5,0)</f>
        <v>253.55199999999994</v>
      </c>
      <c r="BF53" s="14">
        <f t="shared" si="37"/>
        <v>61.345922542613486</v>
      </c>
      <c r="BG53" s="22">
        <f t="shared" si="7"/>
        <v>548.44721509505166</v>
      </c>
      <c r="BH53" s="62">
        <f t="shared" si="8"/>
        <v>803.56819662452176</v>
      </c>
      <c r="BI53" s="62">
        <f ca="1">AVERAGE(OFFSET($BH$3,0,0,'Données projet'!$E$11+1,1))-AVERAGE(OFFSET($H$3,0,0,'Données projet'!$E$11+1,1))</f>
        <v>505.16888119060701</v>
      </c>
      <c r="BJ53" s="62">
        <f t="shared" si="38"/>
        <v>351.15312364640613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1.4691170159842164E-2</v>
      </c>
      <c r="BS53" s="24">
        <f t="shared" si="9"/>
        <v>1.4691170159842164E-2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68.195506926115257</v>
      </c>
      <c r="CE53" s="62">
        <f t="shared" si="40"/>
        <v>352.52565673897004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38.653579698122904</v>
      </c>
      <c r="CL53" s="23">
        <f>EXP(-LN(2)/25)*CL52+(1-EXP(-LN(2)/25))/(LN(2)/25)*Calculateur!CG53*Calculateur!CI53*VLOOKUP('Données projet'!$B$12,Paramètres!$A$1:$I$89,3,0)*0.475*44/12</f>
        <v>7.9577984087879923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46.611378106910898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77.885897614924062</v>
      </c>
      <c r="CZ53" s="62">
        <f t="shared" si="42"/>
        <v>401.02460251355296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44.457791346083852</v>
      </c>
      <c r="DG53" s="23">
        <f>EXP(-LN(2)/25)*DG52+(1-EXP(-LN(2)/25))/(LN(2)/25)*Calculateur!DB53*Calculateur!DD53*VLOOKUP('Données projet'!$B$13,Paramètres!$A$1:$I$89,3,0)*0.475*44/12</f>
        <v>9.1527393839095126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53.610530729993364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79.532301588639172</v>
      </c>
      <c r="DU53" s="62">
        <f t="shared" si="44"/>
        <v>409.2657792678549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45.445742264885688</v>
      </c>
      <c r="EB53" s="23">
        <f>EXP(-LN(2)/25)*EB52+(1-EXP(-LN(2)/25))/(LN(2)/25)*Calculateur!DW53*Calculateur!DY53*VLOOKUP('Données projet'!$B$14,Paramètres!$A$1:$I$89,3,0)*0.475*44/12</f>
        <v>9.3561335924408375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54.801875857326522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>
        <f>EJ53*VLOOKUP('Données projet'!$B$15,Paramètres!$A$1:$I$89,3,0)*VLOOKUP('Données projet'!$B$15,Paramètres!$A$1:$I$89,5,0)</f>
        <v>0</v>
      </c>
      <c r="EL53" s="14" t="e">
        <f t="shared" si="45"/>
        <v>#NUM!</v>
      </c>
      <c r="EM53" s="22" t="e">
        <f t="shared" si="19"/>
        <v>#NUM!</v>
      </c>
      <c r="EN53" s="62" t="e">
        <f t="shared" si="20"/>
        <v>#NUM!</v>
      </c>
      <c r="EO53" s="62">
        <f ca="1">AVERAGE(OFFSET($EN$3,0,0,'Données projet'!$E$15+1,1))-AVERAGE(OFFSET($H$3,0,0,'Données projet'!$E$15+1,1))</f>
        <v>77.885897614924062</v>
      </c>
      <c r="EP53" s="62">
        <f t="shared" si="46"/>
        <v>401.02460251355296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44.457791346083852</v>
      </c>
      <c r="EW53" s="23">
        <f>EXP(-LN(2)/25)*EW52+(1-EXP(-LN(2)/25))/(LN(2)/25)*Calculateur!ER53*Calculateur!ET53*VLOOKUP('Données projet'!$B$15,Paramètres!$A$1:$I$89,3,0)*0.475*44/12</f>
        <v>9.1527393839095126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53.610530729993364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654.08277043176372</v>
      </c>
      <c r="S54" s="62">
        <f ca="1">AVERAGE(OFFSET($R$3,0,0,'Données projet'!$E$9+1,1))-AVERAGE(OFFSET($H$3,0,0,'Données projet'!$E$9+1,1))</f>
        <v>426.87921482911719</v>
      </c>
      <c r="T54" s="62">
        <f t="shared" si="34"/>
        <v>313.49594674441835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623.34249528069688</v>
      </c>
      <c r="AN54" s="62">
        <f ca="1">AVERAGE(OFFSET($AM$3,0,0,'Données projet'!$E$10+1,1))-AVERAGE(OFFSET($H$3,0,0,'Données projet'!$E$10+1,1))</f>
        <v>462.95686283420531</v>
      </c>
      <c r="AO54" s="62">
        <f t="shared" si="36"/>
        <v>275.54513370838777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</v>
      </c>
      <c r="BD54" s="13">
        <f>IF('Données projet'!$A$88&gt;35,BD53+BC54-BL53,IF(A54&lt;'Données projet'!$A$88,$BA$205^A54,IF(A54='Données projet'!$A$88,'Données projet'!$B$88,BD53+BC54-BL53)))</f>
        <v>392.29999999999984</v>
      </c>
      <c r="BE54" s="14">
        <f>BD54*VLOOKUP('Données projet'!$B$11,Paramètres!$A$1:$I$89,3,0)*VLOOKUP('Données projet'!$B$11,Paramètres!$A$1:$I$89,5,0)</f>
        <v>234.59539999999993</v>
      </c>
      <c r="BF54" s="14">
        <f t="shared" si="37"/>
        <v>57.275167520675019</v>
      </c>
      <c r="BG54" s="22">
        <f t="shared" si="7"/>
        <v>508.34123843184221</v>
      </c>
      <c r="BH54" s="62">
        <f t="shared" si="8"/>
        <v>764.1251188350891</v>
      </c>
      <c r="BI54" s="62">
        <f ca="1">AVERAGE(OFFSET($BH$3,0,0,'Données projet'!$E$11+1,1))-AVERAGE(OFFSET($H$3,0,0,'Données projet'!$E$11+1,1))</f>
        <v>505.16888119060701</v>
      </c>
      <c r="BJ54" s="62">
        <f t="shared" si="38"/>
        <v>351.15312364640613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1.0388226043589849E-2</v>
      </c>
      <c r="BS54" s="24">
        <f t="shared" si="9"/>
        <v>1.0388226043589849E-2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68.195506926115257</v>
      </c>
      <c r="CE54" s="62">
        <f t="shared" si="40"/>
        <v>352.52565673897004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37.895606576598361</v>
      </c>
      <c r="CL54" s="23">
        <f>EXP(-LN(2)/25)*CL53+(1-EXP(-LN(2)/25))/(LN(2)/25)*Calculateur!CG54*Calculateur!CI54*VLOOKUP('Données projet'!$B$12,Paramètres!$A$1:$I$89,3,0)*0.475*44/12</f>
        <v>7.7401919928172545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45.635798569415613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77.885897614924062</v>
      </c>
      <c r="CZ54" s="62">
        <f t="shared" si="42"/>
        <v>401.02460251355296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43.58600117436233</v>
      </c>
      <c r="DG54" s="23">
        <f>EXP(-LN(2)/25)*DG53+(1-EXP(-LN(2)/25))/(LN(2)/25)*Calculateur!DB54*Calculateur!DD54*VLOOKUP('Données projet'!$B$13,Paramètres!$A$1:$I$89,3,0)*0.475*44/12</f>
        <v>8.9024572441348617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52.488458418497189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79.532301588639172</v>
      </c>
      <c r="DU54" s="62">
        <f t="shared" si="44"/>
        <v>409.2657792678549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44.554578978237018</v>
      </c>
      <c r="EB54" s="23">
        <f>EXP(-LN(2)/25)*EB53+(1-EXP(-LN(2)/25))/(LN(2)/25)*Calculateur!DW54*Calculateur!DY54*VLOOKUP('Données projet'!$B$14,Paramètres!$A$1:$I$89,3,0)*0.475*44/12</f>
        <v>9.1002896273378617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53.654868605574876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>
        <f>EJ54*VLOOKUP('Données projet'!$B$15,Paramètres!$A$1:$I$89,3,0)*VLOOKUP('Données projet'!$B$15,Paramètres!$A$1:$I$89,5,0)</f>
        <v>0</v>
      </c>
      <c r="EL54" s="14" t="e">
        <f t="shared" si="45"/>
        <v>#NUM!</v>
      </c>
      <c r="EM54" s="22" t="e">
        <f t="shared" si="19"/>
        <v>#NUM!</v>
      </c>
      <c r="EN54" s="62" t="e">
        <f t="shared" si="20"/>
        <v>#NUM!</v>
      </c>
      <c r="EO54" s="62">
        <f ca="1">AVERAGE(OFFSET($EN$3,0,0,'Données projet'!$E$15+1,1))-AVERAGE(OFFSET($H$3,0,0,'Données projet'!$E$15+1,1))</f>
        <v>77.885897614924062</v>
      </c>
      <c r="EP54" s="62">
        <f t="shared" si="46"/>
        <v>401.02460251355296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43.58600117436233</v>
      </c>
      <c r="EW54" s="23">
        <f>EXP(-LN(2)/25)*EW53+(1-EXP(-LN(2)/25))/(LN(2)/25)*Calculateur!ER54*Calculateur!ET54*VLOOKUP('Données projet'!$B$15,Paramètres!$A$1:$I$89,3,0)*0.475*44/12</f>
        <v>8.9024572441348617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52.488458418497189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668.17699530644245</v>
      </c>
      <c r="S55" s="62">
        <f ca="1">AVERAGE(OFFSET($R$3,0,0,'Données projet'!$E$9+1,1))-AVERAGE(OFFSET($H$3,0,0,'Données projet'!$E$9+1,1))</f>
        <v>426.87921482911719</v>
      </c>
      <c r="T55" s="62">
        <f t="shared" si="34"/>
        <v>313.49594674441835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641.28150721216321</v>
      </c>
      <c r="AN55" s="62">
        <f ca="1">AVERAGE(OFFSET($AM$3,0,0,'Données projet'!$E$10+1,1))-AVERAGE(OFFSET($H$3,0,0,'Données projet'!$E$10+1,1))</f>
        <v>462.95686283420531</v>
      </c>
      <c r="AO55" s="62">
        <f t="shared" si="36"/>
        <v>275.54513370838777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10.3</v>
      </c>
      <c r="BD55" s="13">
        <f>IF('Données projet'!$A$88&gt;35,BD54+BC55-BL54,IF(A55&lt;'Données projet'!$A$88,$BA$205^A55,IF(A55='Données projet'!$A$88,'Données projet'!$B$88,BD54+BC55-BL54)))</f>
        <v>402.59999999999985</v>
      </c>
      <c r="BE55" s="14">
        <f>BD55*VLOOKUP('Données projet'!$B$11,Paramètres!$A$1:$I$89,3,0)*VLOOKUP('Données projet'!$B$11,Paramètres!$A$1:$I$89,5,0)</f>
        <v>240.75479999999993</v>
      </c>
      <c r="BF55" s="14">
        <f t="shared" si="37"/>
        <v>58.601899688541039</v>
      </c>
      <c r="BG55" s="22">
        <f t="shared" si="7"/>
        <v>521.37958529087553</v>
      </c>
      <c r="BH55" s="62">
        <f t="shared" si="8"/>
        <v>777.81486475445888</v>
      </c>
      <c r="BI55" s="62">
        <f ca="1">AVERAGE(OFFSET($BH$3,0,0,'Données projet'!$E$11+1,1))-AVERAGE(OFFSET($H$3,0,0,'Données projet'!$E$11+1,1))</f>
        <v>505.16888119060701</v>
      </c>
      <c r="BJ55" s="62">
        <f t="shared" si="38"/>
        <v>351.15312364640613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7.3455850799210819E-3</v>
      </c>
      <c r="BS55" s="24">
        <f t="shared" si="9"/>
        <v>7.3455850799210819E-3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68.195506926115257</v>
      </c>
      <c r="CE55" s="62">
        <f t="shared" si="40"/>
        <v>352.52565673897004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37.152496845668956</v>
      </c>
      <c r="CL55" s="23">
        <f>EXP(-LN(2)/25)*CL54+(1-EXP(-LN(2)/25))/(LN(2)/25)*Calculateur!CG55*Calculateur!CI55*VLOOKUP('Données projet'!$B$12,Paramètres!$A$1:$I$89,3,0)*0.475*44/12</f>
        <v>7.5285360357346605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44.681032881403617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77.885897614924062</v>
      </c>
      <c r="CZ55" s="62">
        <f t="shared" si="42"/>
        <v>401.02460251355296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42.731306276168766</v>
      </c>
      <c r="DG55" s="23">
        <f>EXP(-LN(2)/25)*DG54+(1-EXP(-LN(2)/25))/(LN(2)/25)*Calculateur!DB55*Calculateur!DD55*VLOOKUP('Données projet'!$B$13,Paramètres!$A$1:$I$89,3,0)*0.475*44/12</f>
        <v>8.6590190826341136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51.390325358802883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79.532301588639172</v>
      </c>
      <c r="DU55" s="62">
        <f t="shared" si="44"/>
        <v>409.2657792678549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43.680890860083601</v>
      </c>
      <c r="EB55" s="23">
        <f>EXP(-LN(2)/25)*EB54+(1-EXP(-LN(2)/25))/(LN(2)/25)*Calculateur!DW55*Calculateur!DY55*VLOOKUP('Données projet'!$B$14,Paramètres!$A$1:$I$89,3,0)*0.475*44/12</f>
        <v>8.8514417289148746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52.532332588998472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>
        <f>EJ55*VLOOKUP('Données projet'!$B$15,Paramètres!$A$1:$I$89,3,0)*VLOOKUP('Données projet'!$B$15,Paramètres!$A$1:$I$89,5,0)</f>
        <v>0</v>
      </c>
      <c r="EL55" s="14" t="e">
        <f t="shared" si="45"/>
        <v>#NUM!</v>
      </c>
      <c r="EM55" s="22" t="e">
        <f t="shared" si="19"/>
        <v>#NUM!</v>
      </c>
      <c r="EN55" s="62" t="e">
        <f t="shared" si="20"/>
        <v>#NUM!</v>
      </c>
      <c r="EO55" s="62">
        <f ca="1">AVERAGE(OFFSET($EN$3,0,0,'Données projet'!$E$15+1,1))-AVERAGE(OFFSET($H$3,0,0,'Données projet'!$E$15+1,1))</f>
        <v>77.885897614924062</v>
      </c>
      <c r="EP55" s="62">
        <f t="shared" si="46"/>
        <v>401.02460251355296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42.731306276168766</v>
      </c>
      <c r="EW55" s="23">
        <f>EXP(-LN(2)/25)*EW54+(1-EXP(-LN(2)/25))/(LN(2)/25)*Calculateur!ER55*Calculateur!ET55*VLOOKUP('Données projet'!$B$15,Paramètres!$A$1:$I$89,3,0)*0.475*44/12</f>
        <v>8.6590190826341136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51.390325358802883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682.2504497776423</v>
      </c>
      <c r="S56" s="62">
        <f ca="1">AVERAGE(OFFSET($R$3,0,0,'Données projet'!$E$9+1,1))-AVERAGE(OFFSET($H$3,0,0,'Données projet'!$E$9+1,1))</f>
        <v>426.87921482911719</v>
      </c>
      <c r="T56" s="62">
        <f t="shared" si="34"/>
        <v>313.49594674441835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659.19235047605162</v>
      </c>
      <c r="AN56" s="62">
        <f ca="1">AVERAGE(OFFSET($AM$3,0,0,'Données projet'!$E$10+1,1))-AVERAGE(OFFSET($H$3,0,0,'Données projet'!$E$10+1,1))</f>
        <v>462.95686283420531</v>
      </c>
      <c r="AO56" s="62">
        <f t="shared" si="36"/>
        <v>275.54513370838777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10.3</v>
      </c>
      <c r="BD56" s="13">
        <f>IF('Données projet'!$A$88&gt;35,BD55+BC56-BL55,IF(A56&lt;'Données projet'!$A$88,$BA$205^A56,IF(A56='Données projet'!$A$88,'Données projet'!$B$88,BD55+BC56-BL55)))</f>
        <v>412.89999999999986</v>
      </c>
      <c r="BE56" s="14">
        <f>BD56*VLOOKUP('Données projet'!$B$11,Paramètres!$A$1:$I$89,3,0)*VLOOKUP('Données projet'!$B$11,Paramètres!$A$1:$I$89,5,0)</f>
        <v>246.91419999999994</v>
      </c>
      <c r="BF56" s="14">
        <f t="shared" si="37"/>
        <v>59.924686345288471</v>
      </c>
      <c r="BG56" s="22">
        <f t="shared" si="7"/>
        <v>534.41106038471059</v>
      </c>
      <c r="BH56" s="62">
        <f t="shared" si="8"/>
        <v>791.48643859124377</v>
      </c>
      <c r="BI56" s="62">
        <f ca="1">AVERAGE(OFFSET($BH$3,0,0,'Données projet'!$E$11+1,1))-AVERAGE(OFFSET($H$3,0,0,'Données projet'!$E$11+1,1))</f>
        <v>505.16888119060701</v>
      </c>
      <c r="BJ56" s="62">
        <f t="shared" si="38"/>
        <v>351.15312364640613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5.1941130217949246E-3</v>
      </c>
      <c r="BS56" s="24">
        <f t="shared" si="9"/>
        <v>5.1941130217949246E-3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68.195506926115257</v>
      </c>
      <c r="CE56" s="62">
        <f t="shared" si="40"/>
        <v>352.52565673897004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36.423959043310894</v>
      </c>
      <c r="CL56" s="23">
        <f>EXP(-LN(2)/25)*CL55+(1-EXP(-LN(2)/25))/(LN(2)/25)*Calculateur!CG56*Calculateur!CI56*VLOOKUP('Données projet'!$B$12,Paramètres!$A$1:$I$89,3,0)*0.475*44/12</f>
        <v>7.3226678219289925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43.74662686523989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77.885897614924062</v>
      </c>
      <c r="CZ56" s="62">
        <f t="shared" si="42"/>
        <v>401.02460251355296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41.893371423616365</v>
      </c>
      <c r="DG56" s="23">
        <f>EXP(-LN(2)/25)*DG55+(1-EXP(-LN(2)/25))/(LN(2)/25)*Calculateur!DB56*Calculateur!DD56*VLOOKUP('Données projet'!$B$13,Paramètres!$A$1:$I$89,3,0)*0.475*44/12</f>
        <v>8.4222377504614609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50.315609174077828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79.532301588639172</v>
      </c>
      <c r="DU56" s="62">
        <f t="shared" si="44"/>
        <v>409.2657792678549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42.824335233030034</v>
      </c>
      <c r="EB56" s="23">
        <f>EXP(-LN(2)/25)*EB55+(1-EXP(-LN(2)/25))/(LN(2)/25)*Calculateur!DW56*Calculateur!DY56*VLOOKUP('Données projet'!$B$14,Paramètres!$A$1:$I$89,3,0)*0.475*44/12</f>
        <v>8.6093985893606071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51.433733822390643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>
        <f>EJ56*VLOOKUP('Données projet'!$B$15,Paramètres!$A$1:$I$89,3,0)*VLOOKUP('Données projet'!$B$15,Paramètres!$A$1:$I$89,5,0)</f>
        <v>0</v>
      </c>
      <c r="EL56" s="14" t="e">
        <f t="shared" si="45"/>
        <v>#NUM!</v>
      </c>
      <c r="EM56" s="22" t="e">
        <f t="shared" si="19"/>
        <v>#NUM!</v>
      </c>
      <c r="EN56" s="62" t="e">
        <f t="shared" si="20"/>
        <v>#NUM!</v>
      </c>
      <c r="EO56" s="62">
        <f ca="1">AVERAGE(OFFSET($EN$3,0,0,'Données projet'!$E$15+1,1))-AVERAGE(OFFSET($H$3,0,0,'Données projet'!$E$15+1,1))</f>
        <v>77.885897614924062</v>
      </c>
      <c r="EP56" s="62">
        <f t="shared" si="46"/>
        <v>401.02460251355296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41.893371423616365</v>
      </c>
      <c r="EW56" s="23">
        <f>EXP(-LN(2)/25)*EW55+(1-EXP(-LN(2)/25))/(LN(2)/25)*Calculateur!ER56*Calculateur!ET56*VLOOKUP('Données projet'!$B$15,Paramètres!$A$1:$I$89,3,0)*0.475*44/12</f>
        <v>8.4222377504614609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50.315609174077828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696.30367122098539</v>
      </c>
      <c r="S57" s="62">
        <f ca="1">AVERAGE(OFFSET($R$3,0,0,'Données projet'!$E$9+1,1))-AVERAGE(OFFSET($H$3,0,0,'Données projet'!$E$9+1,1))</f>
        <v>426.87921482911719</v>
      </c>
      <c r="T57" s="62">
        <f t="shared" si="34"/>
        <v>313.49594674441835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677.07604730940488</v>
      </c>
      <c r="AN57" s="62">
        <f ca="1">AVERAGE(OFFSET($AM$3,0,0,'Données projet'!$E$10+1,1))-AVERAGE(OFFSET($H$3,0,0,'Données projet'!$E$10+1,1))</f>
        <v>462.95686283420531</v>
      </c>
      <c r="AO57" s="62">
        <f t="shared" si="36"/>
        <v>275.54513370838777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10.3</v>
      </c>
      <c r="BD57" s="13">
        <f>IF('Données projet'!$A$88&gt;35,BD56+BC57-BL56,IF(A57&lt;'Données projet'!$A$88,$BA$205^A57,IF(A57='Données projet'!$A$88,'Données projet'!$B$88,BD56+BC57-BL56)))</f>
        <v>423.19999999999987</v>
      </c>
      <c r="BE57" s="14">
        <f>BD57*VLOOKUP('Données projet'!$B$11,Paramètres!$A$1:$I$89,3,0)*VLOOKUP('Données projet'!$B$11,Paramètres!$A$1:$I$89,5,0)</f>
        <v>253.07359999999994</v>
      </c>
      <c r="BF57" s="14">
        <f t="shared" si="37"/>
        <v>61.243637233758619</v>
      </c>
      <c r="BG57" s="22">
        <f t="shared" si="7"/>
        <v>547.43585484879611</v>
      </c>
      <c r="BH57" s="62">
        <f t="shared" si="8"/>
        <v>805.14022751613538</v>
      </c>
      <c r="BI57" s="62">
        <f ca="1">AVERAGE(OFFSET($BH$3,0,0,'Données projet'!$E$11+1,1))-AVERAGE(OFFSET($H$3,0,0,'Données projet'!$E$11+1,1))</f>
        <v>505.16888119060701</v>
      </c>
      <c r="BJ57" s="62">
        <f t="shared" si="38"/>
        <v>351.15312364640613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3.6727925399605409E-3</v>
      </c>
      <c r="BS57" s="24">
        <f t="shared" si="9"/>
        <v>3.6727925399605409E-3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68.195506926115257</v>
      </c>
      <c r="CE57" s="62">
        <f t="shared" si="40"/>
        <v>352.52565673897004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35.709707422892897</v>
      </c>
      <c r="CL57" s="23">
        <f>EXP(-LN(2)/25)*CL56+(1-EXP(-LN(2)/25))/(LN(2)/25)*Calculateur!CG57*Calculateur!CI57*VLOOKUP('Données projet'!$B$12,Paramètres!$A$1:$I$89,3,0)*0.475*44/12</f>
        <v>7.1224290852559795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42.832136508148878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77.885897614924062</v>
      </c>
      <c r="CZ57" s="62">
        <f t="shared" si="42"/>
        <v>401.02460251355296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41.071867962432727</v>
      </c>
      <c r="DG57" s="23">
        <f>EXP(-LN(2)/25)*DG56+(1-EXP(-LN(2)/25))/(LN(2)/25)*Calculateur!DB57*Calculateur!DD57*VLOOKUP('Données projet'!$B$13,Paramètres!$A$1:$I$89,3,0)*0.475*44/12</f>
        <v>8.1919312162688591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49.263799178701589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79.532301588639172</v>
      </c>
      <c r="DU57" s="62">
        <f t="shared" si="44"/>
        <v>409.2657792678549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41.984576139375648</v>
      </c>
      <c r="EB57" s="23">
        <f>EXP(-LN(2)/25)*EB56+(1-EXP(-LN(2)/25))/(LN(2)/25)*Calculateur!DW57*Calculateur!DY57*VLOOKUP('Données projet'!$B$14,Paramètres!$A$1:$I$89,3,0)*0.475*44/12</f>
        <v>8.3739741321859462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50.358550271561597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>
        <f>EJ57*VLOOKUP('Données projet'!$B$15,Paramètres!$A$1:$I$89,3,0)*VLOOKUP('Données projet'!$B$15,Paramètres!$A$1:$I$89,5,0)</f>
        <v>0</v>
      </c>
      <c r="EL57" s="14" t="e">
        <f t="shared" si="45"/>
        <v>#NUM!</v>
      </c>
      <c r="EM57" s="22" t="e">
        <f t="shared" si="19"/>
        <v>#NUM!</v>
      </c>
      <c r="EN57" s="62" t="e">
        <f t="shared" si="20"/>
        <v>#NUM!</v>
      </c>
      <c r="EO57" s="62">
        <f ca="1">AVERAGE(OFFSET($EN$3,0,0,'Données projet'!$E$15+1,1))-AVERAGE(OFFSET($H$3,0,0,'Données projet'!$E$15+1,1))</f>
        <v>77.885897614924062</v>
      </c>
      <c r="EP57" s="62">
        <f t="shared" si="46"/>
        <v>401.02460251355296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41.071867962432727</v>
      </c>
      <c r="EW57" s="23">
        <f>EXP(-LN(2)/25)*EW56+(1-EXP(-LN(2)/25))/(LN(2)/25)*Calculateur!ER57*Calculateur!ET57*VLOOKUP('Données projet'!$B$15,Paramètres!$A$1:$I$89,3,0)*0.475*44/12</f>
        <v>8.1919312162688591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49.263799178701589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710.33717101352988</v>
      </c>
      <c r="S58" s="62">
        <f ca="1">AVERAGE(OFFSET($R$3,0,0,'Données projet'!$E$9+1,1))-AVERAGE(OFFSET($H$3,0,0,'Données projet'!$E$9+1,1))</f>
        <v>426.87921482911719</v>
      </c>
      <c r="T58" s="62">
        <f t="shared" si="34"/>
        <v>313.49594674441835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694.93354303780143</v>
      </c>
      <c r="AN58" s="62">
        <f ca="1">AVERAGE(OFFSET($AM$3,0,0,'Données projet'!$E$10+1,1))-AVERAGE(OFFSET($H$3,0,0,'Données projet'!$E$10+1,1))</f>
        <v>462.95686283420531</v>
      </c>
      <c r="AO58" s="62">
        <f t="shared" si="36"/>
        <v>275.54513370838777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10.3</v>
      </c>
      <c r="BD58" s="13">
        <f>IF('Données projet'!$A$88&gt;35,BD57+BC58-BL57,IF(A58&lt;'Données projet'!$A$88,$BA$205^A58,IF(A58='Données projet'!$A$88,'Données projet'!$B$88,BD57+BC58-BL57)))</f>
        <v>433.49999999999989</v>
      </c>
      <c r="BE58" s="14">
        <f>BD58*VLOOKUP('Données projet'!$B$11,Paramètres!$A$1:$I$89,3,0)*VLOOKUP('Données projet'!$B$11,Paramètres!$A$1:$I$89,5,0)</f>
        <v>259.23299999999995</v>
      </c>
      <c r="BF58" s="14">
        <f t="shared" si="37"/>
        <v>62.558856450288438</v>
      </c>
      <c r="BG58" s="22">
        <f t="shared" si="7"/>
        <v>560.45414998425224</v>
      </c>
      <c r="BH58" s="62">
        <f t="shared" si="8"/>
        <v>818.77660546472362</v>
      </c>
      <c r="BI58" s="62">
        <f ca="1">AVERAGE(OFFSET($BH$3,0,0,'Données projet'!$E$11+1,1))-AVERAGE(OFFSET($H$3,0,0,'Données projet'!$E$11+1,1))</f>
        <v>505.16888119060701</v>
      </c>
      <c r="BJ58" s="62">
        <f t="shared" si="38"/>
        <v>351.15312364640613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2.5970565108974623E-3</v>
      </c>
      <c r="BS58" s="24">
        <f t="shared" si="9"/>
        <v>2.5970565108974623E-3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68.195506926115257</v>
      </c>
      <c r="CE58" s="62">
        <f t="shared" si="40"/>
        <v>352.52565673897004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35.009461841100823</v>
      </c>
      <c r="CL58" s="23">
        <f>EXP(-LN(2)/25)*CL57+(1-EXP(-LN(2)/25))/(LN(2)/25)*Calculateur!CG58*Calculateur!CI58*VLOOKUP('Données projet'!$B$12,Paramètres!$A$1:$I$89,3,0)*0.475*44/12</f>
        <v>6.9276658873673878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41.937127728468212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77.885897614924062</v>
      </c>
      <c r="CZ58" s="62">
        <f t="shared" si="42"/>
        <v>401.02460251355296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40.26647368305526</v>
      </c>
      <c r="DG58" s="23">
        <f>EXP(-LN(2)/25)*DG57+(1-EXP(-LN(2)/25))/(LN(2)/25)*Calculateur!DB58*Calculateur!DD58*VLOOKUP('Données projet'!$B$13,Paramètres!$A$1:$I$89,3,0)*0.475*44/12</f>
        <v>7.967922426365047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48.23439610942031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79.532301588639172</v>
      </c>
      <c r="DU58" s="62">
        <f t="shared" si="44"/>
        <v>409.2657792678549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41.161284209345347</v>
      </c>
      <c r="EB58" s="23">
        <f>EXP(-LN(2)/25)*EB57+(1-EXP(-LN(2)/25))/(LN(2)/25)*Calculateur!DW58*Calculateur!DY58*VLOOKUP('Données projet'!$B$14,Paramètres!$A$1:$I$89,3,0)*0.475*44/12</f>
        <v>8.14498736917316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49.306271578518505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>
        <f>EJ58*VLOOKUP('Données projet'!$B$15,Paramètres!$A$1:$I$89,3,0)*VLOOKUP('Données projet'!$B$15,Paramètres!$A$1:$I$89,5,0)</f>
        <v>0</v>
      </c>
      <c r="EL58" s="14" t="e">
        <f t="shared" si="45"/>
        <v>#NUM!</v>
      </c>
      <c r="EM58" s="22" t="e">
        <f t="shared" si="19"/>
        <v>#NUM!</v>
      </c>
      <c r="EN58" s="62" t="e">
        <f t="shared" si="20"/>
        <v>#NUM!</v>
      </c>
      <c r="EO58" s="62">
        <f ca="1">AVERAGE(OFFSET($EN$3,0,0,'Données projet'!$E$15+1,1))-AVERAGE(OFFSET($H$3,0,0,'Données projet'!$E$15+1,1))</f>
        <v>77.885897614924062</v>
      </c>
      <c r="EP58" s="62">
        <f t="shared" si="46"/>
        <v>401.02460251355296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40.26647368305526</v>
      </c>
      <c r="EW58" s="23">
        <f>EXP(-LN(2)/25)*EW57+(1-EXP(-LN(2)/25))/(LN(2)/25)*Calculateur!ER58*Calculateur!ET58*VLOOKUP('Données projet'!$B$15,Paramètres!$A$1:$I$89,3,0)*0.475*44/12</f>
        <v>7.967922426365047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48.23439610942031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724.35143672917934</v>
      </c>
      <c r="S59" s="62">
        <f ca="1">AVERAGE(OFFSET($R$3,0,0,'Données projet'!$E$9+1,1))-AVERAGE(OFFSET($H$3,0,0,'Données projet'!$E$9+1,1))</f>
        <v>426.87921482911719</v>
      </c>
      <c r="T59" s="62">
        <f t="shared" si="34"/>
        <v>313.49594674441835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184.60000000000005</v>
      </c>
      <c r="AJ59" s="14">
        <f>AI59*VLOOKUP('Données projet'!$B$10,Paramètres!$A$1:$I$89,3,0)*VLOOKUP('Données projet'!$B$10,Paramètres!$A$1:$I$89,5,0)</f>
        <v>187.18440000000007</v>
      </c>
      <c r="AK59" s="14">
        <f t="shared" si="35"/>
        <v>46.916923809907296</v>
      </c>
      <c r="AL59" s="22">
        <f t="shared" si="4"/>
        <v>407.72647230225533</v>
      </c>
      <c r="AM59" s="62">
        <f t="shared" si="5"/>
        <v>666.65628824087707</v>
      </c>
      <c r="AN59" s="62">
        <f ca="1">AVERAGE(OFFSET($AM$3,0,0,'Données projet'!$E$10+1,1))-AVERAGE(OFFSET($H$3,0,0,'Données projet'!$E$10+1,1))</f>
        <v>462.95686283420531</v>
      </c>
      <c r="AO59" s="62">
        <f t="shared" si="36"/>
        <v>275.54513370838777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10.3</v>
      </c>
      <c r="BD59" s="13">
        <f>IF('Données projet'!$A$88&gt;35,BD58+BC59-BL58,IF(A59&lt;'Données projet'!$A$88,$BA$205^A59,IF(A59='Données projet'!$A$88,'Données projet'!$B$88,BD58+BC59-BL58)))</f>
        <v>443.7999999999999</v>
      </c>
      <c r="BE59" s="14">
        <f>BD59*VLOOKUP('Données projet'!$B$11,Paramètres!$A$1:$I$89,3,0)*VLOOKUP('Données projet'!$B$11,Paramètres!$A$1:$I$89,5,0)</f>
        <v>265.39239999999995</v>
      </c>
      <c r="BF59" s="14">
        <f t="shared" si="37"/>
        <v>63.870442862391762</v>
      </c>
      <c r="BG59" s="22">
        <f t="shared" si="7"/>
        <v>573.46611798533218</v>
      </c>
      <c r="BH59" s="62">
        <f t="shared" si="8"/>
        <v>832.39593392395386</v>
      </c>
      <c r="BI59" s="62">
        <f ca="1">AVERAGE(OFFSET($BH$3,0,0,'Données projet'!$E$11+1,1))-AVERAGE(OFFSET($H$3,0,0,'Données projet'!$E$11+1,1))</f>
        <v>505.16888119060701</v>
      </c>
      <c r="BJ59" s="62">
        <f t="shared" si="38"/>
        <v>351.15312364640613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1.8363962699802705E-3</v>
      </c>
      <c r="BS59" s="24">
        <f t="shared" si="9"/>
        <v>1.8363962699802705E-3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68.195506926115257</v>
      </c>
      <c r="CE59" s="62">
        <f t="shared" si="40"/>
        <v>352.52565673897004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34.322947648060058</v>
      </c>
      <c r="CL59" s="23">
        <f>EXP(-LN(2)/25)*CL58+(1-EXP(-LN(2)/25))/(LN(2)/25)*Calculateur!CG59*Calculateur!CI59*VLOOKUP('Données projet'!$B$12,Paramètres!$A$1:$I$89,3,0)*0.475*44/12</f>
        <v>6.738228499367211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41.061176147427268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77.885897614924062</v>
      </c>
      <c r="CZ59" s="62">
        <f t="shared" si="42"/>
        <v>401.02460251355296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39.476872694254382</v>
      </c>
      <c r="DG59" s="23">
        <f>EXP(-LN(2)/25)*DG58+(1-EXP(-LN(2)/25))/(LN(2)/25)*Calculateur!DB59*Calculateur!DD59*VLOOKUP('Données projet'!$B$13,Paramètres!$A$1:$I$89,3,0)*0.475*44/12</f>
        <v>7.7500391686012655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47.226911862855644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79.532301588639172</v>
      </c>
      <c r="DU59" s="62">
        <f t="shared" si="44"/>
        <v>409.2657792678549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40.354136531904452</v>
      </c>
      <c r="EB59" s="23">
        <f>EXP(-LN(2)/25)*EB58+(1-EXP(-LN(2)/25))/(LN(2)/25)*Calculateur!DW59*Calculateur!DY59*VLOOKUP('Données projet'!$B$14,Paramètres!$A$1:$I$89,3,0)*0.475*44/12</f>
        <v>7.9222622612368498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48.276398793141304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>
        <f>EJ59*VLOOKUP('Données projet'!$B$15,Paramètres!$A$1:$I$89,3,0)*VLOOKUP('Données projet'!$B$15,Paramètres!$A$1:$I$89,5,0)</f>
        <v>0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77.885897614924062</v>
      </c>
      <c r="EP59" s="62">
        <f t="shared" si="46"/>
        <v>401.02460251355296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39.476872694254382</v>
      </c>
      <c r="EW59" s="23">
        <f>EXP(-LN(2)/25)*EW58+(1-EXP(-LN(2)/25))/(LN(2)/25)*Calculateur!ER59*Calculateur!ET59*VLOOKUP('Données projet'!$B$15,Paramètres!$A$1:$I$89,3,0)*0.475*44/12</f>
        <v>7.7500391686012655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47.226911862855644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738.34693407409918</v>
      </c>
      <c r="S60" s="62">
        <f ca="1">AVERAGE(OFFSET($R$3,0,0,'Données projet'!$E$9+1,1))-AVERAGE(OFFSET($H$3,0,0,'Données projet'!$E$9+1,1))</f>
        <v>426.87921482911719</v>
      </c>
      <c r="T60" s="62">
        <f t="shared" si="34"/>
        <v>313.49594674441835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192.20000000000005</v>
      </c>
      <c r="AJ60" s="14">
        <f>AI60*VLOOKUP('Données projet'!$B$10,Paramètres!$A$1:$I$89,3,0)*VLOOKUP('Données projet'!$B$10,Paramètres!$A$1:$I$89,5,0)</f>
        <v>194.89080000000007</v>
      </c>
      <c r="AK60" s="14">
        <f t="shared" si="35"/>
        <v>48.619634692995497</v>
      </c>
      <c r="AL60" s="22">
        <f t="shared" si="4"/>
        <v>424.11400709030062</v>
      </c>
      <c r="AM60" s="62">
        <f t="shared" si="5"/>
        <v>683.64064714097833</v>
      </c>
      <c r="AN60" s="62">
        <f ca="1">AVERAGE(OFFSET($AM$3,0,0,'Données projet'!$E$10+1,1))-AVERAGE(OFFSET($H$3,0,0,'Données projet'!$E$10+1,1))</f>
        <v>462.95686283420531</v>
      </c>
      <c r="AO60" s="62">
        <f t="shared" si="36"/>
        <v>275.54513370838777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10.3</v>
      </c>
      <c r="BD60" s="13">
        <f>IF('Données projet'!$A$88&gt;35,BD59+BC60-BL59,IF(A60&lt;'Données projet'!$A$88,$BA$205^A60,IF(A60='Données projet'!$A$88,'Données projet'!$B$88,BD59+BC60-BL59)))</f>
        <v>454.09999999999991</v>
      </c>
      <c r="BE60" s="14">
        <f>BD60*VLOOKUP('Données projet'!$B$11,Paramètres!$A$1:$I$89,3,0)*VLOOKUP('Données projet'!$B$11,Paramètres!$A$1:$I$89,5,0)</f>
        <v>271.55179999999996</v>
      </c>
      <c r="BF60" s="14">
        <f t="shared" si="37"/>
        <v>65.178490486572642</v>
      </c>
      <c r="BG60" s="22">
        <f t="shared" si="7"/>
        <v>586.47192259744713</v>
      </c>
      <c r="BH60" s="62">
        <f t="shared" si="8"/>
        <v>845.99856264812479</v>
      </c>
      <c r="BI60" s="62">
        <f ca="1">AVERAGE(OFFSET($BH$3,0,0,'Données projet'!$E$11+1,1))-AVERAGE(OFFSET($H$3,0,0,'Données projet'!$E$11+1,1))</f>
        <v>505.16888119060701</v>
      </c>
      <c r="BJ60" s="62">
        <f t="shared" si="38"/>
        <v>351.15312364640613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1.2985282554487311E-3</v>
      </c>
      <c r="BS60" s="24">
        <f t="shared" si="9"/>
        <v>1.2985282554487311E-3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68.195506926115257</v>
      </c>
      <c r="CE60" s="62">
        <f t="shared" si="40"/>
        <v>352.52565673897004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33.649895579612512</v>
      </c>
      <c r="CL60" s="23">
        <f>EXP(-LN(2)/25)*CL59+(1-EXP(-LN(2)/25))/(LN(2)/25)*Calculateur!CG60*Calculateur!CI60*VLOOKUP('Données projet'!$B$12,Paramètres!$A$1:$I$89,3,0)*0.475*44/12</f>
        <v>6.5539712867039785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40.203866866316488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77.885897614924062</v>
      </c>
      <c r="CZ60" s="62">
        <f t="shared" si="42"/>
        <v>401.02460251355296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38.702755299234845</v>
      </c>
      <c r="DG60" s="23">
        <f>EXP(-LN(2)/25)*DG59+(1-EXP(-LN(2)/25))/(LN(2)/25)*Calculateur!DB60*Calculateur!DD60*VLOOKUP('Données projet'!$B$13,Paramètres!$A$1:$I$89,3,0)*0.475*44/12</f>
        <v>7.5381139399790174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46.240869239213865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79.532301588639172</v>
      </c>
      <c r="DU60" s="62">
        <f t="shared" si="44"/>
        <v>409.2657792678549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39.562816528106701</v>
      </c>
      <c r="EB60" s="23">
        <f>EXP(-LN(2)/25)*EB59+(1-EXP(-LN(2)/25))/(LN(2)/25)*Calculateur!DW60*Calculateur!DY60*VLOOKUP('Données projet'!$B$14,Paramètres!$A$1:$I$89,3,0)*0.475*44/12</f>
        <v>7.7056275830896626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47.268444111196366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>
        <f>EJ60*VLOOKUP('Données projet'!$B$15,Paramètres!$A$1:$I$89,3,0)*VLOOKUP('Données projet'!$B$15,Paramètres!$A$1:$I$89,5,0)</f>
        <v>0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77.885897614924062</v>
      </c>
      <c r="EP60" s="62">
        <f t="shared" si="46"/>
        <v>401.02460251355296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38.702755299234845</v>
      </c>
      <c r="EW60" s="23">
        <f>EXP(-LN(2)/25)*EW59+(1-EXP(-LN(2)/25))/(LN(2)/25)*Calculateur!ER60*Calculateur!ET60*VLOOKUP('Données projet'!$B$15,Paramètres!$A$1:$I$89,3,0)*0.475*44/12</f>
        <v>7.5381139399790174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46.240869239213865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752.32410860006507</v>
      </c>
      <c r="S61" s="62">
        <f ca="1">AVERAGE(OFFSET($R$3,0,0,'Données projet'!$E$9+1,1))-AVERAGE(OFFSET($H$3,0,0,'Données projet'!$E$9+1,1))</f>
        <v>426.87921482911719</v>
      </c>
      <c r="T61" s="62">
        <f t="shared" si="34"/>
        <v>313.49594674441835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199.80000000000004</v>
      </c>
      <c r="AJ61" s="14">
        <f>AI61*VLOOKUP('Données projet'!$B$10,Paramètres!$A$1:$I$89,3,0)*VLOOKUP('Données projet'!$B$10,Paramètres!$A$1:$I$89,5,0)</f>
        <v>202.59720000000007</v>
      </c>
      <c r="AK61" s="14">
        <f t="shared" si="35"/>
        <v>50.314524354885847</v>
      </c>
      <c r="AL61" s="22">
        <f t="shared" si="4"/>
        <v>440.48791991809298</v>
      </c>
      <c r="AM61" s="62">
        <f t="shared" si="5"/>
        <v>700.60103051678141</v>
      </c>
      <c r="AN61" s="62">
        <f ca="1">AVERAGE(OFFSET($AM$3,0,0,'Données projet'!$E$10+1,1))-AVERAGE(OFFSET($H$3,0,0,'Données projet'!$E$10+1,1))</f>
        <v>462.95686283420531</v>
      </c>
      <c r="AO61" s="62">
        <f t="shared" si="36"/>
        <v>275.54513370838777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10.3</v>
      </c>
      <c r="BD61" s="13">
        <f>IF('Données projet'!$A$88&gt;35,BD60+BC61-BL60,IF(A61&lt;'Données projet'!$A$88,$BA$205^A61,IF(A61='Données projet'!$A$88,'Données projet'!$B$88,BD60+BC61-BL60)))</f>
        <v>464.39999999999992</v>
      </c>
      <c r="BE61" s="14">
        <f>BD61*VLOOKUP('Données projet'!$B$11,Paramètres!$A$1:$I$89,3,0)*VLOOKUP('Données projet'!$B$11,Paramètres!$A$1:$I$89,5,0)</f>
        <v>277.71119999999996</v>
      </c>
      <c r="BF61" s="14">
        <f t="shared" si="37"/>
        <v>66.483088830894033</v>
      </c>
      <c r="BG61" s="22">
        <f t="shared" si="7"/>
        <v>599.47171971380703</v>
      </c>
      <c r="BH61" s="62">
        <f t="shared" si="8"/>
        <v>859.58483031249546</v>
      </c>
      <c r="BI61" s="62">
        <f ca="1">AVERAGE(OFFSET($BH$3,0,0,'Données projet'!$E$11+1,1))-AVERAGE(OFFSET($H$3,0,0,'Données projet'!$E$11+1,1))</f>
        <v>505.16888119060701</v>
      </c>
      <c r="BJ61" s="62">
        <f t="shared" si="38"/>
        <v>351.15312364640613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9.1819813499013523E-4</v>
      </c>
      <c r="BS61" s="24">
        <f t="shared" si="9"/>
        <v>9.1819813499013523E-4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68.195506926115257</v>
      </c>
      <c r="CE61" s="62">
        <f t="shared" si="40"/>
        <v>352.52565673897004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32.990041651705994</v>
      </c>
      <c r="CL61" s="23">
        <f>EXP(-LN(2)/25)*CL60+(1-EXP(-LN(2)/25))/(LN(2)/25)*Calculateur!CG61*Calculateur!CI61*VLOOKUP('Données projet'!$B$12,Paramètres!$A$1:$I$89,3,0)*0.475*44/12</f>
        <v>6.374752597210688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39.364794248916681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77.885897614924062</v>
      </c>
      <c r="CZ61" s="62">
        <f t="shared" si="42"/>
        <v>401.02460251355296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37.943817874166648</v>
      </c>
      <c r="DG61" s="23">
        <f>EXP(-LN(2)/25)*DG60+(1-EXP(-LN(2)/25))/(LN(2)/25)*Calculateur!DB61*Calculateur!DD61*VLOOKUP('Données projet'!$B$13,Paramètres!$A$1:$I$89,3,0)*0.475*44/12</f>
        <v>7.3319838178781076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45.275801692044752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79.532301588639172</v>
      </c>
      <c r="DU61" s="62">
        <f t="shared" si="44"/>
        <v>409.2657792678549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38.787013826925879</v>
      </c>
      <c r="EB61" s="23">
        <f>EXP(-LN(2)/25)*EB60+(1-EXP(-LN(2)/25))/(LN(2)/25)*Calculateur!DW61*Calculateur!DY61*VLOOKUP('Données projet'!$B$14,Paramètres!$A$1:$I$89,3,0)*0.475*44/12</f>
        <v>7.4949167916087323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46.281930618534609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>
        <f>EJ61*VLOOKUP('Données projet'!$B$15,Paramètres!$A$1:$I$89,3,0)*VLOOKUP('Données projet'!$B$15,Paramètres!$A$1:$I$89,5,0)</f>
        <v>0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77.885897614924062</v>
      </c>
      <c r="EP61" s="62">
        <f t="shared" si="46"/>
        <v>401.02460251355296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37.943817874166648</v>
      </c>
      <c r="EW61" s="23">
        <f>EXP(-LN(2)/25)*EW60+(1-EXP(-LN(2)/25))/(LN(2)/25)*Calculateur!ER61*Calculateur!ET61*VLOOKUP('Données projet'!$B$15,Paramètres!$A$1:$I$89,3,0)*0.475*44/12</f>
        <v>7.3319838178781076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45.275801692044752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766.28338722721446</v>
      </c>
      <c r="S62" s="62">
        <f ca="1">AVERAGE(OFFSET($R$3,0,0,'Données projet'!$E$9+1,1))-AVERAGE(OFFSET($H$3,0,0,'Données projet'!$E$9+1,1))</f>
        <v>426.87921482911719</v>
      </c>
      <c r="T62" s="62">
        <f t="shared" si="34"/>
        <v>313.49594674441835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207.40000000000003</v>
      </c>
      <c r="AJ62" s="14">
        <f>AI62*VLOOKUP('Données projet'!$B$10,Paramètres!$A$1:$I$89,3,0)*VLOOKUP('Données projet'!$B$10,Paramètres!$A$1:$I$89,5,0)</f>
        <v>210.30360000000005</v>
      </c>
      <c r="AK62" s="14">
        <f t="shared" si="35"/>
        <v>52.001924357524459</v>
      </c>
      <c r="AL62" s="22">
        <f t="shared" si="4"/>
        <v>456.84878825602186</v>
      </c>
      <c r="AM62" s="62">
        <f t="shared" si="5"/>
        <v>717.53819544986459</v>
      </c>
      <c r="AN62" s="62">
        <f ca="1">AVERAGE(OFFSET($AM$3,0,0,'Données projet'!$E$10+1,1))-AVERAGE(OFFSET($H$3,0,0,'Données projet'!$E$10+1,1))</f>
        <v>462.95686283420531</v>
      </c>
      <c r="AO62" s="62">
        <f t="shared" si="36"/>
        <v>275.54513370838777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10.3</v>
      </c>
      <c r="BD62" s="13">
        <f>IF('Données projet'!$A$88&gt;35,BD61+BC62-BL61,IF(A62&lt;'Données projet'!$A$88,$BA$205^A62,IF(A62='Données projet'!$A$88,'Données projet'!$B$88,BD61+BC62-BL61)))</f>
        <v>474.69999999999993</v>
      </c>
      <c r="BE62" s="14">
        <f>BD62*VLOOKUP('Données projet'!$B$11,Paramètres!$A$1:$I$89,3,0)*VLOOKUP('Données projet'!$B$11,Paramètres!$A$1:$I$89,5,0)</f>
        <v>283.87059999999997</v>
      </c>
      <c r="BF62" s="14">
        <f t="shared" si="37"/>
        <v>67.784323206297671</v>
      </c>
      <c r="BG62" s="22">
        <f t="shared" si="7"/>
        <v>612.46565791763499</v>
      </c>
      <c r="BH62" s="62">
        <f t="shared" si="8"/>
        <v>873.15506511147782</v>
      </c>
      <c r="BI62" s="62">
        <f ca="1">AVERAGE(OFFSET($BH$3,0,0,'Données projet'!$E$11+1,1))-AVERAGE(OFFSET($H$3,0,0,'Données projet'!$E$11+1,1))</f>
        <v>505.16888119060701</v>
      </c>
      <c r="BJ62" s="62">
        <f t="shared" si="38"/>
        <v>351.15312364640613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6.4926412772436557E-4</v>
      </c>
      <c r="BS62" s="24">
        <f t="shared" si="9"/>
        <v>6.4926412772436557E-4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68.195506926115257</v>
      </c>
      <c r="CE62" s="62">
        <f t="shared" si="40"/>
        <v>352.52565673897004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32.34312705685457</v>
      </c>
      <c r="CL62" s="23">
        <f>EXP(-LN(2)/25)*CL61+(1-EXP(-LN(2)/25))/(LN(2)/25)*Calculateur!CG62*Calculateur!CI62*VLOOKUP('Données projet'!$B$12,Paramètres!$A$1:$I$89,3,0)*0.475*44/12</f>
        <v>6.2004346522062921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38.54356170906086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77.885897614924062</v>
      </c>
      <c r="CZ62" s="62">
        <f t="shared" si="42"/>
        <v>401.02460251355296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37.199762749097914</v>
      </c>
      <c r="DG62" s="23">
        <f>EXP(-LN(2)/25)*DG61+(1-EXP(-LN(2)/25))/(LN(2)/25)*Calculateur!DB62*Calculateur!DD62*VLOOKUP('Données projet'!$B$13,Paramètres!$A$1:$I$89,3,0)*0.475*44/12</f>
        <v>7.1314903348059593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44.331253083903874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79.532301588639172</v>
      </c>
      <c r="DU62" s="62">
        <f t="shared" si="44"/>
        <v>409.2657792678549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38.026424143522291</v>
      </c>
      <c r="EB62" s="23">
        <f>EXP(-LN(2)/25)*EB61+(1-EXP(-LN(2)/25))/(LN(2)/25)*Calculateur!DW62*Calculateur!DY62*VLOOKUP('Données projet'!$B$14,Paramètres!$A$1:$I$89,3,0)*0.475*44/12</f>
        <v>7.2899678978016471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45.316392041323937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>
        <f>EJ62*VLOOKUP('Données projet'!$B$15,Paramètres!$A$1:$I$89,3,0)*VLOOKUP('Données projet'!$B$15,Paramètres!$A$1:$I$89,5,0)</f>
        <v>0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77.885897614924062</v>
      </c>
      <c r="EP62" s="62">
        <f t="shared" si="46"/>
        <v>401.02460251355296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37.199762749097914</v>
      </c>
      <c r="EW62" s="23">
        <f>EXP(-LN(2)/25)*EW61+(1-EXP(-LN(2)/25))/(LN(2)/25)*Calculateur!ER62*Calculateur!ET62*VLOOKUP('Données projet'!$B$15,Paramètres!$A$1:$I$89,3,0)*0.475*44/12</f>
        <v>7.1314903348059593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44.331253083903874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780.22517960247274</v>
      </c>
      <c r="S63" s="62">
        <f ca="1">AVERAGE(OFFSET($R$3,0,0,'Données projet'!$E$9+1,1))-AVERAGE(OFFSET($H$3,0,0,'Données projet'!$E$9+1,1))</f>
        <v>426.87921482911719</v>
      </c>
      <c r="T63" s="62">
        <f t="shared" si="34"/>
        <v>313.49594674441835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215.00000000000003</v>
      </c>
      <c r="AJ63" s="14">
        <f>AI63*VLOOKUP('Données projet'!$B$10,Paramètres!$A$1:$I$89,3,0)*VLOOKUP('Données projet'!$B$10,Paramètres!$A$1:$I$89,5,0)</f>
        <v>218.01000000000005</v>
      </c>
      <c r="AK63" s="14">
        <f t="shared" si="35"/>
        <v>53.682140586224406</v>
      </c>
      <c r="AL63" s="22">
        <f t="shared" si="4"/>
        <v>473.19714485434088</v>
      </c>
      <c r="AM63" s="62">
        <f t="shared" si="5"/>
        <v>734.45285118581842</v>
      </c>
      <c r="AN63" s="62">
        <f ca="1">AVERAGE(OFFSET($AM$3,0,0,'Données projet'!$E$10+1,1))-AVERAGE(OFFSET($H$3,0,0,'Données projet'!$E$10+1,1))</f>
        <v>462.95686283420531</v>
      </c>
      <c r="AO63" s="62">
        <f t="shared" si="36"/>
        <v>275.54513370838777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485</v>
      </c>
      <c r="BB63" s="13">
        <f>VLOOKUP(A63,'Données projet'!$A$87:$I$107,9,0)</f>
        <v>10.3</v>
      </c>
      <c r="BC63" s="13">
        <f t="array" ref="BC63">INDEX(BB:BB,MIN(IF(ISNUMBER(BB63:BB259),ROW(BB63:BB259),"")))</f>
        <v>10.3</v>
      </c>
      <c r="BD63" s="13">
        <f>IF('Données projet'!$A$88&gt;35,BD62+BC63-BL62,IF(A63&lt;'Données projet'!$A$88,$BA$205^A63,IF(A63='Données projet'!$A$88,'Données projet'!$B$88,BD62+BC63-BL62)))</f>
        <v>484.99999999999994</v>
      </c>
      <c r="BE63" s="14">
        <f>BD63*VLOOKUP('Données projet'!$B$11,Paramètres!$A$1:$I$89,3,0)*VLOOKUP('Données projet'!$B$11,Paramètres!$A$1:$I$89,5,0)</f>
        <v>290.03000000000003</v>
      </c>
      <c r="BF63" s="14">
        <f t="shared" si="37"/>
        <v>69.082275010142553</v>
      </c>
      <c r="BG63" s="22">
        <f t="shared" si="7"/>
        <v>625.45387897599824</v>
      </c>
      <c r="BH63" s="62">
        <f t="shared" si="8"/>
        <v>886.70958530747566</v>
      </c>
      <c r="BI63" s="62">
        <f ca="1">AVERAGE(OFFSET($BH$3,0,0,'Données projet'!$E$11+1,1))-AVERAGE(OFFSET($H$3,0,0,'Données projet'!$E$11+1,1))</f>
        <v>505.16888119060701</v>
      </c>
      <c r="BJ63" s="62">
        <f t="shared" si="38"/>
        <v>351.15312364640613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4.5909906749506762E-4</v>
      </c>
      <c r="BS63" s="24">
        <f t="shared" si="9"/>
        <v>4.5909906749506762E-4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68.195506926115257</v>
      </c>
      <c r="CE63" s="62">
        <f t="shared" si="40"/>
        <v>352.52565673897004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31.708898062629242</v>
      </c>
      <c r="CL63" s="23">
        <f>EXP(-LN(2)/25)*CL62+(1-EXP(-LN(2)/25))/(LN(2)/25)*Calculateur!CG63*Calculateur!CI63*VLOOKUP('Données projet'!$B$12,Paramètres!$A$1:$I$89,3,0)*0.475*44/12</f>
        <v>6.0308834405750238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37.739781503204263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77.885897614924062</v>
      </c>
      <c r="CZ63" s="62">
        <f t="shared" si="42"/>
        <v>401.02460251355296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36.47029809120297</v>
      </c>
      <c r="DG63" s="23">
        <f>EXP(-LN(2)/25)*DG62+(1-EXP(-LN(2)/25))/(LN(2)/25)*Calculateur!DB63*Calculateur!DD63*VLOOKUP('Données projet'!$B$13,Paramètres!$A$1:$I$89,3,0)*0.475*44/12</f>
        <v>6.9364793565719127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43.406777447774886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79.532301588639172</v>
      </c>
      <c r="DU63" s="62">
        <f t="shared" si="44"/>
        <v>409.2657792678549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37.280749159896345</v>
      </c>
      <c r="EB63" s="23">
        <f>EXP(-LN(2)/25)*EB62+(1-EXP(-LN(2)/25))/(LN(2)/25)*Calculateur!DW63*Calculateur!DY63*VLOOKUP('Données projet'!$B$14,Paramètres!$A$1:$I$89,3,0)*0.475*44/12</f>
        <v>7.0906233422735108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44.371372502169855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>
        <f>EJ63*VLOOKUP('Données projet'!$B$15,Paramètres!$A$1:$I$89,3,0)*VLOOKUP('Données projet'!$B$15,Paramètres!$A$1:$I$89,5,0)</f>
        <v>0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77.885897614924062</v>
      </c>
      <c r="EP63" s="62">
        <f t="shared" si="46"/>
        <v>401.02460251355296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36.47029809120297</v>
      </c>
      <c r="EW63" s="23">
        <f>EXP(-LN(2)/25)*EW62+(1-EXP(-LN(2)/25))/(LN(2)/25)*Calculateur!ER63*Calculateur!ET63*VLOOKUP('Données projet'!$B$15,Paramètres!$A$1:$I$89,3,0)*0.475*44/12</f>
        <v>6.9364793565719127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43.406777447774886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694.94343153942827</v>
      </c>
      <c r="S64" s="62">
        <f ca="1">AVERAGE(OFFSET($R$3,0,0,'Données projet'!$E$9+1,1))-AVERAGE(OFFSET($H$3,0,0,'Données projet'!$E$9+1,1))</f>
        <v>426.87921482911719</v>
      </c>
      <c r="T64" s="62">
        <f t="shared" si="34"/>
        <v>313.49594674441835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201.00000000000003</v>
      </c>
      <c r="AJ64" s="14">
        <f>AI64*VLOOKUP('Données projet'!$B$10,Paramètres!$A$1:$I$89,3,0)*VLOOKUP('Données projet'!$B$10,Paramètres!$A$1:$I$89,5,0)</f>
        <v>203.81400000000005</v>
      </c>
      <c r="AK64" s="14">
        <f t="shared" si="35"/>
        <v>50.581445724851605</v>
      </c>
      <c r="AL64" s="22">
        <f t="shared" si="4"/>
        <v>443.07206797078328</v>
      </c>
      <c r="AM64" s="62">
        <f t="shared" si="5"/>
        <v>704.88424941591256</v>
      </c>
      <c r="AN64" s="62">
        <f ca="1">AVERAGE(OFFSET($AM$3,0,0,'Données projet'!$E$10+1,1))-AVERAGE(OFFSET($H$3,0,0,'Données projet'!$E$10+1,1))</f>
        <v>462.95686283420531</v>
      </c>
      <c r="AO64" s="62">
        <f t="shared" si="36"/>
        <v>275.54513370838777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</v>
      </c>
      <c r="BD64" s="13">
        <f>IF('Données projet'!$A$88&gt;35,BD63+BC64-BL63,IF(A64&lt;'Données projet'!$A$88,$BA$205^A64,IF(A64='Données projet'!$A$88,'Données projet'!$B$88,BD63+BC64-BL63)))</f>
        <v>451.59999999999997</v>
      </c>
      <c r="BE64" s="14">
        <f>BD64*VLOOKUP('Données projet'!$B$11,Paramètres!$A$1:$I$89,3,0)*VLOOKUP('Données projet'!$B$11,Paramètres!$A$1:$I$89,5,0)</f>
        <v>270.05680000000001</v>
      </c>
      <c r="BF64" s="14">
        <f t="shared" si="37"/>
        <v>64.861323533797474</v>
      </c>
      <c r="BG64" s="22">
        <f t="shared" si="7"/>
        <v>583.3157318213639</v>
      </c>
      <c r="BH64" s="62">
        <f t="shared" si="8"/>
        <v>845.12791326649324</v>
      </c>
      <c r="BI64" s="62">
        <f ca="1">AVERAGE(OFFSET($BH$3,0,0,'Données projet'!$E$11+1,1))-AVERAGE(OFFSET($H$3,0,0,'Données projet'!$E$11+1,1))</f>
        <v>505.16888119060701</v>
      </c>
      <c r="BJ64" s="62">
        <f t="shared" si="38"/>
        <v>351.15312364640613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3.2463206386218279E-4</v>
      </c>
      <c r="BS64" s="24">
        <f t="shared" si="9"/>
        <v>3.2463206386218279E-4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68.195506926115257</v>
      </c>
      <c r="CE64" s="62">
        <f t="shared" si="40"/>
        <v>352.52565673897004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31.087105912139183</v>
      </c>
      <c r="CL64" s="23">
        <f>EXP(-LN(2)/25)*CL63+(1-EXP(-LN(2)/25))/(LN(2)/25)*Calculateur!CG64*Calculateur!CI64*VLOOKUP('Données projet'!$B$12,Paramètres!$A$1:$I$89,3,0)*0.475*44/12</f>
        <v>5.8659686157421236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36.953074527881306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77.885897614924062</v>
      </c>
      <c r="CZ64" s="62">
        <f t="shared" si="42"/>
        <v>401.02460251355296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35.755137790319836</v>
      </c>
      <c r="DG64" s="23">
        <f>EXP(-LN(2)/25)*DG63+(1-EXP(-LN(2)/25))/(LN(2)/25)*Calculateur!DB64*Calculateur!DD64*VLOOKUP('Données projet'!$B$13,Paramètres!$A$1:$I$89,3,0)*0.475*44/12</f>
        <v>6.7468009637928583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42.501938754112693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79.532301588639172</v>
      </c>
      <c r="DU64" s="62">
        <f t="shared" si="44"/>
        <v>409.2657792678549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36.549696407882472</v>
      </c>
      <c r="EB64" s="23">
        <f>EXP(-LN(2)/25)*EB63+(1-EXP(-LN(2)/25))/(LN(2)/25)*Calculateur!DW64*Calculateur!DY64*VLOOKUP('Données projet'!$B$14,Paramètres!$A$1:$I$89,3,0)*0.475*44/12</f>
        <v>6.8967298740993659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43.446426281981836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>
        <f>EJ64*VLOOKUP('Données projet'!$B$15,Paramètres!$A$1:$I$89,3,0)*VLOOKUP('Données projet'!$B$15,Paramètres!$A$1:$I$89,5,0)</f>
        <v>0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77.885897614924062</v>
      </c>
      <c r="EP64" s="62">
        <f t="shared" si="46"/>
        <v>401.02460251355296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35.755137790319836</v>
      </c>
      <c r="EW64" s="23">
        <f>EXP(-LN(2)/25)*EW63+(1-EXP(-LN(2)/25))/(LN(2)/25)*Calculateur!ER64*Calculateur!ET64*VLOOKUP('Données projet'!$B$15,Paramètres!$A$1:$I$89,3,0)*0.475*44/12</f>
        <v>6.7468009637928583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42.501938754112693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710.89647641847705</v>
      </c>
      <c r="S65" s="62">
        <f ca="1">AVERAGE(OFFSET($R$3,0,0,'Données projet'!$E$9+1,1))-AVERAGE(OFFSET($H$3,0,0,'Données projet'!$E$9+1,1))</f>
        <v>426.87921482911719</v>
      </c>
      <c r="T65" s="62">
        <f t="shared" si="34"/>
        <v>313.49594674441835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208.00000000000003</v>
      </c>
      <c r="AJ65" s="14">
        <f>AI65*VLOOKUP('Données projet'!$B$10,Paramètres!$A$1:$I$89,3,0)*VLOOKUP('Données projet'!$B$10,Paramètres!$A$1:$I$89,5,0)</f>
        <v>210.91200000000003</v>
      </c>
      <c r="AK65" s="14">
        <f t="shared" si="35"/>
        <v>52.134830352456831</v>
      </c>
      <c r="AL65" s="22">
        <f t="shared" si="4"/>
        <v>458.1398961971957</v>
      </c>
      <c r="AM65" s="62">
        <f t="shared" si="5"/>
        <v>720.49889915684707</v>
      </c>
      <c r="AN65" s="62">
        <f ca="1">AVERAGE(OFFSET($AM$3,0,0,'Données projet'!$E$10+1,1))-AVERAGE(OFFSET($H$3,0,0,'Données projet'!$E$10+1,1))</f>
        <v>462.95686283420531</v>
      </c>
      <c r="AO65" s="62">
        <f t="shared" si="36"/>
        <v>275.54513370838777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</v>
      </c>
      <c r="BD65" s="13">
        <f>IF('Données projet'!$A$88&gt;35,BD64+BC65-BL64,IF(A65&lt;'Données projet'!$A$88,$BA$205^A65,IF(A65='Données projet'!$A$88,'Données projet'!$B$88,BD64+BC65-BL64)))</f>
        <v>460.2</v>
      </c>
      <c r="BE65" s="14">
        <f>BD65*VLOOKUP('Données projet'!$B$11,Paramètres!$A$1:$I$89,3,0)*VLOOKUP('Données projet'!$B$11,Paramètres!$A$1:$I$89,5,0)</f>
        <v>275.19960000000003</v>
      </c>
      <c r="BF65" s="14">
        <f t="shared" si="37"/>
        <v>65.951527620662617</v>
      </c>
      <c r="BG65" s="22">
        <f t="shared" si="7"/>
        <v>594.17154727265404</v>
      </c>
      <c r="BH65" s="62">
        <f t="shared" si="8"/>
        <v>856.53055023230536</v>
      </c>
      <c r="BI65" s="62">
        <f ca="1">AVERAGE(OFFSET($BH$3,0,0,'Données projet'!$E$11+1,1))-AVERAGE(OFFSET($H$3,0,0,'Données projet'!$E$11+1,1))</f>
        <v>505.16888119060701</v>
      </c>
      <c r="BJ65" s="62">
        <f t="shared" si="38"/>
        <v>351.15312364640613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2.2954953374753381E-4</v>
      </c>
      <c r="BS65" s="24">
        <f t="shared" si="9"/>
        <v>2.2954953374753381E-4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68.195506926115257</v>
      </c>
      <c r="CE65" s="62">
        <f t="shared" si="40"/>
        <v>352.52565673897004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30.477506726464473</v>
      </c>
      <c r="CL65" s="23">
        <f>EXP(-LN(2)/25)*CL64+(1-EXP(-LN(2)/25))/(LN(2)/25)*Calculateur!CG65*Calculateur!CI65*VLOOKUP('Données projet'!$B$12,Paramètres!$A$1:$I$89,3,0)*0.475*44/12</f>
        <v>5.7055633954667728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36.183070121931245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77.885897614924062</v>
      </c>
      <c r="CZ65" s="62">
        <f t="shared" si="42"/>
        <v>401.02460251355296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35.054001346732306</v>
      </c>
      <c r="DG65" s="23">
        <f>EXP(-LN(2)/25)*DG64+(1-EXP(-LN(2)/25))/(LN(2)/25)*Calculateur!DB65*Calculateur!DD65*VLOOKUP('Données projet'!$B$13,Paramètres!$A$1:$I$89,3,0)*0.475*44/12</f>
        <v>6.5623093366390997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41.61631068337141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79.532301588639172</v>
      </c>
      <c r="DU65" s="62">
        <f t="shared" si="44"/>
        <v>409.2657792678549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35.832979154437446</v>
      </c>
      <c r="EB65" s="23">
        <f>EXP(-LN(2)/25)*EB64+(1-EXP(-LN(2)/25))/(LN(2)/25)*Calculateur!DW65*Calculateur!DY65*VLOOKUP('Données projet'!$B$14,Paramètres!$A$1:$I$89,3,0)*0.475*44/12</f>
        <v>6.7081384330088571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42.541117587446301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>
        <f>EJ65*VLOOKUP('Données projet'!$B$15,Paramètres!$A$1:$I$89,3,0)*VLOOKUP('Données projet'!$B$15,Paramètres!$A$1:$I$89,5,0)</f>
        <v>0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77.885897614924062</v>
      </c>
      <c r="EP65" s="62">
        <f t="shared" si="46"/>
        <v>401.02460251355296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35.054001346732306</v>
      </c>
      <c r="EW65" s="23">
        <f>EXP(-LN(2)/25)*EW64+(1-EXP(-LN(2)/25))/(LN(2)/25)*Calculateur!ER65*Calculateur!ET65*VLOOKUP('Données projet'!$B$15,Paramètres!$A$1:$I$89,3,0)*0.475*44/12</f>
        <v>6.5623093366390997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41.61631068337141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726.82871447772391</v>
      </c>
      <c r="S66" s="62">
        <f ca="1">AVERAGE(OFFSET($R$3,0,0,'Données projet'!$E$9+1,1))-AVERAGE(OFFSET($H$3,0,0,'Données projet'!$E$9+1,1))</f>
        <v>426.87921482911719</v>
      </c>
      <c r="T66" s="62">
        <f t="shared" si="34"/>
        <v>313.49594674441835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215.00000000000003</v>
      </c>
      <c r="AJ66" s="14">
        <f>AI66*VLOOKUP('Données projet'!$B$10,Paramètres!$A$1:$I$89,3,0)*VLOOKUP('Données projet'!$B$10,Paramètres!$A$1:$I$89,5,0)</f>
        <v>218.01000000000005</v>
      </c>
      <c r="AK66" s="14">
        <f t="shared" si="35"/>
        <v>53.682140586224406</v>
      </c>
      <c r="AL66" s="22">
        <f t="shared" si="4"/>
        <v>473.19714485434088</v>
      </c>
      <c r="AM66" s="62">
        <f t="shared" si="5"/>
        <v>736.09348319774699</v>
      </c>
      <c r="AN66" s="62">
        <f ca="1">AVERAGE(OFFSET($AM$3,0,0,'Données projet'!$E$10+1,1))-AVERAGE(OFFSET($H$3,0,0,'Données projet'!$E$10+1,1))</f>
        <v>462.95686283420531</v>
      </c>
      <c r="AO66" s="62">
        <f t="shared" si="36"/>
        <v>275.54513370838777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</v>
      </c>
      <c r="BD66" s="13">
        <f>IF('Données projet'!$A$88&gt;35,BD65+BC66-BL65,IF(A66&lt;'Données projet'!$A$88,$BA$205^A66,IF(A66='Données projet'!$A$88,'Données projet'!$B$88,BD65+BC66-BL65)))</f>
        <v>468.8</v>
      </c>
      <c r="BE66" s="14">
        <f>BD66*VLOOKUP('Données projet'!$B$11,Paramètres!$A$1:$I$89,3,0)*VLOOKUP('Données projet'!$B$11,Paramètres!$A$1:$I$89,5,0)</f>
        <v>280.34240000000005</v>
      </c>
      <c r="BF66" s="14">
        <f t="shared" si="37"/>
        <v>67.039362696476971</v>
      </c>
      <c r="BG66" s="22">
        <f t="shared" si="7"/>
        <v>605.02323669636417</v>
      </c>
      <c r="BH66" s="62">
        <f t="shared" si="8"/>
        <v>867.91957503977028</v>
      </c>
      <c r="BI66" s="62">
        <f ca="1">AVERAGE(OFFSET($BH$3,0,0,'Données projet'!$E$11+1,1))-AVERAGE(OFFSET($H$3,0,0,'Données projet'!$E$11+1,1))</f>
        <v>505.16888119060701</v>
      </c>
      <c r="BJ66" s="62">
        <f t="shared" si="38"/>
        <v>351.15312364640613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1.6231603193109139E-4</v>
      </c>
      <c r="BS66" s="24">
        <f t="shared" si="9"/>
        <v>1.6231603193109139E-4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68.195506926115257</v>
      </c>
      <c r="CE66" s="62">
        <f t="shared" si="40"/>
        <v>352.52565673897004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29.879861409002054</v>
      </c>
      <c r="CL66" s="23">
        <f>EXP(-LN(2)/25)*CL65+(1-EXP(-LN(2)/25))/(LN(2)/25)*Calculateur!CG66*Calculateur!CI66*VLOOKUP('Données projet'!$B$12,Paramètres!$A$1:$I$89,3,0)*0.475*44/12</f>
        <v>5.5495444643751952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35.429405873377249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77.885897614924062</v>
      </c>
      <c r="CZ66" s="62">
        <f t="shared" si="42"/>
        <v>401.02460251355296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34.366613761152529</v>
      </c>
      <c r="DG66" s="23">
        <f>EXP(-LN(2)/25)*DG65+(1-EXP(-LN(2)/25))/(LN(2)/25)*Calculateur!DB66*Calculateur!DD66*VLOOKUP('Données projet'!$B$13,Paramètres!$A$1:$I$89,3,0)*0.475*44/12</f>
        <v>6.3828626427318538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40.74947640388438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79.532301588639172</v>
      </c>
      <c r="DU66" s="62">
        <f t="shared" si="44"/>
        <v>409.2657792678549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35.130316289178118</v>
      </c>
      <c r="EB66" s="23">
        <f>EXP(-LN(2)/25)*EB65+(1-EXP(-LN(2)/25))/(LN(2)/25)*Calculateur!DW66*Calculateur!DY66*VLOOKUP('Données projet'!$B$14,Paramètres!$A$1:$I$89,3,0)*0.475*44/12</f>
        <v>6.5247040347925616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41.655020323970682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77.885897614924062</v>
      </c>
      <c r="EP66" s="62">
        <f t="shared" si="46"/>
        <v>401.02460251355296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34.366613761152529</v>
      </c>
      <c r="EW66" s="23">
        <f>EXP(-LN(2)/25)*EW65+(1-EXP(-LN(2)/25))/(LN(2)/25)*Calculateur!ER66*Calculateur!ET66*VLOOKUP('Données projet'!$B$15,Paramètres!$A$1:$I$89,3,0)*0.475*44/12</f>
        <v>6.3828626427318538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40.74947640388438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742.74073872549775</v>
      </c>
      <c r="S67" s="62">
        <f ca="1">AVERAGE(OFFSET($R$3,0,0,'Données projet'!$E$9+1,1))-AVERAGE(OFFSET($H$3,0,0,'Données projet'!$E$9+1,1))</f>
        <v>426.87921482911719</v>
      </c>
      <c r="T67" s="62">
        <f t="shared" si="34"/>
        <v>313.49594674441835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222.00000000000003</v>
      </c>
      <c r="AJ67" s="14">
        <f>AI67*VLOOKUP('Données projet'!$B$10,Paramètres!$A$1:$I$89,3,0)*VLOOKUP('Données projet'!$B$10,Paramètres!$A$1:$I$89,5,0)</f>
        <v>225.10800000000003</v>
      </c>
      <c r="AK67" s="14">
        <f t="shared" si="35"/>
        <v>55.22359687888963</v>
      </c>
      <c r="AL67" s="22">
        <f t="shared" si="4"/>
        <v>488.24419789739949</v>
      </c>
      <c r="AM67" s="62">
        <f t="shared" si="5"/>
        <v>751.66855005695425</v>
      </c>
      <c r="AN67" s="62">
        <f ca="1">AVERAGE(OFFSET($AM$3,0,0,'Données projet'!$E$10+1,1))-AVERAGE(OFFSET($H$3,0,0,'Données projet'!$E$10+1,1))</f>
        <v>462.95686283420531</v>
      </c>
      <c r="AO67" s="62">
        <f t="shared" si="36"/>
        <v>275.54513370838777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</v>
      </c>
      <c r="BD67" s="13">
        <f>IF('Données projet'!$A$88&gt;35,BD66+BC67-BL66,IF(A67&lt;'Données projet'!$A$88,$BA$205^A67,IF(A67='Données projet'!$A$88,'Données projet'!$B$88,BD66+BC67-BL66)))</f>
        <v>477.40000000000003</v>
      </c>
      <c r="BE67" s="14">
        <f>BD67*VLOOKUP('Données projet'!$B$11,Paramètres!$A$1:$I$89,3,0)*VLOOKUP('Données projet'!$B$11,Paramètres!$A$1:$I$89,5,0)</f>
        <v>285.48520000000002</v>
      </c>
      <c r="BF67" s="14">
        <f t="shared" si="37"/>
        <v>68.124877232386936</v>
      </c>
      <c r="BG67" s="22">
        <f t="shared" si="7"/>
        <v>615.87088451307397</v>
      </c>
      <c r="BH67" s="62">
        <f t="shared" si="8"/>
        <v>879.29523667262879</v>
      </c>
      <c r="BI67" s="62">
        <f ca="1">AVERAGE(OFFSET($BH$3,0,0,'Données projet'!$E$11+1,1))-AVERAGE(OFFSET($H$3,0,0,'Données projet'!$E$11+1,1))</f>
        <v>505.16888119060701</v>
      </c>
      <c r="BJ67" s="62">
        <f t="shared" si="38"/>
        <v>351.15312364640613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1.147747668737669E-4</v>
      </c>
      <c r="BS67" s="24">
        <f t="shared" si="9"/>
        <v>1.147747668737669E-4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68.195506926115257</v>
      </c>
      <c r="CE67" s="62">
        <f t="shared" si="40"/>
        <v>352.52565673897004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29.293935551687422</v>
      </c>
      <c r="CL67" s="23">
        <f>EXP(-LN(2)/25)*CL66+(1-EXP(-LN(2)/25))/(LN(2)/25)*Calculateur!CG67*Calculateur!CI67*VLOOKUP('Données projet'!$B$12,Paramètres!$A$1:$I$89,3,0)*0.475*44/12</f>
        <v>5.3977918791589961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34.69172743084642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77.885897614924062</v>
      </c>
      <c r="CZ67" s="62">
        <f t="shared" si="42"/>
        <v>401.02460251355296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33.69270542686094</v>
      </c>
      <c r="DG67" s="23">
        <f>EXP(-LN(2)/25)*DG66+(1-EXP(-LN(2)/25))/(LN(2)/25)*Calculateur!DB67*Calculateur!DD67*VLOOKUP('Données projet'!$B$13,Paramètres!$A$1:$I$89,3,0)*0.475*44/12</f>
        <v>6.2083229281061927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39.901028354967131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79.532301588639172</v>
      </c>
      <c r="DU67" s="62">
        <f t="shared" si="44"/>
        <v>409.2657792678549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34.441432214124497</v>
      </c>
      <c r="EB67" s="23">
        <f>EXP(-LN(2)/25)*EB66+(1-EXP(-LN(2)/25))/(LN(2)/25)*Calculateur!DW67*Calculateur!DY67*VLOOKUP('Données projet'!$B$14,Paramètres!$A$1:$I$89,3,0)*0.475*44/12</f>
        <v>6.346285659841886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40.787717873966386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77.885897614924062</v>
      </c>
      <c r="EP67" s="62">
        <f t="shared" si="46"/>
        <v>401.02460251355296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33.69270542686094</v>
      </c>
      <c r="EW67" s="23">
        <f>EXP(-LN(2)/25)*EW66+(1-EXP(-LN(2)/25))/(LN(2)/25)*Calculateur!ER67*Calculateur!ET67*VLOOKUP('Données projet'!$B$15,Paramètres!$A$1:$I$89,3,0)*0.475*44/12</f>
        <v>6.2083229281061927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39.901028354967131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758.63310957879798</v>
      </c>
      <c r="S68" s="62">
        <f ca="1">AVERAGE(OFFSET($R$3,0,0,'Données projet'!$E$9+1,1))-AVERAGE(OFFSET($H$3,0,0,'Données projet'!$E$9+1,1))</f>
        <v>426.87921482911719</v>
      </c>
      <c r="T68" s="62">
        <f t="shared" si="34"/>
        <v>313.49594674441835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767.22461980949254</v>
      </c>
      <c r="AN68" s="62">
        <f ca="1">AVERAGE(OFFSET($AM$3,0,0,'Données projet'!$E$10+1,1))-AVERAGE(OFFSET($H$3,0,0,'Données projet'!$E$10+1,1))</f>
        <v>462.95686283420531</v>
      </c>
      <c r="AO68" s="62">
        <f t="shared" si="36"/>
        <v>275.54513370838777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</v>
      </c>
      <c r="BD68" s="13">
        <f>IF('Données projet'!$A$88&gt;35,BD67+BC68-BL67,IF(A68&lt;'Données projet'!$A$88,$BA$205^A68,IF(A68='Données projet'!$A$88,'Données projet'!$B$88,BD67+BC68-BL67)))</f>
        <v>486.00000000000006</v>
      </c>
      <c r="BE68" s="14">
        <f>BD68*VLOOKUP('Données projet'!$B$11,Paramètres!$A$1:$I$89,3,0)*VLOOKUP('Données projet'!$B$11,Paramètres!$A$1:$I$89,5,0)</f>
        <v>290.62800000000004</v>
      </c>
      <c r="BF68" s="14">
        <f t="shared" si="37"/>
        <v>69.208117853196882</v>
      </c>
      <c r="BG68" s="22">
        <f t="shared" ref="BG68:BG131" si="61">(BE68+BF68)*0.475*44/12</f>
        <v>626.71457192765126</v>
      </c>
      <c r="BH68" s="62">
        <f t="shared" ref="BH68:BH131" si="62">BG68+(AY68+AZ68)*44/12</f>
        <v>890.65777804410641</v>
      </c>
      <c r="BI68" s="62">
        <f ca="1">AVERAGE(OFFSET($BH$3,0,0,'Données projet'!$E$11+1,1))-AVERAGE(OFFSET($H$3,0,0,'Données projet'!$E$11+1,1))</f>
        <v>505.16888119060701</v>
      </c>
      <c r="BJ68" s="62">
        <f t="shared" si="38"/>
        <v>351.15312364640613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8.1158015965545696E-5</v>
      </c>
      <c r="BS68" s="24">
        <f t="shared" ref="BS68:BS131" si="63">SUM(BP68:BR68)</f>
        <v>8.1158015965545696E-5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68.195506926115257</v>
      </c>
      <c r="CE68" s="62">
        <f t="shared" si="40"/>
        <v>352.52565673897004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28.719499343055247</v>
      </c>
      <c r="CL68" s="23">
        <f>EXP(-LN(2)/25)*CL67+(1-EXP(-LN(2)/25))/(LN(2)/25)*Calculateur!CG68*Calculateur!CI68*VLOOKUP('Données projet'!$B$12,Paramètres!$A$1:$I$89,3,0)*0.475*44/12</f>
        <v>5.2501889763658554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33.969688319421103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77.885897614924062</v>
      </c>
      <c r="CZ68" s="62">
        <f t="shared" si="42"/>
        <v>401.02460251355296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33.032012023961315</v>
      </c>
      <c r="DG68" s="23">
        <f>EXP(-LN(2)/25)*DG67+(1-EXP(-LN(2)/25))/(LN(2)/25)*Calculateur!DB68*Calculateur!DD68*VLOOKUP('Données projet'!$B$13,Paramètres!$A$1:$I$89,3,0)*0.475*44/12</f>
        <v>6.0385560111556158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39.070568035116928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79.532301588639172</v>
      </c>
      <c r="DU68" s="62">
        <f t="shared" si="44"/>
        <v>409.2657792678549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33.766056735604877</v>
      </c>
      <c r="EB68" s="23">
        <f>EXP(-LN(2)/25)*EB67+(1-EXP(-LN(2)/25))/(LN(2)/25)*Calculateur!DW68*Calculateur!DY68*VLOOKUP('Données projet'!$B$14,Paramètres!$A$1:$I$89,3,0)*0.475*44/12</f>
        <v>6.172746144736851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39.938802880341726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77.885897614924062</v>
      </c>
      <c r="EP68" s="62">
        <f t="shared" si="46"/>
        <v>401.02460251355296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33.032012023961315</v>
      </c>
      <c r="EW68" s="23">
        <f>EXP(-LN(2)/25)*EW67+(1-EXP(-LN(2)/25))/(LN(2)/25)*Calculateur!ER68*Calculateur!ET68*VLOOKUP('Données projet'!$B$15,Paramètres!$A$1:$I$89,3,0)*0.475*44/12</f>
        <v>6.0385560111556158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39.070568035116928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774.50635785585678</v>
      </c>
      <c r="S69" s="62">
        <f ca="1">AVERAGE(OFFSET($R$3,0,0,'Données projet'!$E$9+1,1))-AVERAGE(OFFSET($H$3,0,0,'Données projet'!$E$9+1,1))</f>
        <v>426.87921482911719</v>
      </c>
      <c r="T69" s="62">
        <f t="shared" ref="T69:T132" si="88">$T$3</f>
        <v>313.49594674441835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737.22014012157979</v>
      </c>
      <c r="AN69" s="62">
        <f ca="1">AVERAGE(OFFSET($AM$3,0,0,'Données projet'!$E$10+1,1))-AVERAGE(OFFSET($H$3,0,0,'Données projet'!$E$10+1,1))</f>
        <v>462.95686283420531</v>
      </c>
      <c r="AO69" s="62">
        <f t="shared" ref="AO69:AO132" si="90">$AO$3</f>
        <v>275.54513370838777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</v>
      </c>
      <c r="BD69" s="13">
        <f>IF('Données projet'!$A$88&gt;35,BD68+BC69-BL68,IF(A69&lt;'Données projet'!$A$88,$BA$205^A69,IF(A69='Données projet'!$A$88,'Données projet'!$B$88,BD68+BC69-BL68)))</f>
        <v>494.60000000000008</v>
      </c>
      <c r="BE69" s="14">
        <f>BD69*VLOOKUP('Données projet'!$B$11,Paramètres!$A$1:$I$89,3,0)*VLOOKUP('Données projet'!$B$11,Paramètres!$A$1:$I$89,5,0)</f>
        <v>295.77080000000007</v>
      </c>
      <c r="BF69" s="14">
        <f t="shared" ref="BF69:BF132" si="91">EXP(-1.0587+0.8836*LN(BE69)+0.284)</f>
        <v>70.289129439104499</v>
      </c>
      <c r="BG69" s="22">
        <f t="shared" si="61"/>
        <v>637.55437710644048</v>
      </c>
      <c r="BH69" s="62">
        <f t="shared" si="62"/>
        <v>902.00743622362756</v>
      </c>
      <c r="BI69" s="62">
        <f ca="1">AVERAGE(OFFSET($BH$3,0,0,'Données projet'!$E$11+1,1))-AVERAGE(OFFSET($H$3,0,0,'Données projet'!$E$11+1,1))</f>
        <v>505.16888119060701</v>
      </c>
      <c r="BJ69" s="62">
        <f t="shared" ref="BJ69:BJ132" si="92">$BJ$3</f>
        <v>351.15312364640613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5.7387383436883452E-5</v>
      </c>
      <c r="BS69" s="24">
        <f t="shared" si="63"/>
        <v>5.7387383436883452E-5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68.195506926115257</v>
      </c>
      <c r="CE69" s="62">
        <f t="shared" ref="CE69:CE132" si="94">$CE$3</f>
        <v>352.52565673897004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28.156327478102856</v>
      </c>
      <c r="CL69" s="23">
        <f>EXP(-LN(2)/25)*CL68+(1-EXP(-LN(2)/25))/(LN(2)/25)*Calculateur!CG69*Calculateur!CI69*VLOOKUP('Données projet'!$B$12,Paramètres!$A$1:$I$89,3,0)*0.475*44/12</f>
        <v>5.1066222827116921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33.26294976081455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77.885897614924062</v>
      </c>
      <c r="CZ69" s="62">
        <f t="shared" ref="CZ69:CZ132" si="96">$CZ$3</f>
        <v>401.02460251355296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32.384274415709363</v>
      </c>
      <c r="DG69" s="23">
        <f>EXP(-LN(2)/25)*DG68+(1-EXP(-LN(2)/25))/(LN(2)/25)*Calculateur!DB69*Calculateur!DD69*VLOOKUP('Données projet'!$B$13,Paramètres!$A$1:$I$89,3,0)*0.475*44/12</f>
        <v>5.8734313794767061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38.25770579518607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79.532301588639172</v>
      </c>
      <c r="DU69" s="62">
        <f t="shared" ref="DU69:DU132" si="98">$DU$3</f>
        <v>409.2657792678549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33.103924958280665</v>
      </c>
      <c r="EB69" s="23">
        <f>EXP(-LN(2)/25)*EB68+(1-EXP(-LN(2)/25))/(LN(2)/25)*Calculateur!DW69*Calculateur!DY69*VLOOKUP('Données projet'!$B$14,Paramètres!$A$1:$I$89,3,0)*0.475*44/12</f>
        <v>6.0039520767984103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39.107877035079078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77.885897614924062</v>
      </c>
      <c r="EP69" s="62">
        <f t="shared" ref="EP69:EP132" si="100">$EP$3</f>
        <v>401.02460251355296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32.384274415709363</v>
      </c>
      <c r="EW69" s="23">
        <f>EXP(-LN(2)/25)*EW68+(1-EXP(-LN(2)/25))/(LN(2)/25)*Calculateur!ER69*Calculateur!ET69*VLOOKUP('Données projet'!$B$15,Paramètres!$A$1:$I$89,3,0)*0.475*44/12</f>
        <v>5.8734313794767061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38.25770579518607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790.36098739488739</v>
      </c>
      <c r="S70" s="62">
        <f ca="1">AVERAGE(OFFSET($R$3,0,0,'Données projet'!$E$9+1,1))-AVERAGE(OFFSET($H$3,0,0,'Données projet'!$E$9+1,1))</f>
        <v>426.87921482911719</v>
      </c>
      <c r="T70" s="62">
        <f t="shared" si="88"/>
        <v>313.49594674441835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752.33870189734853</v>
      </c>
      <c r="AN70" s="62">
        <f ca="1">AVERAGE(OFFSET($AM$3,0,0,'Données projet'!$E$10+1,1))-AVERAGE(OFFSET($H$3,0,0,'Données projet'!$E$10+1,1))</f>
        <v>462.95686283420531</v>
      </c>
      <c r="AO70" s="62">
        <f t="shared" si="90"/>
        <v>275.54513370838777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</v>
      </c>
      <c r="BD70" s="13">
        <f>IF('Données projet'!$A$88&gt;35,BD69+BC70-BL69,IF(A70&lt;'Données projet'!$A$88,$BA$205^A70,IF(A70='Données projet'!$A$88,'Données projet'!$B$88,BD69+BC70-BL69)))</f>
        <v>503.2000000000001</v>
      </c>
      <c r="BE70" s="14">
        <f>BD70*VLOOKUP('Données projet'!$B$11,Paramètres!$A$1:$I$89,3,0)*VLOOKUP('Données projet'!$B$11,Paramètres!$A$1:$I$89,5,0)</f>
        <v>300.91360000000009</v>
      </c>
      <c r="BF70" s="14">
        <f t="shared" si="91"/>
        <v>71.367955220159118</v>
      </c>
      <c r="BG70" s="22">
        <f t="shared" si="61"/>
        <v>648.39037534177726</v>
      </c>
      <c r="BH70" s="62">
        <f t="shared" si="62"/>
        <v>913.34444264999411</v>
      </c>
      <c r="BI70" s="62">
        <f ca="1">AVERAGE(OFFSET($BH$3,0,0,'Données projet'!$E$11+1,1))-AVERAGE(OFFSET($H$3,0,0,'Données projet'!$E$11+1,1))</f>
        <v>505.16888119060701</v>
      </c>
      <c r="BJ70" s="62">
        <f t="shared" si="92"/>
        <v>351.15312364640613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4.0579007982772848E-5</v>
      </c>
      <c r="BS70" s="24">
        <f t="shared" si="63"/>
        <v>4.0579007982772848E-5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68.195506926115257</v>
      </c>
      <c r="CE70" s="62">
        <f t="shared" si="94"/>
        <v>352.52565673897004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27.604199069921261</v>
      </c>
      <c r="CL70" s="23">
        <f>EXP(-LN(2)/25)*CL69+(1-EXP(-LN(2)/25))/(LN(2)/25)*Calculateur!CG70*Calculateur!CI70*VLOOKUP('Données projet'!$B$12,Paramètres!$A$1:$I$89,3,0)*0.475*44/12</f>
        <v>4.9669814278453464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32.571180497766605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77.885897614924062</v>
      </c>
      <c r="CZ70" s="62">
        <f t="shared" si="96"/>
        <v>401.02460251355296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31.749238546874302</v>
      </c>
      <c r="DG70" s="23">
        <f>EXP(-LN(2)/25)*DG69+(1-EXP(-LN(2)/25))/(LN(2)/25)*Calculateur!DB70*Calculateur!DD70*VLOOKUP('Données projet'!$B$13,Paramètres!$A$1:$I$89,3,0)*0.475*44/12</f>
        <v>5.7128220895345834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37.462060636408886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79.532301588639172</v>
      </c>
      <c r="DU70" s="62">
        <f t="shared" si="98"/>
        <v>409.2657792678549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32.45477718124927</v>
      </c>
      <c r="EB70" s="23">
        <f>EXP(-LN(2)/25)*EB69+(1-EXP(-LN(2)/25))/(LN(2)/25)*Calculateur!DW70*Calculateur!DY70*VLOOKUP('Données projet'!$B$14,Paramètres!$A$1:$I$89,3,0)*0.475*44/12</f>
        <v>5.8397736915242406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38.294550872773513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77.885897614924062</v>
      </c>
      <c r="EP70" s="62">
        <f t="shared" si="100"/>
        <v>401.02460251355296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31.749238546874302</v>
      </c>
      <c r="EW70" s="23">
        <f>EXP(-LN(2)/25)*EW69+(1-EXP(-LN(2)/25))/(LN(2)/25)*Calculateur!ER70*Calculateur!ET70*VLOOKUP('Données projet'!$B$15,Paramètres!$A$1:$I$89,3,0)*0.475*44/12</f>
        <v>5.7128220895345834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37.462060636408886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806.19747735603573</v>
      </c>
      <c r="S71" s="62">
        <f ca="1">AVERAGE(OFFSET($R$3,0,0,'Données projet'!$E$9+1,1))-AVERAGE(OFFSET($H$3,0,0,'Données projet'!$E$9+1,1))</f>
        <v>426.87921482911719</v>
      </c>
      <c r="T71" s="62">
        <f t="shared" si="88"/>
        <v>313.49594674441835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767.43927053908692</v>
      </c>
      <c r="AN71" s="62">
        <f ca="1">AVERAGE(OFFSET($AM$3,0,0,'Données projet'!$E$10+1,1))-AVERAGE(OFFSET($H$3,0,0,'Données projet'!$E$10+1,1))</f>
        <v>462.95686283420531</v>
      </c>
      <c r="AO71" s="62">
        <f t="shared" si="90"/>
        <v>275.54513370838777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</v>
      </c>
      <c r="BD71" s="13">
        <f>IF('Données projet'!$A$88&gt;35,BD70+BC71-BL70,IF(A71&lt;'Données projet'!$A$88,$BA$205^A71,IF(A71='Données projet'!$A$88,'Données projet'!$B$88,BD70+BC71-BL70)))</f>
        <v>511.80000000000013</v>
      </c>
      <c r="BE71" s="14">
        <f>BD71*VLOOKUP('Données projet'!$B$11,Paramètres!$A$1:$I$89,3,0)*VLOOKUP('Données projet'!$B$11,Paramètres!$A$1:$I$89,5,0)</f>
        <v>306.05640000000005</v>
      </c>
      <c r="BF71" s="14">
        <f t="shared" si="91"/>
        <v>72.444636864080792</v>
      </c>
      <c r="BG71" s="22">
        <f t="shared" si="61"/>
        <v>659.22263920494072</v>
      </c>
      <c r="BH71" s="62">
        <f t="shared" si="62"/>
        <v>924.66902333215955</v>
      </c>
      <c r="BI71" s="62">
        <f ca="1">AVERAGE(OFFSET($BH$3,0,0,'Données projet'!$E$11+1,1))-AVERAGE(OFFSET($H$3,0,0,'Données projet'!$E$11+1,1))</f>
        <v>505.16888119060701</v>
      </c>
      <c r="BJ71" s="62">
        <f t="shared" si="92"/>
        <v>351.15312364640613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2.8693691718441726E-5</v>
      </c>
      <c r="BS71" s="24">
        <f t="shared" si="63"/>
        <v>2.8693691718441726E-5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68.195506926115257</v>
      </c>
      <c r="CE71" s="62">
        <f t="shared" si="94"/>
        <v>352.52565673897004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27.062897563059032</v>
      </c>
      <c r="CL71" s="23">
        <f>EXP(-LN(2)/25)*CL70+(1-EXP(-LN(2)/25))/(LN(2)/25)*Calculateur!CG71*Calculateur!CI71*VLOOKUP('Données projet'!$B$12,Paramètres!$A$1:$I$89,3,0)*0.475*44/12</f>
        <v>4.8311590594987139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31.894056622557745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77.885897614924062</v>
      </c>
      <c r="CZ71" s="62">
        <f t="shared" si="96"/>
        <v>401.02460251355296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31.126655344093464</v>
      </c>
      <c r="DG71" s="23">
        <f>EXP(-LN(2)/25)*DG70+(1-EXP(-LN(2)/25))/(LN(2)/25)*Calculateur!DB71*Calculateur!DD71*VLOOKUP('Données projet'!$B$13,Paramètres!$A$1:$I$89,3,0)*0.475*44/12</f>
        <v>5.5566046690720032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36.683260013165466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79.532301588639172</v>
      </c>
      <c r="DU71" s="62">
        <f t="shared" si="98"/>
        <v>409.2657792678549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31.818358796184413</v>
      </c>
      <c r="EB71" s="23">
        <f>EXP(-LN(2)/25)*EB70+(1-EXP(-LN(2)/25))/(LN(2)/25)*Calculateur!DW71*Calculateur!DY71*VLOOKUP('Données projet'!$B$14,Paramètres!$A$1:$I$89,3,0)*0.475*44/12</f>
        <v>5.6800847728291588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37.498443569013574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77.885897614924062</v>
      </c>
      <c r="EP71" s="62">
        <f t="shared" si="100"/>
        <v>401.02460251355296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31.126655344093464</v>
      </c>
      <c r="EW71" s="23">
        <f>EXP(-LN(2)/25)*EW70+(1-EXP(-LN(2)/25))/(LN(2)/25)*Calculateur!ER71*Calculateur!ET71*VLOOKUP('Données projet'!$B$15,Paramètres!$A$1:$I$89,3,0)*0.475*44/12</f>
        <v>5.5566046690720032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36.683260013165466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822.01628425343176</v>
      </c>
      <c r="S72" s="62">
        <f ca="1">AVERAGE(OFFSET($R$3,0,0,'Données projet'!$E$9+1,1))-AVERAGE(OFFSET($H$3,0,0,'Données projet'!$E$9+1,1))</f>
        <v>426.87921482911719</v>
      </c>
      <c r="T72" s="62">
        <f t="shared" si="88"/>
        <v>313.49594674441835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782.52230555042092</v>
      </c>
      <c r="AN72" s="62">
        <f ca="1">AVERAGE(OFFSET($AM$3,0,0,'Données projet'!$E$10+1,1))-AVERAGE(OFFSET($H$3,0,0,'Données projet'!$E$10+1,1))</f>
        <v>462.95686283420531</v>
      </c>
      <c r="AO72" s="62">
        <f t="shared" si="90"/>
        <v>275.54513370838777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8.6</v>
      </c>
      <c r="BD72" s="13">
        <f>IF('Données projet'!$A$88&gt;35,BD71+BC72-BL71,IF(A72&lt;'Données projet'!$A$88,$BA$205^A72,IF(A72='Données projet'!$A$88,'Données projet'!$B$88,BD71+BC72-BL71)))</f>
        <v>520.40000000000009</v>
      </c>
      <c r="BE72" s="14">
        <f>BD72*VLOOKUP('Données projet'!$B$11,Paramètres!$A$1:$I$89,3,0)*VLOOKUP('Données projet'!$B$11,Paramètres!$A$1:$I$89,5,0)</f>
        <v>311.19920000000008</v>
      </c>
      <c r="BF72" s="14">
        <f t="shared" si="91"/>
        <v>73.519214558008628</v>
      </c>
      <c r="BG72" s="22">
        <f t="shared" si="61"/>
        <v>670.05123868853173</v>
      </c>
      <c r="BH72" s="62">
        <f t="shared" si="62"/>
        <v>935.98139903859828</v>
      </c>
      <c r="BI72" s="62">
        <f ca="1">AVERAGE(OFFSET($BH$3,0,0,'Données projet'!$E$11+1,1))-AVERAGE(OFFSET($H$3,0,0,'Données projet'!$E$11+1,1))</f>
        <v>505.16888119060701</v>
      </c>
      <c r="BJ72" s="62">
        <f t="shared" si="92"/>
        <v>351.15312364640613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2.0289503991386424E-5</v>
      </c>
      <c r="BS72" s="24">
        <f t="shared" si="63"/>
        <v>2.0289503991386424E-5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68.195506926115257</v>
      </c>
      <c r="CE72" s="62">
        <f t="shared" si="94"/>
        <v>352.52565673897004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26.532210648585053</v>
      </c>
      <c r="CL72" s="23">
        <f>EXP(-LN(2)/25)*CL71+(1-EXP(-LN(2)/25))/(LN(2)/25)*Calculateur!CG72*Calculateur!CI72*VLOOKUP('Données projet'!$B$12,Paramètres!$A$1:$I$89,3,0)*0.475*44/12</f>
        <v>4.6990507609571086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31.231261409542164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77.885897614924062</v>
      </c>
      <c r="CZ72" s="62">
        <f t="shared" si="96"/>
        <v>401.02460251355296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30.5162806181809</v>
      </c>
      <c r="DG72" s="23">
        <f>EXP(-LN(2)/25)*DG71+(1-EXP(-LN(2)/25))/(LN(2)/25)*Calculateur!DB72*Calculateur!DD72*VLOOKUP('Données projet'!$B$13,Paramètres!$A$1:$I$89,3,0)*0.475*44/12</f>
        <v>5.4046590221870892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35.92093964036799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79.532301588639172</v>
      </c>
      <c r="DU72" s="62">
        <f t="shared" si="98"/>
        <v>409.2657792678549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31.194420187473792</v>
      </c>
      <c r="EB72" s="23">
        <f>EXP(-LN(2)/25)*EB71+(1-EXP(-LN(2)/25))/(LN(2)/25)*Calculateur!DW72*Calculateur!DY72*VLOOKUP('Données projet'!$B$14,Paramètres!$A$1:$I$89,3,0)*0.475*44/12</f>
        <v>5.524762556013469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36.719182743487259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77.885897614924062</v>
      </c>
      <c r="EP72" s="62">
        <f t="shared" si="100"/>
        <v>401.02460251355296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30.5162806181809</v>
      </c>
      <c r="EW72" s="23">
        <f>EXP(-LN(2)/25)*EW71+(1-EXP(-LN(2)/25))/(LN(2)/25)*Calculateur!ER72*Calculateur!ET72*VLOOKUP('Données projet'!$B$15,Paramètres!$A$1:$I$89,3,0)*0.475*44/12</f>
        <v>5.4046590221870892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35.92093964036799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837.81784375615575</v>
      </c>
      <c r="S73" s="62">
        <f ca="1">AVERAGE(OFFSET($R$3,0,0,'Données projet'!$E$9+1,1))-AVERAGE(OFFSET($H$3,0,0,'Données projet'!$E$9+1,1))</f>
        <v>426.87921482911719</v>
      </c>
      <c r="T73" s="62">
        <f t="shared" si="88"/>
        <v>313.49594674441835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797.58824495257795</v>
      </c>
      <c r="AN73" s="62">
        <f ca="1">AVERAGE(OFFSET($AM$3,0,0,'Données projet'!$E$10+1,1))-AVERAGE(OFFSET($H$3,0,0,'Données projet'!$E$10+1,1))</f>
        <v>462.95686283420531</v>
      </c>
      <c r="AO73" s="62">
        <f t="shared" si="90"/>
        <v>275.54513370838777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529</v>
      </c>
      <c r="BB73" s="13">
        <f>VLOOKUP(A73,'Données projet'!$A$87:$I$107,9,0)</f>
        <v>8.6</v>
      </c>
      <c r="BC73" s="13">
        <f t="array" ref="BC73">INDEX(BB:BB,MIN(IF(ISNUMBER(BB73:BB269),ROW(BB73:BB269),"")))</f>
        <v>8.6</v>
      </c>
      <c r="BD73" s="13">
        <f>IF('Données projet'!$A$88&gt;35,BD72+BC73-BL72,IF(A73&lt;'Données projet'!$A$88,$BA$205^A73,IF(A73='Données projet'!$A$88,'Données projet'!$B$88,BD72+BC73-BL72)))</f>
        <v>529.00000000000011</v>
      </c>
      <c r="BE73" s="14">
        <f>BD73*VLOOKUP('Données projet'!$B$11,Paramètres!$A$1:$I$89,3,0)*VLOOKUP('Données projet'!$B$11,Paramètres!$A$1:$I$89,5,0)</f>
        <v>316.3420000000001</v>
      </c>
      <c r="BF73" s="14">
        <f t="shared" si="91"/>
        <v>74.591727084692678</v>
      </c>
      <c r="BG73" s="22">
        <f t="shared" si="61"/>
        <v>680.87624133917325</v>
      </c>
      <c r="BH73" s="62">
        <f t="shared" si="62"/>
        <v>947.28178547618268</v>
      </c>
      <c r="BI73" s="62">
        <f ca="1">AVERAGE(OFFSET($BH$3,0,0,'Données projet'!$E$11+1,1))-AVERAGE(OFFSET($H$3,0,0,'Données projet'!$E$11+1,1))</f>
        <v>505.16888119060701</v>
      </c>
      <c r="BJ73" s="62">
        <f t="shared" si="92"/>
        <v>351.15312364640613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1.4346845859220863E-5</v>
      </c>
      <c r="BS73" s="24">
        <f t="shared" si="63"/>
        <v>1.4346845859220863E-5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68.195506926115257</v>
      </c>
      <c r="CE73" s="62">
        <f t="shared" si="94"/>
        <v>352.52565673897004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26.011930180816851</v>
      </c>
      <c r="CL73" s="23">
        <f>EXP(-LN(2)/25)*CL72+(1-EXP(-LN(2)/25))/(LN(2)/25)*Calculateur!CG73*Calculateur!CI73*VLOOKUP('Données projet'!$B$12,Paramètres!$A$1:$I$89,3,0)*0.475*44/12</f>
        <v>4.5705549707863966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30.582485151603247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77.885897614924062</v>
      </c>
      <c r="CZ73" s="62">
        <f t="shared" si="96"/>
        <v>401.02460251355296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29.917874968351661</v>
      </c>
      <c r="DG73" s="23">
        <f>EXP(-LN(2)/25)*DG72+(1-EXP(-LN(2)/25))/(LN(2)/25)*Calculateur!DB73*Calculateur!DD73*VLOOKUP('Données projet'!$B$13,Paramètres!$A$1:$I$89,3,0)*0.475*44/12</f>
        <v>5.2568683370067175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35.174743305358376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79.532301588639172</v>
      </c>
      <c r="DU73" s="62">
        <f t="shared" si="98"/>
        <v>409.2657792678549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30.582716634315013</v>
      </c>
      <c r="EB73" s="23">
        <f>EXP(-LN(2)/25)*EB72+(1-EXP(-LN(2)/25))/(LN(2)/25)*Calculateur!DW73*Calculateur!DY73*VLOOKUP('Données projet'!$B$14,Paramètres!$A$1:$I$89,3,0)*0.475*44/12</f>
        <v>5.3736876333846446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35.956404267699654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77.885897614924062</v>
      </c>
      <c r="EP73" s="62">
        <f t="shared" si="100"/>
        <v>401.02460251355296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29.917874968351661</v>
      </c>
      <c r="EW73" s="23">
        <f>EXP(-LN(2)/25)*EW72+(1-EXP(-LN(2)/25))/(LN(2)/25)*Calculateur!ER73*Calculateur!ET73*VLOOKUP('Données projet'!$B$15,Paramètres!$A$1:$I$89,3,0)*0.475*44/12</f>
        <v>5.2568683370067175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35.174743305358376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743.21234817933521</v>
      </c>
      <c r="S74" s="62">
        <f ca="1">AVERAGE(OFFSET($R$3,0,0,'Données projet'!$E$9+1,1))-AVERAGE(OFFSET($H$3,0,0,'Données projet'!$E$9+1,1))</f>
        <v>426.87921482911719</v>
      </c>
      <c r="T74" s="62">
        <f t="shared" si="88"/>
        <v>313.49594674441835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766.71786635780268</v>
      </c>
      <c r="AN74" s="62">
        <f ca="1">AVERAGE(OFFSET($AM$3,0,0,'Données projet'!$E$10+1,1))-AVERAGE(OFFSET($H$3,0,0,'Données projet'!$E$10+1,1))</f>
        <v>462.95686283420531</v>
      </c>
      <c r="AO74" s="62">
        <f t="shared" si="90"/>
        <v>275.54513370838777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7.2</v>
      </c>
      <c r="BD74" s="13">
        <f>IF('Données projet'!$A$88&gt;35,BD73+BC74-BL73,IF(A74&lt;'Données projet'!$A$88,$BA$205^A74,IF(A74='Données projet'!$A$88,'Données projet'!$B$88,BD73+BC74-BL73)))</f>
        <v>497.20000000000016</v>
      </c>
      <c r="BE74" s="14">
        <f>BD74*VLOOKUP('Données projet'!$B$11,Paramètres!$A$1:$I$89,3,0)*VLOOKUP('Données projet'!$B$11,Paramètres!$A$1:$I$89,5,0)</f>
        <v>297.32560000000012</v>
      </c>
      <c r="BF74" s="14">
        <f t="shared" si="91"/>
        <v>70.61551465359878</v>
      </c>
      <c r="BG74" s="22">
        <f t="shared" si="61"/>
        <v>640.83077468835143</v>
      </c>
      <c r="BH74" s="62">
        <f t="shared" si="62"/>
        <v>907.70345576639943</v>
      </c>
      <c r="BI74" s="62">
        <f ca="1">AVERAGE(OFFSET($BH$3,0,0,'Données projet'!$E$11+1,1))-AVERAGE(OFFSET($H$3,0,0,'Données projet'!$E$11+1,1))</f>
        <v>505.16888119060701</v>
      </c>
      <c r="BJ74" s="62">
        <f t="shared" si="92"/>
        <v>351.15312364640613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1.0144751995693212E-5</v>
      </c>
      <c r="BS74" s="24">
        <f t="shared" si="63"/>
        <v>1.0144751995693212E-5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68.195506926115257</v>
      </c>
      <c r="CE74" s="62">
        <f t="shared" si="94"/>
        <v>352.52565673897004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25.501852095681834</v>
      </c>
      <c r="CL74" s="23">
        <f>EXP(-LN(2)/25)*CL73+(1-EXP(-LN(2)/25))/(LN(2)/25)*Calculateur!CG74*Calculateur!CI74*VLOOKUP('Données projet'!$B$12,Paramètres!$A$1:$I$89,3,0)*0.475*44/12</f>
        <v>4.4455729047552026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29.947425000437036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77.885897614924062</v>
      </c>
      <c r="CZ74" s="62">
        <f t="shared" si="96"/>
        <v>401.02460251355296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29.331203688324166</v>
      </c>
      <c r="DG74" s="23">
        <f>EXP(-LN(2)/25)*DG73+(1-EXP(-LN(2)/25))/(LN(2)/25)*Calculateur!DB74*Calculateur!DD74*VLOOKUP('Données projet'!$B$13,Paramètres!$A$1:$I$89,3,0)*0.475*44/12</f>
        <v>5.1131189958845775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34.444322684208743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79.532301588639172</v>
      </c>
      <c r="DU74" s="62">
        <f t="shared" si="98"/>
        <v>409.2657792678549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29.983008214731349</v>
      </c>
      <c r="EB74" s="23">
        <f>EXP(-LN(2)/25)*EB73+(1-EXP(-LN(2)/25))/(LN(2)/25)*Calculateur!DW74*Calculateur!DY74*VLOOKUP('Données projet'!$B$14,Paramètres!$A$1:$I$89,3,0)*0.475*44/12</f>
        <v>5.2267438624597906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35.209752077191141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77.885897614924062</v>
      </c>
      <c r="EP74" s="62">
        <f t="shared" si="100"/>
        <v>401.02460251355296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29.331203688324166</v>
      </c>
      <c r="EW74" s="23">
        <f>EXP(-LN(2)/25)*EW73+(1-EXP(-LN(2)/25))/(LN(2)/25)*Calculateur!ER74*Calculateur!ET74*VLOOKUP('Données projet'!$B$15,Paramètres!$A$1:$I$89,3,0)*0.475*44/12</f>
        <v>5.1131189958845775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34.444322684208743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760.53430611092381</v>
      </c>
      <c r="S75" s="62">
        <f ca="1">AVERAGE(OFFSET($R$3,0,0,'Données projet'!$E$9+1,1))-AVERAGE(OFFSET($H$3,0,0,'Données projet'!$E$9+1,1))</f>
        <v>426.87921482911719</v>
      </c>
      <c r="T75" s="62">
        <f t="shared" si="88"/>
        <v>313.49594674441835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780.9188504098754</v>
      </c>
      <c r="AN75" s="62">
        <f ca="1">AVERAGE(OFFSET($AM$3,0,0,'Données projet'!$E$10+1,1))-AVERAGE(OFFSET($H$3,0,0,'Données projet'!$E$10+1,1))</f>
        <v>462.95686283420531</v>
      </c>
      <c r="AO75" s="62">
        <f t="shared" si="90"/>
        <v>275.54513370838777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7.2</v>
      </c>
      <c r="BD75" s="13">
        <f>IF('Données projet'!$A$88&gt;35,BD74+BC75-BL74,IF(A75&lt;'Données projet'!$A$88,$BA$205^A75,IF(A75='Données projet'!$A$88,'Données projet'!$B$88,BD74+BC75-BL74)))</f>
        <v>504.40000000000015</v>
      </c>
      <c r="BE75" s="14">
        <f>BD75*VLOOKUP('Données projet'!$B$11,Paramètres!$A$1:$I$89,3,0)*VLOOKUP('Données projet'!$B$11,Paramètres!$A$1:$I$89,5,0)</f>
        <v>301.63120000000015</v>
      </c>
      <c r="BF75" s="14">
        <f t="shared" si="91"/>
        <v>71.518317654219274</v>
      </c>
      <c r="BG75" s="22">
        <f t="shared" si="61"/>
        <v>649.90207658109887</v>
      </c>
      <c r="BH75" s="62">
        <f t="shared" si="62"/>
        <v>917.23379081862004</v>
      </c>
      <c r="BI75" s="62">
        <f ca="1">AVERAGE(OFFSET($BH$3,0,0,'Données projet'!$E$11+1,1))-AVERAGE(OFFSET($H$3,0,0,'Données projet'!$E$11+1,1))</f>
        <v>505.16888119060701</v>
      </c>
      <c r="BJ75" s="62">
        <f t="shared" si="92"/>
        <v>351.15312364640613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7.1734229296104315E-6</v>
      </c>
      <c r="BS75" s="24">
        <f t="shared" si="63"/>
        <v>7.1734229296104315E-6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68.195506926115257</v>
      </c>
      <c r="CE75" s="62">
        <f t="shared" si="94"/>
        <v>352.52565673897004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25.001776330679402</v>
      </c>
      <c r="CL75" s="23">
        <f>EXP(-LN(2)/25)*CL74+(1-EXP(-LN(2)/25))/(LN(2)/25)*Calculateur!CG75*Calculateur!CI75*VLOOKUP('Données projet'!$B$12,Paramètres!$A$1:$I$89,3,0)*0.475*44/12</f>
        <v>4.3240084798921528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29.325784810571555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77.885897614924062</v>
      </c>
      <c r="CZ75" s="62">
        <f t="shared" si="96"/>
        <v>401.02460251355296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28.756036674263861</v>
      </c>
      <c r="DG75" s="23">
        <f>EXP(-LN(2)/25)*DG74+(1-EXP(-LN(2)/25))/(LN(2)/25)*Calculateur!DB75*Calculateur!DD75*VLOOKUP('Données projet'!$B$13,Paramètres!$A$1:$I$89,3,0)*0.475*44/12</f>
        <v>4.9733004880548721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33.729337162318735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79.532301588639172</v>
      </c>
      <c r="DU75" s="62">
        <f t="shared" si="98"/>
        <v>409.2657792678549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29.395059711469706</v>
      </c>
      <c r="EB75" s="23">
        <f>EXP(-LN(2)/25)*EB74+(1-EXP(-LN(2)/25))/(LN(2)/25)*Calculateur!DW75*Calculateur!DY75*VLOOKUP('Données projet'!$B$14,Paramètres!$A$1:$I$89,3,0)*0.475*44/12</f>
        <v>5.083818276678314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34.478877988148021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77.885897614924062</v>
      </c>
      <c r="EP75" s="62">
        <f t="shared" si="100"/>
        <v>401.02460251355296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28.756036674263861</v>
      </c>
      <c r="EW75" s="23">
        <f>EXP(-LN(2)/25)*EW74+(1-EXP(-LN(2)/25))/(LN(2)/25)*Calculateur!ER75*Calculateur!ET75*VLOOKUP('Données projet'!$B$15,Paramètres!$A$1:$I$89,3,0)*0.475*44/12</f>
        <v>4.9733004880548721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33.729337162318735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777.83608293659154</v>
      </c>
      <c r="S76" s="62">
        <f ca="1">AVERAGE(OFFSET($R$3,0,0,'Données projet'!$E$9+1,1))-AVERAGE(OFFSET($H$3,0,0,'Données projet'!$E$9+1,1))</f>
        <v>426.87921482911719</v>
      </c>
      <c r="T76" s="62">
        <f t="shared" si="88"/>
        <v>313.49594674441835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795.10411045448245</v>
      </c>
      <c r="AN76" s="62">
        <f ca="1">AVERAGE(OFFSET($AM$3,0,0,'Données projet'!$E$10+1,1))-AVERAGE(OFFSET($H$3,0,0,'Données projet'!$E$10+1,1))</f>
        <v>462.95686283420531</v>
      </c>
      <c r="AO76" s="62">
        <f t="shared" si="90"/>
        <v>275.54513370838777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7.2</v>
      </c>
      <c r="BD76" s="13">
        <f>IF('Données projet'!$A$88&gt;35,BD75+BC76-BL75,IF(A76&lt;'Données projet'!$A$88,$BA$205^A76,IF(A76='Données projet'!$A$88,'Données projet'!$B$88,BD75+BC76-BL75)))</f>
        <v>511.60000000000014</v>
      </c>
      <c r="BE76" s="14">
        <f>BD76*VLOOKUP('Données projet'!$B$11,Paramètres!$A$1:$I$89,3,0)*VLOOKUP('Données projet'!$B$11,Paramètres!$A$1:$I$89,5,0)</f>
        <v>305.93680000000012</v>
      </c>
      <c r="BF76" s="14">
        <f t="shared" si="91"/>
        <v>72.419621804609037</v>
      </c>
      <c r="BG76" s="22">
        <f t="shared" si="61"/>
        <v>658.970767976361</v>
      </c>
      <c r="BH76" s="62">
        <f t="shared" si="62"/>
        <v>926.75355217428273</v>
      </c>
      <c r="BI76" s="62">
        <f ca="1">AVERAGE(OFFSET($BH$3,0,0,'Données projet'!$E$11+1,1))-AVERAGE(OFFSET($H$3,0,0,'Données projet'!$E$11+1,1))</f>
        <v>505.16888119060701</v>
      </c>
      <c r="BJ76" s="62">
        <f t="shared" si="92"/>
        <v>351.15312364640613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5.072375997846606E-6</v>
      </c>
      <c r="BS76" s="24">
        <f t="shared" si="63"/>
        <v>5.072375997846606E-6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68.195506926115257</v>
      </c>
      <c r="CE76" s="62">
        <f t="shared" si="94"/>
        <v>352.52565673897004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24.511506746412568</v>
      </c>
      <c r="CL76" s="23">
        <f>EXP(-LN(2)/25)*CL75+(1-EXP(-LN(2)/25))/(LN(2)/25)*Calculateur!CG76*Calculateur!CI76*VLOOKUP('Données projet'!$B$12,Paramètres!$A$1:$I$89,3,0)*0.475*44/12</f>
        <v>4.2057682406197783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28.717274987032347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77.885897614924062</v>
      </c>
      <c r="CZ76" s="62">
        <f t="shared" si="96"/>
        <v>401.02460251355296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28.192148334532042</v>
      </c>
      <c r="DG76" s="23">
        <f>EXP(-LN(2)/25)*DG75+(1-EXP(-LN(2)/25))/(LN(2)/25)*Calculateur!DB76*Calculateur!DD76*VLOOKUP('Données projet'!$B$13,Paramètres!$A$1:$I$89,3,0)*0.475*44/12</f>
        <v>4.8373053246745057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33.029453659206546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79.532301588639172</v>
      </c>
      <c r="DU76" s="62">
        <f t="shared" si="98"/>
        <v>409.2657792678549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28.818640519743845</v>
      </c>
      <c r="EB76" s="23">
        <f>EXP(-LN(2)/25)*EB75+(1-EXP(-LN(2)/25))/(LN(2)/25)*Calculateur!DW76*Calculateur!DY76*VLOOKUP('Données projet'!$B$14,Paramètres!$A$1:$I$89,3,0)*0.475*44/12</f>
        <v>4.9448009985561612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33.763441518300006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77.885897614924062</v>
      </c>
      <c r="EP76" s="62">
        <f t="shared" si="100"/>
        <v>401.02460251355296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28.192148334532042</v>
      </c>
      <c r="EW76" s="23">
        <f>EXP(-LN(2)/25)*EW75+(1-EXP(-LN(2)/25))/(LN(2)/25)*Calculateur!ER76*Calculateur!ET76*VLOOKUP('Données projet'!$B$15,Paramètres!$A$1:$I$89,3,0)*0.475*44/12</f>
        <v>4.8373053246745057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33.029453659206546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795.1182770689087</v>
      </c>
      <c r="S77" s="62">
        <f ca="1">AVERAGE(OFFSET($R$3,0,0,'Données projet'!$E$9+1,1))-AVERAGE(OFFSET($H$3,0,0,'Données projet'!$E$9+1,1))</f>
        <v>426.87921482911719</v>
      </c>
      <c r="T77" s="62">
        <f t="shared" si="88"/>
        <v>313.49594674441835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809.27401518500199</v>
      </c>
      <c r="AN77" s="62">
        <f ca="1">AVERAGE(OFFSET($AM$3,0,0,'Données projet'!$E$10+1,1))-AVERAGE(OFFSET($H$3,0,0,'Données projet'!$E$10+1,1))</f>
        <v>462.95686283420531</v>
      </c>
      <c r="AO77" s="62">
        <f t="shared" si="90"/>
        <v>275.54513370838777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7.2</v>
      </c>
      <c r="BD77" s="13">
        <f>IF('Données projet'!$A$88&gt;35,BD76+BC77-BL76,IF(A77&lt;'Données projet'!$A$88,$BA$205^A77,IF(A77='Données projet'!$A$88,'Données projet'!$B$88,BD76+BC77-BL76)))</f>
        <v>518.80000000000018</v>
      </c>
      <c r="BE77" s="14">
        <f>BD77*VLOOKUP('Données projet'!$B$11,Paramètres!$A$1:$I$89,3,0)*VLOOKUP('Données projet'!$B$11,Paramètres!$A$1:$I$89,5,0)</f>
        <v>310.24240000000009</v>
      </c>
      <c r="BF77" s="14">
        <f t="shared" si="91"/>
        <v>73.319450636463003</v>
      </c>
      <c r="BG77" s="22">
        <f t="shared" si="61"/>
        <v>668.03688985850647</v>
      </c>
      <c r="BH77" s="62">
        <f t="shared" si="62"/>
        <v>936.26291896145733</v>
      </c>
      <c r="BI77" s="62">
        <f ca="1">AVERAGE(OFFSET($BH$3,0,0,'Données projet'!$E$11+1,1))-AVERAGE(OFFSET($H$3,0,0,'Données projet'!$E$11+1,1))</f>
        <v>505.16888119060701</v>
      </c>
      <c r="BJ77" s="62">
        <f t="shared" si="92"/>
        <v>351.15312364640613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3.5867114648052158E-6</v>
      </c>
      <c r="BS77" s="24">
        <f t="shared" si="63"/>
        <v>3.5867114648052158E-6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68.195506926115257</v>
      </c>
      <c r="CE77" s="62">
        <f t="shared" si="94"/>
        <v>352.52565673897004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24.030851049658288</v>
      </c>
      <c r="CL77" s="23">
        <f>EXP(-LN(2)/25)*CL76+(1-EXP(-LN(2)/25))/(LN(2)/25)*Calculateur!CG77*Calculateur!CI77*VLOOKUP('Données projet'!$B$12,Paramètres!$A$1:$I$89,3,0)*0.475*44/12</f>
        <v>4.0907612869082914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28.121612336566578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77.885897614924062</v>
      </c>
      <c r="CZ77" s="62">
        <f t="shared" si="96"/>
        <v>401.02460251355296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27.639317501204438</v>
      </c>
      <c r="DG77" s="23">
        <f>EXP(-LN(2)/25)*DG76+(1-EXP(-LN(2)/25))/(LN(2)/25)*Calculateur!DB77*Calculateur!DD77*VLOOKUP('Données projet'!$B$13,Paramètres!$A$1:$I$89,3,0)*0.475*44/12</f>
        <v>4.7050289561884497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32.344346457392888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79.532301588639172</v>
      </c>
      <c r="DU77" s="62">
        <f t="shared" si="98"/>
        <v>409.2657792678549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28.253524556786736</v>
      </c>
      <c r="EB77" s="23">
        <f>EXP(-LN(2)/25)*EB76+(1-EXP(-LN(2)/25))/(LN(2)/25)*Calculateur!DW77*Calculateur!DY77*VLOOKUP('Données projet'!$B$14,Paramètres!$A$1:$I$89,3,0)*0.475*44/12</f>
        <v>4.8095851552148599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33.063109712001598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77.885897614924062</v>
      </c>
      <c r="EP77" s="62">
        <f t="shared" si="100"/>
        <v>401.02460251355296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27.639317501204438</v>
      </c>
      <c r="EW77" s="23">
        <f>EXP(-LN(2)/25)*EW76+(1-EXP(-LN(2)/25))/(LN(2)/25)*Calculateur!ER77*Calculateur!ET77*VLOOKUP('Données projet'!$B$15,Paramètres!$A$1:$I$89,3,0)*0.475*44/12</f>
        <v>4.7050289561884497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32.344346457392888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812.38145272125985</v>
      </c>
      <c r="S78" s="62">
        <f ca="1">AVERAGE(OFFSET($R$3,0,0,'Données projet'!$E$9+1,1))-AVERAGE(OFFSET($H$3,0,0,'Données projet'!$E$9+1,1))</f>
        <v>426.87921482911719</v>
      </c>
      <c r="T78" s="62">
        <f t="shared" si="88"/>
        <v>313.49594674441835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823.42891824978551</v>
      </c>
      <c r="AN78" s="62">
        <f ca="1">AVERAGE(OFFSET($AM$3,0,0,'Données projet'!$E$10+1,1))-AVERAGE(OFFSET($H$3,0,0,'Données projet'!$E$10+1,1))</f>
        <v>462.95686283420531</v>
      </c>
      <c r="AO78" s="62">
        <f t="shared" si="90"/>
        <v>275.54513370838777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7.2</v>
      </c>
      <c r="BD78" s="13">
        <f>IF('Données projet'!$A$88&gt;35,BD77+BC78-BL77,IF(A78&lt;'Données projet'!$A$88,$BA$205^A78,IF(A78='Données projet'!$A$88,'Données projet'!$B$88,BD77+BC78-BL77)))</f>
        <v>526.00000000000023</v>
      </c>
      <c r="BE78" s="14">
        <f>BD78*VLOOKUP('Données projet'!$B$11,Paramètres!$A$1:$I$89,3,0)*VLOOKUP('Données projet'!$B$11,Paramètres!$A$1:$I$89,5,0)</f>
        <v>314.54800000000017</v>
      </c>
      <c r="BF78" s="14">
        <f t="shared" si="91"/>
        <v>74.217826990800262</v>
      </c>
      <c r="BG78" s="22">
        <f t="shared" si="61"/>
        <v>677.10048200897734</v>
      </c>
      <c r="BH78" s="62">
        <f t="shared" si="62"/>
        <v>945.76206670880219</v>
      </c>
      <c r="BI78" s="62">
        <f ca="1">AVERAGE(OFFSET($BH$3,0,0,'Données projet'!$E$11+1,1))-AVERAGE(OFFSET($H$3,0,0,'Données projet'!$E$11+1,1))</f>
        <v>505.16888119060701</v>
      </c>
      <c r="BJ78" s="62">
        <f t="shared" si="92"/>
        <v>351.15312364640613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2.536187998923303E-6</v>
      </c>
      <c r="BS78" s="24">
        <f t="shared" si="63"/>
        <v>2.536187998923303E-6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68.195506926115257</v>
      </c>
      <c r="CE78" s="62">
        <f t="shared" si="94"/>
        <v>352.52565673897004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23.559620717946334</v>
      </c>
      <c r="CL78" s="23">
        <f>EXP(-LN(2)/25)*CL77+(1-EXP(-LN(2)/25))/(LN(2)/25)*Calculateur!CG78*Calculateur!CI78*VLOOKUP('Données projet'!$B$12,Paramètres!$A$1:$I$89,3,0)*0.475*44/12</f>
        <v>3.9788992043939979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27.538519922340331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77.885897614924062</v>
      </c>
      <c r="CZ78" s="62">
        <f t="shared" si="96"/>
        <v>401.02460251355296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27.097327343324874</v>
      </c>
      <c r="DG78" s="23">
        <f>EXP(-LN(2)/25)*DG77+(1-EXP(-LN(2)/25))/(LN(2)/25)*Calculateur!DB78*Calculateur!DD78*VLOOKUP('Données projet'!$B$13,Paramètres!$A$1:$I$89,3,0)*0.475*44/12</f>
        <v>4.5763696919547572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31.673697035279631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79.532301588639172</v>
      </c>
      <c r="DU78" s="62">
        <f t="shared" si="98"/>
        <v>409.2657792678549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27.699490173176518</v>
      </c>
      <c r="EB78" s="23">
        <f>EXP(-LN(2)/25)*EB77+(1-EXP(-LN(2)/25))/(LN(2)/25)*Calculateur!DW78*Calculateur!DY78*VLOOKUP('Données projet'!$B$14,Paramètres!$A$1:$I$89,3,0)*0.475*44/12</f>
        <v>4.6780667962204188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32.377556969396935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77.885897614924062</v>
      </c>
      <c r="EP78" s="62">
        <f t="shared" si="100"/>
        <v>401.02460251355296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27.097327343324874</v>
      </c>
      <c r="EW78" s="23">
        <f>EXP(-LN(2)/25)*EW77+(1-EXP(-LN(2)/25))/(LN(2)/25)*Calculateur!ER78*Calculateur!ET78*VLOOKUP('Données projet'!$B$15,Paramètres!$A$1:$I$89,3,0)*0.475*44/12</f>
        <v>4.5763696919547572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31.673697035279631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829.62614308333605</v>
      </c>
      <c r="S79" s="62">
        <f ca="1">AVERAGE(OFFSET($R$3,0,0,'Données projet'!$E$9+1,1))-AVERAGE(OFFSET($H$3,0,0,'Données projet'!$E$9+1,1))</f>
        <v>426.87921482911719</v>
      </c>
      <c r="T79" s="62">
        <f t="shared" si="88"/>
        <v>313.49594674441835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10.199999999999999</v>
      </c>
      <c r="AI79" s="14">
        <f>IF('Données projet'!$A$62&gt;35,AI78+AH79-AQ78,IF(A79&lt;'Données projet'!$A$62,$AF$205^A79,IF(A79='Données projet'!$A$62,'Données projet'!$B$62,AI78+AH79-AQ78)))</f>
        <v>242.2000000000001</v>
      </c>
      <c r="AJ79" s="14">
        <f>AI79*VLOOKUP('Données projet'!$B$10,Paramètres!$A$1:$I$89,3,0)*VLOOKUP('Données projet'!$B$10,Paramètres!$A$1:$I$89,5,0)</f>
        <v>245.59080000000012</v>
      </c>
      <c r="AK79" s="14">
        <f t="shared" si="89"/>
        <v>59.640801464853126</v>
      </c>
      <c r="AL79" s="22">
        <f t="shared" si="58"/>
        <v>531.61170588461948</v>
      </c>
      <c r="AM79" s="62">
        <f t="shared" si="59"/>
        <v>800.70129026546897</v>
      </c>
      <c r="AN79" s="62">
        <f ca="1">AVERAGE(OFFSET($AM$3,0,0,'Données projet'!$E$10+1,1))-AVERAGE(OFFSET($H$3,0,0,'Données projet'!$E$10+1,1))</f>
        <v>462.95686283420531</v>
      </c>
      <c r="AO79" s="62">
        <f t="shared" si="90"/>
        <v>275.54513370838777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533.20000000000027</v>
      </c>
      <c r="BE79" s="14">
        <f>BD79*VLOOKUP('Données projet'!$B$11,Paramètres!$A$1:$I$89,3,0)*VLOOKUP('Données projet'!$B$11,Paramètres!$A$1:$I$89,5,0)</f>
        <v>318.8536000000002</v>
      </c>
      <c r="BF79" s="14">
        <f t="shared" si="91"/>
        <v>75.114773047407027</v>
      </c>
      <c r="BG79" s="22">
        <f t="shared" si="61"/>
        <v>686.16158305756755</v>
      </c>
      <c r="BH79" s="62">
        <f t="shared" si="62"/>
        <v>955.25116743841704</v>
      </c>
      <c r="BI79" s="62">
        <f ca="1">AVERAGE(OFFSET($BH$3,0,0,'Données projet'!$E$11+1,1))-AVERAGE(OFFSET($H$3,0,0,'Données projet'!$E$11+1,1))</f>
        <v>505.16888119060701</v>
      </c>
      <c r="BJ79" s="62">
        <f t="shared" si="92"/>
        <v>351.15312364640613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1.7933557324026079E-6</v>
      </c>
      <c r="BS79" s="24">
        <f t="shared" si="63"/>
        <v>1.7933557324026079E-6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68.195506926115257</v>
      </c>
      <c r="CE79" s="62">
        <f t="shared" si="94"/>
        <v>352.52565673897004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23.097630925617128</v>
      </c>
      <c r="CL79" s="23">
        <f>EXP(-LN(2)/25)*CL78+(1-EXP(-LN(2)/25))/(LN(2)/25)*Calculateur!CG79*Calculateur!CI79*VLOOKUP('Données projet'!$B$12,Paramètres!$A$1:$I$89,3,0)*0.475*44/12</f>
        <v>3.8700959964086286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26.967726922025758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77.885897614924062</v>
      </c>
      <c r="CZ79" s="62">
        <f t="shared" si="96"/>
        <v>401.02460251355296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26.565965281859974</v>
      </c>
      <c r="DG79" s="23">
        <f>EXP(-LN(2)/25)*DG78+(1-EXP(-LN(2)/25))/(LN(2)/25)*Calculateur!DB79*Calculateur!DD79*VLOOKUP('Données projet'!$B$13,Paramètres!$A$1:$I$89,3,0)*0.475*44/12</f>
        <v>4.4512286220674318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31.017193903927406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79.532301588639172</v>
      </c>
      <c r="DU79" s="62">
        <f t="shared" si="98"/>
        <v>409.2657792678549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27.156320065901287</v>
      </c>
      <c r="EB79" s="23">
        <f>EXP(-LN(2)/25)*EB78+(1-EXP(-LN(2)/25))/(LN(2)/25)*Calculateur!DW79*Calculateur!DY79*VLOOKUP('Données projet'!$B$14,Paramètres!$A$1:$I$89,3,0)*0.475*44/12</f>
        <v>4.5501448136689309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31.70646487957022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77.885897614924062</v>
      </c>
      <c r="EP79" s="62">
        <f t="shared" si="100"/>
        <v>401.02460251355296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26.565965281859974</v>
      </c>
      <c r="EW79" s="23">
        <f>EXP(-LN(2)/25)*EW78+(1-EXP(-LN(2)/25))/(LN(2)/25)*Calculateur!ER79*Calculateur!ET79*VLOOKUP('Données projet'!$B$15,Paramètres!$A$1:$I$89,3,0)*0.475*44/12</f>
        <v>4.4512286220674318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31.017193903927406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846.85285310043082</v>
      </c>
      <c r="S80" s="62">
        <f ca="1">AVERAGE(OFFSET($R$3,0,0,'Données projet'!$E$9+1,1))-AVERAGE(OFFSET($H$3,0,0,'Données projet'!$E$9+1,1))</f>
        <v>426.87921482911719</v>
      </c>
      <c r="T80" s="62">
        <f t="shared" si="88"/>
        <v>313.49594674441835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10.199999999999999</v>
      </c>
      <c r="AI80" s="14">
        <f>IF('Données projet'!$A$62&gt;35,AI79+AH80-AQ79,IF(A80&lt;'Données projet'!$A$62,$AF$205^A80,IF(A80='Données projet'!$A$62,'Données projet'!$B$62,AI79+AH80-AQ79)))</f>
        <v>252.40000000000009</v>
      </c>
      <c r="AJ80" s="14">
        <f>AI80*VLOOKUP('Données projet'!$B$10,Paramètres!$A$1:$I$89,3,0)*VLOOKUP('Données projet'!$B$10,Paramètres!$A$1:$I$89,5,0)</f>
        <v>255.9336000000001</v>
      </c>
      <c r="AK80" s="14">
        <f t="shared" si="89"/>
        <v>61.85479217682358</v>
      </c>
      <c r="AL80" s="22">
        <f t="shared" si="58"/>
        <v>553.48144970796784</v>
      </c>
      <c r="AM80" s="62">
        <f t="shared" si="59"/>
        <v>822.99160893224007</v>
      </c>
      <c r="AN80" s="62">
        <f ca="1">AVERAGE(OFFSET($AM$3,0,0,'Données projet'!$E$10+1,1))-AVERAGE(OFFSET($H$3,0,0,'Données projet'!$E$10+1,1))</f>
        <v>462.95686283420531</v>
      </c>
      <c r="AO80" s="62">
        <f t="shared" si="90"/>
        <v>275.54513370838777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540.40000000000032</v>
      </c>
      <c r="BE80" s="14">
        <f>BD80*VLOOKUP('Données projet'!$B$11,Paramètres!$A$1:$I$89,3,0)*VLOOKUP('Données projet'!$B$11,Paramètres!$A$1:$I$89,5,0)</f>
        <v>323.15920000000023</v>
      </c>
      <c r="BF80" s="14">
        <f t="shared" si="91"/>
        <v>76.010310352644041</v>
      </c>
      <c r="BG80" s="22">
        <f t="shared" si="61"/>
        <v>695.22023053085525</v>
      </c>
      <c r="BH80" s="62">
        <f t="shared" si="62"/>
        <v>964.73038975512759</v>
      </c>
      <c r="BI80" s="62">
        <f ca="1">AVERAGE(OFFSET($BH$3,0,0,'Données projet'!$E$11+1,1))-AVERAGE(OFFSET($H$3,0,0,'Données projet'!$E$11+1,1))</f>
        <v>505.16888119060701</v>
      </c>
      <c r="BJ80" s="62">
        <f t="shared" si="92"/>
        <v>351.15312364640613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1.2680939994616515E-6</v>
      </c>
      <c r="BS80" s="24">
        <f t="shared" si="63"/>
        <v>1.2680939994616515E-6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68.195506926115257</v>
      </c>
      <c r="CE80" s="62">
        <f t="shared" si="94"/>
        <v>352.52565673897004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22.64470047132955</v>
      </c>
      <c r="CL80" s="23">
        <f>EXP(-LN(2)/25)*CL79+(1-EXP(-LN(2)/25))/(LN(2)/25)*Calculateur!CG80*Calculateur!CI80*VLOOKUP('Données projet'!$B$12,Paramètres!$A$1:$I$89,3,0)*0.475*44/12</f>
        <v>3.7642680178673316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26.40896848919688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77.885897614924062</v>
      </c>
      <c r="CZ80" s="62">
        <f t="shared" si="96"/>
        <v>401.02460251355296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26.045022906321545</v>
      </c>
      <c r="DG80" s="23">
        <f>EXP(-LN(2)/25)*DG79+(1-EXP(-LN(2)/25))/(LN(2)/25)*Calculateur!DB80*Calculateur!DD80*VLOOKUP('Données projet'!$B$13,Paramètres!$A$1:$I$89,3,0)*0.475*44/12</f>
        <v>4.3295095413170577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30.374532447638604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79.532301588639172</v>
      </c>
      <c r="DU80" s="62">
        <f t="shared" si="98"/>
        <v>409.2657792678549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26.623801193128671</v>
      </c>
      <c r="EB80" s="23">
        <f>EXP(-LN(2)/25)*EB79+(1-EXP(-LN(2)/25))/(LN(2)/25)*Calculateur!DW80*Calculateur!DY80*VLOOKUP('Données projet'!$B$14,Paramètres!$A$1:$I$89,3,0)*0.475*44/12</f>
        <v>4.4257208644574373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31.04952205758611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77.885897614924062</v>
      </c>
      <c r="EP80" s="62">
        <f t="shared" si="100"/>
        <v>401.02460251355296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26.045022906321545</v>
      </c>
      <c r="EW80" s="23">
        <f>EXP(-LN(2)/25)*EW79+(1-EXP(-LN(2)/25))/(LN(2)/25)*Calculateur!ER80*Calculateur!ET80*VLOOKUP('Données projet'!$B$15,Paramètres!$A$1:$I$89,3,0)*0.475*44/12</f>
        <v>4.3295095413170577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30.374532447638604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864.06206191674335</v>
      </c>
      <c r="S81" s="62">
        <f ca="1">AVERAGE(OFFSET($R$3,0,0,'Données projet'!$E$9+1,1))-AVERAGE(OFFSET($H$3,0,0,'Données projet'!$E$9+1,1))</f>
        <v>426.87921482911719</v>
      </c>
      <c r="T81" s="62">
        <f t="shared" si="88"/>
        <v>313.49594674441835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10.199999999999999</v>
      </c>
      <c r="AI81" s="14">
        <f>IF('Données projet'!$A$62&gt;35,AI80+AH81-AQ80,IF(A81&lt;'Données projet'!$A$62,$AF$205^A81,IF(A81='Données projet'!$A$62,'Données projet'!$B$62,AI80+AH81-AQ80)))</f>
        <v>262.60000000000008</v>
      </c>
      <c r="AJ81" s="14">
        <f>AI81*VLOOKUP('Données projet'!$B$10,Paramètres!$A$1:$I$89,3,0)*VLOOKUP('Données projet'!$B$10,Paramètres!$A$1:$I$89,5,0)</f>
        <v>266.27640000000008</v>
      </c>
      <c r="AK81" s="14">
        <f t="shared" si="89"/>
        <v>64.058389829439747</v>
      </c>
      <c r="AL81" s="22">
        <f t="shared" si="58"/>
        <v>575.33309228627434</v>
      </c>
      <c r="AM81" s="62">
        <f t="shared" si="59"/>
        <v>845.25653032070056</v>
      </c>
      <c r="AN81" s="62">
        <f ca="1">AVERAGE(OFFSET($AM$3,0,0,'Données projet'!$E$10+1,1))-AVERAGE(OFFSET($H$3,0,0,'Données projet'!$E$10+1,1))</f>
        <v>462.95686283420531</v>
      </c>
      <c r="AO81" s="62">
        <f t="shared" si="90"/>
        <v>275.54513370838777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547.60000000000036</v>
      </c>
      <c r="BE81" s="14">
        <f>BD81*VLOOKUP('Données projet'!$B$11,Paramètres!$A$1:$I$89,3,0)*VLOOKUP('Données projet'!$B$11,Paramètres!$A$1:$I$89,5,0)</f>
        <v>327.46480000000025</v>
      </c>
      <c r="BF81" s="14">
        <f t="shared" si="91"/>
        <v>76.904459845729548</v>
      </c>
      <c r="BG81" s="22">
        <f t="shared" si="61"/>
        <v>704.27646089797929</v>
      </c>
      <c r="BH81" s="62">
        <f t="shared" si="62"/>
        <v>974.19989893240552</v>
      </c>
      <c r="BI81" s="62">
        <f ca="1">AVERAGE(OFFSET($BH$3,0,0,'Données projet'!$E$11+1,1))-AVERAGE(OFFSET($H$3,0,0,'Données projet'!$E$11+1,1))</f>
        <v>505.16888119060701</v>
      </c>
      <c r="BJ81" s="62">
        <f t="shared" si="92"/>
        <v>351.15312364640613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8.9667786620130394E-7</v>
      </c>
      <c r="BS81" s="24">
        <f t="shared" si="63"/>
        <v>8.9667786620130394E-7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68.195506926115257</v>
      </c>
      <c r="CE81" s="62">
        <f t="shared" si="94"/>
        <v>352.52565673897004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22.200651706990254</v>
      </c>
      <c r="CL81" s="23">
        <f>EXP(-LN(2)/25)*CL80+(1-EXP(-LN(2)/25))/(LN(2)/25)*Calculateur!CG81*Calculateur!CI81*VLOOKUP('Données projet'!$B$12,Paramètres!$A$1:$I$89,3,0)*0.475*44/12</f>
        <v>3.6613339109644976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25.861985617954751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77.885897614924062</v>
      </c>
      <c r="CZ81" s="62">
        <f t="shared" si="96"/>
        <v>401.02460251355296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25.534295893023952</v>
      </c>
      <c r="DG81" s="23">
        <f>EXP(-LN(2)/25)*DG80+(1-EXP(-LN(2)/25))/(LN(2)/25)*Calculateur!DB81*Calculateur!DD81*VLOOKUP('Données projet'!$B$13,Paramètres!$A$1:$I$89,3,0)*0.475*44/12</f>
        <v>4.2111188752307314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29.745414768254683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79.532301588639172</v>
      </c>
      <c r="DU81" s="62">
        <f t="shared" si="98"/>
        <v>409.2657792678549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26.101724690646684</v>
      </c>
      <c r="EB81" s="23">
        <f>EXP(-LN(2)/25)*EB80+(1-EXP(-LN(2)/25))/(LN(2)/25)*Calculateur!DW81*Calculateur!DY81*VLOOKUP('Données projet'!$B$14,Paramètres!$A$1:$I$89,3,0)*0.475*44/12</f>
        <v>4.3046992946803035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30.406423985326988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77.885897614924062</v>
      </c>
      <c r="EP81" s="62">
        <f t="shared" si="100"/>
        <v>401.02460251355296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25.534295893023952</v>
      </c>
      <c r="EW81" s="23">
        <f>EXP(-LN(2)/25)*EW80+(1-EXP(-LN(2)/25))/(LN(2)/25)*Calculateur!ER81*Calculateur!ET81*VLOOKUP('Données projet'!$B$15,Paramètres!$A$1:$I$89,3,0)*0.475*44/12</f>
        <v>4.2111188752307314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29.745414768254683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881.25422503226014</v>
      </c>
      <c r="S82" s="62">
        <f ca="1">AVERAGE(OFFSET($R$3,0,0,'Données projet'!$E$9+1,1))-AVERAGE(OFFSET($H$3,0,0,'Données projet'!$E$9+1,1))</f>
        <v>426.87921482911719</v>
      </c>
      <c r="T82" s="62">
        <f t="shared" si="88"/>
        <v>313.49594674441835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10.199999999999999</v>
      </c>
      <c r="AI82" s="14">
        <f>IF('Données projet'!$A$62&gt;35,AI81+AH82-AQ81,IF(A82&lt;'Données projet'!$A$62,$AF$205^A82,IF(A82='Données projet'!$A$62,'Données projet'!$B$62,AI81+AH82-AQ81)))</f>
        <v>272.80000000000007</v>
      </c>
      <c r="AJ82" s="14">
        <f>AI82*VLOOKUP('Données projet'!$B$10,Paramètres!$A$1:$I$89,3,0)*VLOOKUP('Données projet'!$B$10,Paramètres!$A$1:$I$89,5,0)</f>
        <v>276.61920000000009</v>
      </c>
      <c r="AK82" s="14">
        <f t="shared" si="89"/>
        <v>66.252044316235512</v>
      </c>
      <c r="AL82" s="22">
        <f t="shared" si="58"/>
        <v>597.16741718411038</v>
      </c>
      <c r="AM82" s="62">
        <f t="shared" si="59"/>
        <v>867.49696456528727</v>
      </c>
      <c r="AN82" s="62">
        <f ca="1">AVERAGE(OFFSET($AM$3,0,0,'Données projet'!$E$10+1,1))-AVERAGE(OFFSET($H$3,0,0,'Données projet'!$E$10+1,1))</f>
        <v>462.95686283420531</v>
      </c>
      <c r="AO82" s="62">
        <f t="shared" si="90"/>
        <v>275.54513370838777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554.80000000000041</v>
      </c>
      <c r="BE82" s="14">
        <f>BD82*VLOOKUP('Données projet'!$B$11,Paramètres!$A$1:$I$89,3,0)*VLOOKUP('Données projet'!$B$11,Paramètres!$A$1:$I$89,5,0)</f>
        <v>331.77040000000028</v>
      </c>
      <c r="BF82" s="14">
        <f t="shared" si="91"/>
        <v>77.797241883601799</v>
      </c>
      <c r="BG82" s="22">
        <f t="shared" si="61"/>
        <v>713.33030961394024</v>
      </c>
      <c r="BH82" s="62">
        <f t="shared" si="62"/>
        <v>983.65985699511725</v>
      </c>
      <c r="BI82" s="62">
        <f ca="1">AVERAGE(OFFSET($BH$3,0,0,'Données projet'!$E$11+1,1))-AVERAGE(OFFSET($H$3,0,0,'Données projet'!$E$11+1,1))</f>
        <v>505.16888119060701</v>
      </c>
      <c r="BJ82" s="62">
        <f t="shared" si="92"/>
        <v>351.15312364640613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6.3404699973082575E-7</v>
      </c>
      <c r="BS82" s="24">
        <f t="shared" si="63"/>
        <v>6.3404699973082575E-7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68.195506926115257</v>
      </c>
      <c r="CE82" s="62">
        <f t="shared" si="94"/>
        <v>352.52565673897004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21.765310468076649</v>
      </c>
      <c r="CL82" s="23">
        <f>EXP(-LN(2)/25)*CL81+(1-EXP(-LN(2)/25))/(LN(2)/25)*Calculateur!CG82*Calculateur!CI82*VLOOKUP('Données projet'!$B$12,Paramètres!$A$1:$I$89,3,0)*0.475*44/12</f>
        <v>3.5612145426279911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25.326525010704639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77.885897614924062</v>
      </c>
      <c r="CZ82" s="62">
        <f t="shared" si="96"/>
        <v>401.02460251355296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25.033583924944406</v>
      </c>
      <c r="DG82" s="23">
        <f>EXP(-LN(2)/25)*DG81+(1-EXP(-LN(2)/25))/(LN(2)/25)*Calculateur!DB82*Calculateur!DD82*VLOOKUP('Données projet'!$B$13,Paramètres!$A$1:$I$89,3,0)*0.475*44/12</f>
        <v>4.0959656081344304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29.129549533078837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79.532301588639172</v>
      </c>
      <c r="DU82" s="62">
        <f t="shared" si="98"/>
        <v>409.2657792678549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25.589885789943146</v>
      </c>
      <c r="EB82" s="23">
        <f>EXP(-LN(2)/25)*EB81+(1-EXP(-LN(2)/25))/(LN(2)/25)*Calculateur!DW82*Calculateur!DY82*VLOOKUP('Données projet'!$B$14,Paramètres!$A$1:$I$89,3,0)*0.475*44/12</f>
        <v>4.1869870660929731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29.776872856036121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77.885897614924062</v>
      </c>
      <c r="EP82" s="62">
        <f t="shared" si="100"/>
        <v>401.02460251355296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25.033583924944406</v>
      </c>
      <c r="EW82" s="23">
        <f>EXP(-LN(2)/25)*EW81+(1-EXP(-LN(2)/25))/(LN(2)/25)*Calculateur!ER82*Calculateur!ET82*VLOOKUP('Données projet'!$B$15,Paramètres!$A$1:$I$89,3,0)*0.475*44/12</f>
        <v>4.0959656081344304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29.129549533078837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898.42977621426758</v>
      </c>
      <c r="S83" s="62">
        <f ca="1">AVERAGE(OFFSET($R$3,0,0,'Données projet'!$E$9+1,1))-AVERAGE(OFFSET($H$3,0,0,'Données projet'!$E$9+1,1))</f>
        <v>426.87921482911719</v>
      </c>
      <c r="T83" s="62">
        <f t="shared" si="88"/>
        <v>313.49594674441835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283</v>
      </c>
      <c r="AG83" s="13">
        <f>VLOOKUP(A83,'Données projet'!$A$61:$I$81,9,0)</f>
        <v>10.199999999999999</v>
      </c>
      <c r="AH83" s="13">
        <f t="array" ref="AH83">INDEX(AG:AG,MIN(IF(ISNUMBER(AG83:AG279),ROW(AG83:AG279),"")))</f>
        <v>10.199999999999999</v>
      </c>
      <c r="AI83" s="14">
        <f>IF('Données projet'!$A$62&gt;35,AI82+AH83-AQ82,IF(A83&lt;'Données projet'!$A$62,$AF$205^A83,IF(A83='Données projet'!$A$62,'Données projet'!$B$62,AI82+AH83-AQ82)))</f>
        <v>283.00000000000006</v>
      </c>
      <c r="AJ83" s="14">
        <f>AI83*VLOOKUP('Données projet'!$B$10,Paramètres!$A$1:$I$89,3,0)*VLOOKUP('Données projet'!$B$10,Paramètres!$A$1:$I$89,5,0)</f>
        <v>286.9620000000001</v>
      </c>
      <c r="AK83" s="14">
        <f t="shared" si="89"/>
        <v>68.436169981717924</v>
      </c>
      <c r="AL83" s="22">
        <f t="shared" si="58"/>
        <v>618.98514605149205</v>
      </c>
      <c r="AM83" s="62">
        <f t="shared" si="59"/>
        <v>889.71375769017823</v>
      </c>
      <c r="AN83" s="62">
        <f ca="1">AVERAGE(OFFSET($AM$3,0,0,'Données projet'!$E$10+1,1))-AVERAGE(OFFSET($H$3,0,0,'Données projet'!$E$10+1,1))</f>
        <v>462.95686283420531</v>
      </c>
      <c r="AO83" s="62">
        <f t="shared" si="90"/>
        <v>275.54513370838777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562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562.00000000000045</v>
      </c>
      <c r="BE83" s="14">
        <f>BD83*VLOOKUP('Données projet'!$B$11,Paramètres!$A$1:$I$89,3,0)*VLOOKUP('Données projet'!$B$11,Paramètres!$A$1:$I$89,5,0)</f>
        <v>336.07600000000031</v>
      </c>
      <c r="BF83" s="14">
        <f t="shared" si="91"/>
        <v>78.688676264452312</v>
      </c>
      <c r="BG83" s="22">
        <f t="shared" si="61"/>
        <v>722.38181116058831</v>
      </c>
      <c r="BH83" s="62">
        <f t="shared" si="62"/>
        <v>993.11042279927437</v>
      </c>
      <c r="BI83" s="62">
        <f ca="1">AVERAGE(OFFSET($BH$3,0,0,'Données projet'!$E$11+1,1))-AVERAGE(OFFSET($H$3,0,0,'Données projet'!$E$11+1,1))</f>
        <v>505.16888119060701</v>
      </c>
      <c r="BJ83" s="62">
        <f t="shared" si="92"/>
        <v>351.15312364640613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4.4833893310065197E-7</v>
      </c>
      <c r="BS83" s="24">
        <f t="shared" si="63"/>
        <v>4.4833893310065197E-7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68.195506926115257</v>
      </c>
      <c r="CE83" s="62">
        <f t="shared" si="94"/>
        <v>352.52565673897004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21.338506005326202</v>
      </c>
      <c r="CL83" s="23">
        <f>EXP(-LN(2)/25)*CL82+(1-EXP(-LN(2)/25))/(LN(2)/25)*Calculateur!CG83*Calculateur!CI83*VLOOKUP('Données projet'!$B$12,Paramètres!$A$1:$I$89,3,0)*0.475*44/12</f>
        <v>3.4638329436836952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24.802338949009897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77.885897614924062</v>
      </c>
      <c r="CZ83" s="62">
        <f t="shared" si="96"/>
        <v>401.02460251355296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24.542690613154754</v>
      </c>
      <c r="DG83" s="23">
        <f>EXP(-LN(2)/25)*DG82+(1-EXP(-LN(2)/25))/(LN(2)/25)*Calculateur!DB83*Calculateur!DD83*VLOOKUP('Données projet'!$B$13,Paramètres!$A$1:$I$89,3,0)*0.475*44/12</f>
        <v>3.9839612131825244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28.526651826337279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79.532301588639172</v>
      </c>
      <c r="DU83" s="62">
        <f t="shared" si="98"/>
        <v>409.2657792678549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25.088083737891502</v>
      </c>
      <c r="EB83" s="23">
        <f>EXP(-LN(2)/25)*EB82+(1-EXP(-LN(2)/25))/(LN(2)/25)*Calculateur!DW83*Calculateur!DY83*VLOOKUP('Données projet'!$B$14,Paramètres!$A$1:$I$89,3,0)*0.475*44/12</f>
        <v>4.07249368458658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29.160577422478081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77.885897614924062</v>
      </c>
      <c r="EP83" s="62">
        <f t="shared" si="100"/>
        <v>401.02460251355296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24.542690613154754</v>
      </c>
      <c r="EW83" s="23">
        <f>EXP(-LN(2)/25)*EW82+(1-EXP(-LN(2)/25))/(LN(2)/25)*Calculateur!ER83*Calculateur!ET83*VLOOKUP('Données projet'!$B$15,Paramètres!$A$1:$I$89,3,0)*0.475*44/12</f>
        <v>3.9839612131825244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28.526651826337279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793.55675165699495</v>
      </c>
      <c r="S84" s="62">
        <f ca="1">AVERAGE(OFFSET($R$3,0,0,'Données projet'!$E$9+1,1))-AVERAGE(OFFSET($H$3,0,0,'Données projet'!$E$9+1,1))</f>
        <v>426.87921482911719</v>
      </c>
      <c r="T84" s="62">
        <f t="shared" si="88"/>
        <v>313.49594674441835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267.60000000000008</v>
      </c>
      <c r="AJ84" s="14">
        <f>AI84*VLOOKUP('Données projet'!$B$10,Paramètres!$A$1:$I$89,3,0)*VLOOKUP('Données projet'!$B$10,Paramètres!$A$1:$I$89,5,0)</f>
        <v>271.34640000000007</v>
      </c>
      <c r="AK84" s="14">
        <f t="shared" si="89"/>
        <v>65.134926573557365</v>
      </c>
      <c r="AL84" s="22">
        <f t="shared" si="58"/>
        <v>586.03831044894594</v>
      </c>
      <c r="AM84" s="62">
        <f t="shared" si="59"/>
        <v>857.15906347244731</v>
      </c>
      <c r="AN84" s="62">
        <f ca="1">AVERAGE(OFFSET($AM$3,0,0,'Données projet'!$E$10+1,1))-AVERAGE(OFFSET($H$3,0,0,'Données projet'!$E$10+1,1))</f>
        <v>462.95686283420531</v>
      </c>
      <c r="AO84" s="62">
        <f t="shared" si="90"/>
        <v>275.54513370838777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6.6</v>
      </c>
      <c r="BD84" s="13">
        <f>IF('Données projet'!$A$88&gt;35,BD83+BC84-BL83,IF(A84&lt;'Données projet'!$A$88,$BA$205^A84,IF(A84='Données projet'!$A$88,'Données projet'!$B$88,BD83+BC84-BL83)))</f>
        <v>532.60000000000048</v>
      </c>
      <c r="BE84" s="14">
        <f>BD84*VLOOKUP('Données projet'!$B$11,Paramètres!$A$1:$I$89,3,0)*VLOOKUP('Données projet'!$B$11,Paramètres!$A$1:$I$89,5,0)</f>
        <v>318.49480000000034</v>
      </c>
      <c r="BF84" s="14">
        <f t="shared" si="91"/>
        <v>75.040081642259693</v>
      </c>
      <c r="BG84" s="22">
        <f t="shared" si="61"/>
        <v>685.40658552693606</v>
      </c>
      <c r="BH84" s="62">
        <f t="shared" si="62"/>
        <v>956.52733855043743</v>
      </c>
      <c r="BI84" s="62">
        <f ca="1">AVERAGE(OFFSET($BH$3,0,0,'Données projet'!$E$11+1,1))-AVERAGE(OFFSET($H$3,0,0,'Données projet'!$E$11+1,1))</f>
        <v>505.16888119060701</v>
      </c>
      <c r="BJ84" s="62">
        <f t="shared" si="92"/>
        <v>351.15312364640613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3.1702349986541288E-7</v>
      </c>
      <c r="BS84" s="24">
        <f t="shared" si="63"/>
        <v>3.1702349986541288E-7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68.195506926115257</v>
      </c>
      <c r="CE84" s="62">
        <f t="shared" si="94"/>
        <v>352.52565673897004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20.920070917765273</v>
      </c>
      <c r="CL84" s="23">
        <f>EXP(-LN(2)/25)*CL83+(1-EXP(-LN(2)/25))/(LN(2)/25)*Calculateur!CG84*Calculateur!CI84*VLOOKUP('Données projet'!$B$12,Paramètres!$A$1:$I$89,3,0)*0.475*44/12</f>
        <v>3.3691142496836068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24.289185167448878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77.885897614924062</v>
      </c>
      <c r="CZ84" s="62">
        <f t="shared" si="96"/>
        <v>401.02460251355296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24.061423419793943</v>
      </c>
      <c r="DG84" s="23">
        <f>EXP(-LN(2)/25)*DG83+(1-EXP(-LN(2)/25))/(LN(2)/25)*Calculateur!DB84*Calculateur!DD84*VLOOKUP('Données projet'!$B$13,Paramètres!$A$1:$I$89,3,0)*0.475*44/12</f>
        <v>3.8750195843006336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27.936443004094578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79.532301588639172</v>
      </c>
      <c r="DU84" s="62">
        <f t="shared" si="98"/>
        <v>409.2657792678549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24.59612171801156</v>
      </c>
      <c r="EB84" s="23">
        <f>EXP(-LN(2)/25)*EB83+(1-EXP(-LN(2)/25))/(LN(2)/25)*Calculateur!DW84*Calculateur!DY84*VLOOKUP('Données projet'!$B$14,Paramètres!$A$1:$I$89,3,0)*0.475*44/12</f>
        <v>3.9611311306184249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28.557252848629986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77.885897614924062</v>
      </c>
      <c r="EP84" s="62">
        <f t="shared" si="100"/>
        <v>401.02460251355296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24.061423419793943</v>
      </c>
      <c r="EW84" s="23">
        <f>EXP(-LN(2)/25)*EW83+(1-EXP(-LN(2)/25))/(LN(2)/25)*Calculateur!ER84*Calculateur!ET84*VLOOKUP('Données projet'!$B$15,Paramètres!$A$1:$I$89,3,0)*0.475*44/12</f>
        <v>3.8750195843006336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27.936443004094578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811.2675172736333</v>
      </c>
      <c r="S85" s="62">
        <f ca="1">AVERAGE(OFFSET($R$3,0,0,'Données projet'!$E$9+1,1))-AVERAGE(OFFSET($H$3,0,0,'Données projet'!$E$9+1,1))</f>
        <v>426.87921482911719</v>
      </c>
      <c r="T85" s="62">
        <f t="shared" si="88"/>
        <v>313.49594674441835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273.2000000000001</v>
      </c>
      <c r="AJ85" s="14">
        <f>AI85*VLOOKUP('Données projet'!$B$10,Paramètres!$A$1:$I$89,3,0)*VLOOKUP('Données projet'!$B$10,Paramètres!$A$1:$I$89,5,0)</f>
        <v>277.02480000000014</v>
      </c>
      <c r="AK85" s="14">
        <f t="shared" si="89"/>
        <v>66.337873221533528</v>
      </c>
      <c r="AL85" s="22">
        <f t="shared" si="58"/>
        <v>598.02332252750443</v>
      </c>
      <c r="AM85" s="62">
        <f t="shared" si="59"/>
        <v>869.52941415949147</v>
      </c>
      <c r="AN85" s="62">
        <f ca="1">AVERAGE(OFFSET($AM$3,0,0,'Données projet'!$E$10+1,1))-AVERAGE(OFFSET($H$3,0,0,'Données projet'!$E$10+1,1))</f>
        <v>462.95686283420531</v>
      </c>
      <c r="AO85" s="62">
        <f t="shared" si="90"/>
        <v>275.54513370838777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6.6</v>
      </c>
      <c r="BD85" s="13">
        <f>IF('Données projet'!$A$88&gt;35,BD84+BC85-BL84,IF(A85&lt;'Données projet'!$A$88,$BA$205^A85,IF(A85='Données projet'!$A$88,'Données projet'!$B$88,BD84+BC85-BL84)))</f>
        <v>539.2000000000005</v>
      </c>
      <c r="BE85" s="14">
        <f>BD85*VLOOKUP('Données projet'!$B$11,Paramètres!$A$1:$I$89,3,0)*VLOOKUP('Données projet'!$B$11,Paramètres!$A$1:$I$89,5,0)</f>
        <v>322.44160000000034</v>
      </c>
      <c r="BF85" s="14">
        <f t="shared" si="91"/>
        <v>75.861151069099279</v>
      </c>
      <c r="BG85" s="22">
        <f t="shared" si="61"/>
        <v>693.71062477868179</v>
      </c>
      <c r="BH85" s="62">
        <f t="shared" si="62"/>
        <v>965.21671641066882</v>
      </c>
      <c r="BI85" s="62">
        <f ca="1">AVERAGE(OFFSET($BH$3,0,0,'Données projet'!$E$11+1,1))-AVERAGE(OFFSET($H$3,0,0,'Données projet'!$E$11+1,1))</f>
        <v>505.16888119060701</v>
      </c>
      <c r="BJ85" s="62">
        <f t="shared" si="92"/>
        <v>351.15312364640613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2.2416946655032598E-7</v>
      </c>
      <c r="BS85" s="24">
        <f t="shared" si="63"/>
        <v>2.2416946655032598E-7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68.195506926115257</v>
      </c>
      <c r="CE85" s="62">
        <f t="shared" si="94"/>
        <v>352.52565673897004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20.50984108705121</v>
      </c>
      <c r="CL85" s="23">
        <f>EXP(-LN(2)/25)*CL84+(1-EXP(-LN(2)/25))/(LN(2)/25)*Calculateur!CG85*Calculateur!CI85*VLOOKUP('Données projet'!$B$12,Paramètres!$A$1:$I$89,3,0)*0.475*44/12</f>
        <v>3.2769856433519906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23.786826730403202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77.885897614924062</v>
      </c>
      <c r="CZ85" s="62">
        <f t="shared" si="96"/>
        <v>401.02460251355296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23.589593582550933</v>
      </c>
      <c r="DG85" s="23">
        <f>EXP(-LN(2)/25)*DG84+(1-EXP(-LN(2)/25))/(LN(2)/25)*Calculateur!DB85*Calculateur!DD85*VLOOKUP('Données projet'!$B$13,Paramètres!$A$1:$I$89,3,0)*0.475*44/12</f>
        <v>3.7690569699895096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27.358650552540443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79.532301588639172</v>
      </c>
      <c r="DU85" s="62">
        <f t="shared" si="98"/>
        <v>409.2657792678549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24.113806773274263</v>
      </c>
      <c r="EB85" s="23">
        <f>EXP(-LN(2)/25)*EB84+(1-EXP(-LN(2)/25))/(LN(2)/25)*Calculateur!DW85*Calculateur!DY85*VLOOKUP('Données projet'!$B$14,Paramètres!$A$1:$I$89,3,0)*0.475*44/12</f>
        <v>3.8528137915448313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27.966620564819095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77.885897614924062</v>
      </c>
      <c r="EP85" s="62">
        <f t="shared" si="100"/>
        <v>401.02460251355296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23.589593582550933</v>
      </c>
      <c r="EW85" s="23">
        <f>EXP(-LN(2)/25)*EW84+(1-EXP(-LN(2)/25))/(LN(2)/25)*Calculateur!ER85*Calculateur!ET85*VLOOKUP('Données projet'!$B$15,Paramètres!$A$1:$I$89,3,0)*0.475*44/12</f>
        <v>3.7690569699895096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27.358650552540443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828.95991914236765</v>
      </c>
      <c r="S86" s="62">
        <f ca="1">AVERAGE(OFFSET($R$3,0,0,'Données projet'!$E$9+1,1))-AVERAGE(OFFSET($H$3,0,0,'Données projet'!$E$9+1,1))</f>
        <v>426.87921482911719</v>
      </c>
      <c r="T86" s="62">
        <f t="shared" si="88"/>
        <v>313.49594674441835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278.80000000000013</v>
      </c>
      <c r="AJ86" s="14">
        <f>AI86*VLOOKUP('Données projet'!$B$10,Paramètres!$A$1:$I$89,3,0)*VLOOKUP('Données projet'!$B$10,Paramètres!$A$1:$I$89,5,0)</f>
        <v>282.70320000000015</v>
      </c>
      <c r="AK86" s="14">
        <f t="shared" si="89"/>
        <v>67.537952914823904</v>
      </c>
      <c r="AL86" s="22">
        <f t="shared" si="58"/>
        <v>610.00334132665182</v>
      </c>
      <c r="AM86" s="62">
        <f t="shared" si="59"/>
        <v>881.8880868037553</v>
      </c>
      <c r="AN86" s="62">
        <f ca="1">AVERAGE(OFFSET($AM$3,0,0,'Données projet'!$E$10+1,1))-AVERAGE(OFFSET($H$3,0,0,'Données projet'!$E$10+1,1))</f>
        <v>462.95686283420531</v>
      </c>
      <c r="AO86" s="62">
        <f t="shared" si="90"/>
        <v>275.54513370838777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6.6</v>
      </c>
      <c r="BD86" s="13">
        <f>IF('Données projet'!$A$88&gt;35,BD85+BC86-BL85,IF(A86&lt;'Données projet'!$A$88,$BA$205^A86,IF(A86='Données projet'!$A$88,'Données projet'!$B$88,BD85+BC86-BL85)))</f>
        <v>545.80000000000052</v>
      </c>
      <c r="BE86" s="14">
        <f>BD86*VLOOKUP('Données projet'!$B$11,Paramètres!$A$1:$I$89,3,0)*VLOOKUP('Données projet'!$B$11,Paramètres!$A$1:$I$89,5,0)</f>
        <v>326.38840000000033</v>
      </c>
      <c r="BF86" s="14">
        <f t="shared" si="91"/>
        <v>76.681051456851932</v>
      </c>
      <c r="BG86" s="22">
        <f t="shared" si="61"/>
        <v>702.01262795401772</v>
      </c>
      <c r="BH86" s="62">
        <f t="shared" si="62"/>
        <v>973.8973734311212</v>
      </c>
      <c r="BI86" s="62">
        <f ca="1">AVERAGE(OFFSET($BH$3,0,0,'Données projet'!$E$11+1,1))-AVERAGE(OFFSET($H$3,0,0,'Données projet'!$E$11+1,1))</f>
        <v>505.16888119060701</v>
      </c>
      <c r="BJ86" s="62">
        <f t="shared" si="92"/>
        <v>351.15312364640613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1.5851174993270644E-7</v>
      </c>
      <c r="BS86" s="24">
        <f t="shared" si="63"/>
        <v>1.5851174993270644E-7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68.195506926115257</v>
      </c>
      <c r="CE86" s="62">
        <f t="shared" si="94"/>
        <v>352.52565673897004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20.107655613101961</v>
      </c>
      <c r="CL86" s="23">
        <f>EXP(-LN(2)/25)*CL85+(1-EXP(-LN(2)/25))/(LN(2)/25)*Calculateur!CG86*Calculateur!CI86*VLOOKUP('Données projet'!$B$12,Paramètres!$A$1:$I$89,3,0)*0.475*44/12</f>
        <v>3.1873762986053449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23.295031911707305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77.885897614924062</v>
      </c>
      <c r="CZ86" s="62">
        <f t="shared" si="96"/>
        <v>401.02460251355296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23.127016040628476</v>
      </c>
      <c r="DG86" s="23">
        <f>EXP(-LN(2)/25)*DG85+(1-EXP(-LN(2)/25))/(LN(2)/25)*Calculateur!DB86*Calculateur!DD86*VLOOKUP('Données projet'!$B$13,Paramètres!$A$1:$I$89,3,0)*0.475*44/12</f>
        <v>3.6659919089390547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26.793007949567532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79.532301588639172</v>
      </c>
      <c r="DU86" s="62">
        <f t="shared" si="98"/>
        <v>409.2657792678549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23.640949730420196</v>
      </c>
      <c r="EB86" s="23">
        <f>EXP(-LN(2)/25)*EB85+(1-EXP(-LN(2)/25))/(LN(2)/25)*Calculateur!DW86*Calculateur!DY86*VLOOKUP('Données projet'!$B$14,Paramètres!$A$1:$I$89,3,0)*0.475*44/12</f>
        <v>3.7474583958043661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27.388408126224562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77.885897614924062</v>
      </c>
      <c r="EP86" s="62">
        <f t="shared" si="100"/>
        <v>401.02460251355296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23.127016040628476</v>
      </c>
      <c r="EW86" s="23">
        <f>EXP(-LN(2)/25)*EW85+(1-EXP(-LN(2)/25))/(LN(2)/25)*Calculateur!ER86*Calculateur!ET86*VLOOKUP('Données projet'!$B$15,Paramètres!$A$1:$I$89,3,0)*0.475*44/12</f>
        <v>3.6659919089390547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26.793007949567532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846.63448708643216</v>
      </c>
      <c r="S87" s="62">
        <f ca="1">AVERAGE(OFFSET($R$3,0,0,'Données projet'!$E$9+1,1))-AVERAGE(OFFSET($H$3,0,0,'Données projet'!$E$9+1,1))</f>
        <v>426.87921482911719</v>
      </c>
      <c r="T87" s="62">
        <f t="shared" si="88"/>
        <v>313.49594674441835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284.40000000000015</v>
      </c>
      <c r="AJ87" s="14">
        <f>AI87*VLOOKUP('Données projet'!$B$10,Paramètres!$A$1:$I$89,3,0)*VLOOKUP('Données projet'!$B$10,Paramètres!$A$1:$I$89,5,0)</f>
        <v>288.38160000000016</v>
      </c>
      <c r="AK87" s="14">
        <f t="shared" si="89"/>
        <v>68.735229875936668</v>
      </c>
      <c r="AL87" s="22">
        <f t="shared" si="58"/>
        <v>621.97847870059002</v>
      </c>
      <c r="AM87" s="62">
        <f t="shared" si="59"/>
        <v>894.23530922514033</v>
      </c>
      <c r="AN87" s="62">
        <f ca="1">AVERAGE(OFFSET($AM$3,0,0,'Données projet'!$E$10+1,1))-AVERAGE(OFFSET($H$3,0,0,'Données projet'!$E$10+1,1))</f>
        <v>462.95686283420531</v>
      </c>
      <c r="AO87" s="62">
        <f t="shared" si="90"/>
        <v>275.54513370838777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6.6</v>
      </c>
      <c r="BD87" s="13">
        <f>IF('Données projet'!$A$88&gt;35,BD86+BC87-BL86,IF(A87&lt;'Données projet'!$A$88,$BA$205^A87,IF(A87='Données projet'!$A$88,'Données projet'!$B$88,BD86+BC87-BL86)))</f>
        <v>552.40000000000055</v>
      </c>
      <c r="BE87" s="14">
        <f>BD87*VLOOKUP('Données projet'!$B$11,Paramètres!$A$1:$I$89,3,0)*VLOOKUP('Données projet'!$B$11,Paramètres!$A$1:$I$89,5,0)</f>
        <v>330.33520000000038</v>
      </c>
      <c r="BF87" s="14">
        <f t="shared" si="91"/>
        <v>77.499798577088214</v>
      </c>
      <c r="BG87" s="22">
        <f t="shared" si="61"/>
        <v>710.31262252176259</v>
      </c>
      <c r="BH87" s="62">
        <f t="shared" si="62"/>
        <v>982.5694530463129</v>
      </c>
      <c r="BI87" s="62">
        <f ca="1">AVERAGE(OFFSET($BH$3,0,0,'Données projet'!$E$11+1,1))-AVERAGE(OFFSET($H$3,0,0,'Données projet'!$E$11+1,1))</f>
        <v>505.16888119060701</v>
      </c>
      <c r="BJ87" s="62">
        <f t="shared" si="92"/>
        <v>351.15312364640613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1.1208473327516299E-7</v>
      </c>
      <c r="BS87" s="24">
        <f t="shared" si="63"/>
        <v>1.1208473327516299E-7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68.195506926115257</v>
      </c>
      <c r="CE87" s="62">
        <f t="shared" si="94"/>
        <v>352.52565673897004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19.713356750987941</v>
      </c>
      <c r="CL87" s="23">
        <f>EXP(-LN(2)/25)*CL86+(1-EXP(-LN(2)/25))/(LN(2)/25)*Calculateur!CG87*Calculateur!CI87*VLOOKUP('Données projet'!$B$12,Paramètres!$A$1:$I$89,3,0)*0.475*44/12</f>
        <v>3.1002173261031469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22.81357407709109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77.885897614924062</v>
      </c>
      <c r="CZ87" s="62">
        <f t="shared" si="96"/>
        <v>401.02460251355296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22.673509362158676</v>
      </c>
      <c r="DG87" s="23">
        <f>EXP(-LN(2)/25)*DG86+(1-EXP(-LN(2)/25))/(LN(2)/25)*Calculateur!DB87*Calculateur!DD87*VLOOKUP('Données projet'!$B$13,Paramètres!$A$1:$I$89,3,0)*0.475*44/12</f>
        <v>3.5657451674029805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26.239254529561656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79.532301588639172</v>
      </c>
      <c r="DU87" s="62">
        <f t="shared" si="98"/>
        <v>409.2657792678549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23.177365125762179</v>
      </c>
      <c r="EB87" s="23">
        <f>EXP(-LN(2)/25)*EB86+(1-EXP(-LN(2)/25))/(LN(2)/25)*Calculateur!DW87*Calculateur!DY87*VLOOKUP('Données projet'!$B$14,Paramètres!$A$1:$I$89,3,0)*0.475*44/12</f>
        <v>3.6449839489008236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26.822349074663002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77.885897614924062</v>
      </c>
      <c r="EP87" s="62">
        <f t="shared" si="100"/>
        <v>401.02460251355296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22.673509362158676</v>
      </c>
      <c r="EW87" s="23">
        <f>EXP(-LN(2)/25)*EW86+(1-EXP(-LN(2)/25))/(LN(2)/25)*Calculateur!ER87*Calculateur!ET87*VLOOKUP('Données projet'!$B$15,Paramètres!$A$1:$I$89,3,0)*0.475*44/12</f>
        <v>3.5657451674029805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26.239254529561656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864.29172196672744</v>
      </c>
      <c r="S88" s="62">
        <f ca="1">AVERAGE(OFFSET($R$3,0,0,'Données projet'!$E$9+1,1))-AVERAGE(OFFSET($H$3,0,0,'Données projet'!$E$9+1,1))</f>
        <v>426.87921482911719</v>
      </c>
      <c r="T88" s="62">
        <f t="shared" si="88"/>
        <v>313.49594674441835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290.00000000000017</v>
      </c>
      <c r="AJ88" s="14">
        <f>AI88*VLOOKUP('Données projet'!$B$10,Paramètres!$A$1:$I$89,3,0)*VLOOKUP('Données projet'!$B$10,Paramètres!$A$1:$I$89,5,0)</f>
        <v>294.06000000000017</v>
      </c>
      <c r="AK88" s="14">
        <f t="shared" si="89"/>
        <v>69.929765653573369</v>
      </c>
      <c r="AL88" s="22">
        <f t="shared" si="58"/>
        <v>633.94884184664056</v>
      </c>
      <c r="AM88" s="62">
        <f t="shared" si="59"/>
        <v>906.57130257492213</v>
      </c>
      <c r="AN88" s="62">
        <f ca="1">AVERAGE(OFFSET($AM$3,0,0,'Données projet'!$E$10+1,1))-AVERAGE(OFFSET($H$3,0,0,'Données projet'!$E$10+1,1))</f>
        <v>462.95686283420531</v>
      </c>
      <c r="AO88" s="62">
        <f t="shared" si="90"/>
        <v>275.54513370838777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6.6</v>
      </c>
      <c r="BD88" s="13">
        <f>IF('Données projet'!$A$88&gt;35,BD87+BC88-BL87,IF(A88&lt;'Données projet'!$A$88,$BA$205^A88,IF(A88='Données projet'!$A$88,'Données projet'!$B$88,BD87+BC88-BL87)))</f>
        <v>559.00000000000057</v>
      </c>
      <c r="BE88" s="14">
        <f>BD88*VLOOKUP('Données projet'!$B$11,Paramètres!$A$1:$I$89,3,0)*VLOOKUP('Données projet'!$B$11,Paramètres!$A$1:$I$89,5,0)</f>
        <v>334.28200000000038</v>
      </c>
      <c r="BF88" s="14">
        <f t="shared" si="91"/>
        <v>78.317407802820071</v>
      </c>
      <c r="BG88" s="22">
        <f t="shared" si="61"/>
        <v>718.61063525657892</v>
      </c>
      <c r="BH88" s="62">
        <f t="shared" si="62"/>
        <v>991.23309598486048</v>
      </c>
      <c r="BI88" s="62">
        <f ca="1">AVERAGE(OFFSET($BH$3,0,0,'Données projet'!$E$11+1,1))-AVERAGE(OFFSET($H$3,0,0,'Données projet'!$E$11+1,1))</f>
        <v>505.16888119060701</v>
      </c>
      <c r="BJ88" s="62">
        <f t="shared" si="92"/>
        <v>351.15312364640613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7.9255874966353219E-8</v>
      </c>
      <c r="BS88" s="24">
        <f t="shared" si="63"/>
        <v>7.9255874966353219E-8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68.195506926115257</v>
      </c>
      <c r="CE88" s="62">
        <f t="shared" si="94"/>
        <v>352.52565673897004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19.32678984906142</v>
      </c>
      <c r="CL88" s="23">
        <f>EXP(-LN(2)/25)*CL87+(1-EXP(-LN(2)/25))/(LN(2)/25)*Calculateur!CG88*Calculateur!CI88*VLOOKUP('Données projet'!$B$12,Paramètres!$A$1:$I$89,3,0)*0.475*44/12</f>
        <v>3.0154417202875128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22.342231569348932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77.885897614924062</v>
      </c>
      <c r="CZ88" s="62">
        <f t="shared" si="96"/>
        <v>401.02460251355296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22.228895673041908</v>
      </c>
      <c r="DG88" s="23">
        <f>EXP(-LN(2)/25)*DG87+(1-EXP(-LN(2)/25))/(LN(2)/25)*Calculateur!DB88*Calculateur!DD88*VLOOKUP('Données projet'!$B$13,Paramètres!$A$1:$I$89,3,0)*0.475*44/12</f>
        <v>3.4682396782859573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25.697135351327866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79.532301588639172</v>
      </c>
      <c r="DU88" s="62">
        <f t="shared" si="98"/>
        <v>409.2657792678549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22.722871132442815</v>
      </c>
      <c r="EB88" s="23">
        <f>EXP(-LN(2)/25)*EB87+(1-EXP(-LN(2)/25))/(LN(2)/25)*Calculateur!DW88*Calculateur!DY88*VLOOKUP('Données projet'!$B$14,Paramètres!$A$1:$I$89,3,0)*0.475*44/12</f>
        <v>3.5453116711367554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26.26818280357957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77.885897614924062</v>
      </c>
      <c r="EP88" s="62">
        <f t="shared" si="100"/>
        <v>401.02460251355296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22.228895673041908</v>
      </c>
      <c r="EW88" s="23">
        <f>EXP(-LN(2)/25)*EW87+(1-EXP(-LN(2)/25))/(LN(2)/25)*Calculateur!ER88*Calculateur!ET88*VLOOKUP('Données projet'!$B$15,Paramètres!$A$1:$I$89,3,0)*0.475*44/12</f>
        <v>3.4682396782859573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25.697135351327866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881.93209822421636</v>
      </c>
      <c r="S89" s="62">
        <f ca="1">AVERAGE(OFFSET($R$3,0,0,'Données projet'!$E$9+1,1))-AVERAGE(OFFSET($H$3,0,0,'Données projet'!$E$9+1,1))</f>
        <v>426.87921482911719</v>
      </c>
      <c r="T89" s="62">
        <f t="shared" si="88"/>
        <v>313.49594674441835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274.40000000000015</v>
      </c>
      <c r="AJ89" s="14">
        <f>AI89*VLOOKUP('Données projet'!$B$10,Paramètres!$A$1:$I$89,3,0)*VLOOKUP('Données projet'!$B$10,Paramètres!$A$1:$I$89,5,0)</f>
        <v>278.24160000000018</v>
      </c>
      <c r="AK89" s="14">
        <f t="shared" si="89"/>
        <v>66.595272276139795</v>
      </c>
      <c r="AL89" s="22">
        <f t="shared" si="58"/>
        <v>600.59088588094369</v>
      </c>
      <c r="AM89" s="62">
        <f t="shared" si="59"/>
        <v>873.57263394634833</v>
      </c>
      <c r="AN89" s="62">
        <f ca="1">AVERAGE(OFFSET($AM$3,0,0,'Données projet'!$E$10+1,1))-AVERAGE(OFFSET($H$3,0,0,'Données projet'!$E$10+1,1))</f>
        <v>462.95686283420531</v>
      </c>
      <c r="AO89" s="62">
        <f t="shared" si="90"/>
        <v>275.54513370838777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6.6</v>
      </c>
      <c r="BD89" s="13">
        <f>IF('Données projet'!$A$88&gt;35,BD88+BC89-BL88,IF(A89&lt;'Données projet'!$A$88,$BA$205^A89,IF(A89='Données projet'!$A$88,'Données projet'!$B$88,BD88+BC89-BL88)))</f>
        <v>565.60000000000059</v>
      </c>
      <c r="BE89" s="14">
        <f>BD89*VLOOKUP('Données projet'!$B$11,Paramètres!$A$1:$I$89,3,0)*VLOOKUP('Données projet'!$B$11,Paramètres!$A$1:$I$89,5,0)</f>
        <v>338.22880000000038</v>
      </c>
      <c r="BF89" s="14">
        <f t="shared" si="91"/>
        <v>79.133894123157802</v>
      </c>
      <c r="BG89" s="22">
        <f t="shared" si="61"/>
        <v>726.90669226450052</v>
      </c>
      <c r="BH89" s="62">
        <f t="shared" si="62"/>
        <v>999.88844032990528</v>
      </c>
      <c r="BI89" s="62">
        <f ca="1">AVERAGE(OFFSET($BH$3,0,0,'Données projet'!$E$11+1,1))-AVERAGE(OFFSET($H$3,0,0,'Données projet'!$E$11+1,1))</f>
        <v>505.16888119060701</v>
      </c>
      <c r="BJ89" s="62">
        <f t="shared" si="92"/>
        <v>351.15312364640613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5.6042366637581496E-8</v>
      </c>
      <c r="BS89" s="24">
        <f t="shared" si="63"/>
        <v>5.6042366637581496E-8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68.195506926115257</v>
      </c>
      <c r="CE89" s="62">
        <f t="shared" si="94"/>
        <v>352.52565673897004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18.947803288299149</v>
      </c>
      <c r="CL89" s="23">
        <f>EXP(-LN(2)/25)*CL88+(1-EXP(-LN(2)/25))/(LN(2)/25)*Calculateur!CG89*Calculateur!CI89*VLOOKUP('Données projet'!$B$12,Paramètres!$A$1:$I$89,3,0)*0.475*44/12</f>
        <v>2.9329843078710627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21.880787596170212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77.885897614924062</v>
      </c>
      <c r="CZ89" s="62">
        <f t="shared" si="96"/>
        <v>401.02460251355296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21.793000587181147</v>
      </c>
      <c r="DG89" s="23">
        <f>EXP(-LN(2)/25)*DG88+(1-EXP(-LN(2)/25))/(LN(2)/25)*Calculateur!DB89*Calculateur!DD89*VLOOKUP('Données projet'!$B$13,Paramètres!$A$1:$I$89,3,0)*0.475*44/12</f>
        <v>3.37340048189643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25.166401069077576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79.532301588639172</v>
      </c>
      <c r="DU89" s="62">
        <f t="shared" si="98"/>
        <v>409.2657792678549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22.277289489118484</v>
      </c>
      <c r="EB89" s="23">
        <f>EXP(-LN(2)/25)*EB88+(1-EXP(-LN(2)/25))/(LN(2)/25)*Calculateur!DW89*Calculateur!DY89*VLOOKUP('Données projet'!$B$14,Paramètres!$A$1:$I$89,3,0)*0.475*44/12</f>
        <v>3.4483649370496829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25.725654426168166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77.885897614924062</v>
      </c>
      <c r="EP89" s="62">
        <f t="shared" si="100"/>
        <v>401.02460251355296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21.793000587181147</v>
      </c>
      <c r="EW89" s="23">
        <f>EXP(-LN(2)/25)*EW88+(1-EXP(-LN(2)/25))/(LN(2)/25)*Calculateur!ER89*Calculateur!ET89*VLOOKUP('Données projet'!$B$15,Paramètres!$A$1:$I$89,3,0)*0.475*44/12</f>
        <v>3.37340048189643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25.166401069077576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899.5560661224456</v>
      </c>
      <c r="S90" s="62">
        <f ca="1">AVERAGE(OFFSET($R$3,0,0,'Données projet'!$E$9+1,1))-AVERAGE(OFFSET($H$3,0,0,'Données projet'!$E$9+1,1))</f>
        <v>426.87921482911719</v>
      </c>
      <c r="T90" s="62">
        <f t="shared" si="88"/>
        <v>313.49594674441835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279.80000000000013</v>
      </c>
      <c r="AJ90" s="14">
        <f>AI90*VLOOKUP('Données projet'!$B$10,Paramètres!$A$1:$I$89,3,0)*VLOOKUP('Données projet'!$B$10,Paramètres!$A$1:$I$89,5,0)</f>
        <v>283.71720000000016</v>
      </c>
      <c r="AK90" s="14">
        <f t="shared" si="89"/>
        <v>67.751956122170768</v>
      </c>
      <c r="AL90" s="22">
        <f t="shared" si="58"/>
        <v>612.14211357944771</v>
      </c>
      <c r="AM90" s="62">
        <f t="shared" si="59"/>
        <v>885.47691614992254</v>
      </c>
      <c r="AN90" s="62">
        <f ca="1">AVERAGE(OFFSET($AM$3,0,0,'Données projet'!$E$10+1,1))-AVERAGE(OFFSET($H$3,0,0,'Données projet'!$E$10+1,1))</f>
        <v>462.95686283420531</v>
      </c>
      <c r="AO90" s="62">
        <f t="shared" si="90"/>
        <v>275.54513370838777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6.6</v>
      </c>
      <c r="BD90" s="13">
        <f>IF('Données projet'!$A$88&gt;35,BD89+BC90-BL89,IF(A90&lt;'Données projet'!$A$88,$BA$205^A90,IF(A90='Données projet'!$A$88,'Données projet'!$B$88,BD89+BC90-BL89)))</f>
        <v>572.20000000000061</v>
      </c>
      <c r="BE90" s="14">
        <f>BD90*VLOOKUP('Données projet'!$B$11,Paramètres!$A$1:$I$89,3,0)*VLOOKUP('Données projet'!$B$11,Paramètres!$A$1:$I$89,5,0)</f>
        <v>342.17560000000037</v>
      </c>
      <c r="BF90" s="14">
        <f t="shared" si="91"/>
        <v>79.949272157261831</v>
      </c>
      <c r="BG90" s="22">
        <f t="shared" si="61"/>
        <v>735.20081900723164</v>
      </c>
      <c r="BH90" s="62">
        <f t="shared" si="62"/>
        <v>1008.5356215777065</v>
      </c>
      <c r="BI90" s="62">
        <f ca="1">AVERAGE(OFFSET($BH$3,0,0,'Données projet'!$E$11+1,1))-AVERAGE(OFFSET($H$3,0,0,'Données projet'!$E$11+1,1))</f>
        <v>505.16888119060701</v>
      </c>
      <c r="BJ90" s="62">
        <f t="shared" si="92"/>
        <v>351.15312364640613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3.962793748317661E-8</v>
      </c>
      <c r="BS90" s="24">
        <f t="shared" si="63"/>
        <v>3.962793748317661E-8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68.195506926115257</v>
      </c>
      <c r="CE90" s="62">
        <f t="shared" si="94"/>
        <v>352.52565673897004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18.576248422834446</v>
      </c>
      <c r="CL90" s="23">
        <f>EXP(-LN(2)/25)*CL89+(1-EXP(-LN(2)/25))/(LN(2)/25)*Calculateur!CG90*Calculateur!CI90*VLOOKUP('Données projet'!$B$12,Paramètres!$A$1:$I$89,3,0)*0.475*44/12</f>
        <v>2.8527816977333873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21.429030120567834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77.885897614924062</v>
      </c>
      <c r="CZ90" s="62">
        <f t="shared" si="96"/>
        <v>401.02460251355296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21.365653138084365</v>
      </c>
      <c r="DG90" s="23">
        <f>EXP(-LN(2)/25)*DG89+(1-EXP(-LN(2)/25))/(LN(2)/25)*Calculateur!DB90*Calculateur!DD90*VLOOKUP('Données projet'!$B$13,Paramètres!$A$1:$I$89,3,0)*0.475*44/12</f>
        <v>3.2811546683195507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24.646807806403917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79.532301588639172</v>
      </c>
      <c r="DU90" s="62">
        <f t="shared" si="98"/>
        <v>409.2657792678549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21.840445430041775</v>
      </c>
      <c r="EB90" s="23">
        <f>EXP(-LN(2)/25)*EB89+(1-EXP(-LN(2)/25))/(LN(2)/25)*Calculateur!DW90*Calculateur!DY90*VLOOKUP('Données projet'!$B$14,Paramètres!$A$1:$I$89,3,0)*0.475*44/12</f>
        <v>3.3540692165044286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25.194514646546203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77.885897614924062</v>
      </c>
      <c r="EP90" s="62">
        <f t="shared" si="100"/>
        <v>401.02460251355296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21.365653138084365</v>
      </c>
      <c r="EW90" s="23">
        <f>EXP(-LN(2)/25)*EW89+(1-EXP(-LN(2)/25))/(LN(2)/25)*Calculateur!ER90*Calculateur!ET90*VLOOKUP('Données projet'!$B$15,Paramètres!$A$1:$I$89,3,0)*0.475*44/12</f>
        <v>3.2811546683195507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24.646807806403917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917.16405373336022</v>
      </c>
      <c r="S91" s="62">
        <f ca="1">AVERAGE(OFFSET($R$3,0,0,'Données projet'!$E$9+1,1))-AVERAGE(OFFSET($H$3,0,0,'Données projet'!$E$9+1,1))</f>
        <v>426.87921482911719</v>
      </c>
      <c r="T91" s="62">
        <f t="shared" si="88"/>
        <v>313.49594674441835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285.2000000000001</v>
      </c>
      <c r="AJ91" s="14">
        <f>AI91*VLOOKUP('Données projet'!$B$10,Paramètres!$A$1:$I$89,3,0)*VLOOKUP('Données projet'!$B$10,Paramètres!$A$1:$I$89,5,0)</f>
        <v>289.19280000000015</v>
      </c>
      <c r="AK91" s="14">
        <f t="shared" si="89"/>
        <v>68.906044268306346</v>
      </c>
      <c r="AL91" s="22">
        <f t="shared" si="58"/>
        <v>623.68882043396718</v>
      </c>
      <c r="AM91" s="62">
        <f t="shared" si="59"/>
        <v>897.37055280316088</v>
      </c>
      <c r="AN91" s="62">
        <f ca="1">AVERAGE(OFFSET($AM$3,0,0,'Données projet'!$E$10+1,1))-AVERAGE(OFFSET($H$3,0,0,'Données projet'!$E$10+1,1))</f>
        <v>462.95686283420531</v>
      </c>
      <c r="AO91" s="62">
        <f t="shared" si="90"/>
        <v>275.54513370838777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6.6</v>
      </c>
      <c r="BD91" s="13">
        <f>IF('Données projet'!$A$88&gt;35,BD90+BC91-BL90,IF(A91&lt;'Données projet'!$A$88,$BA$205^A91,IF(A91='Données projet'!$A$88,'Données projet'!$B$88,BD90+BC91-BL90)))</f>
        <v>578.80000000000064</v>
      </c>
      <c r="BE91" s="14">
        <f>BD91*VLOOKUP('Données projet'!$B$11,Paramètres!$A$1:$I$89,3,0)*VLOOKUP('Données projet'!$B$11,Paramètres!$A$1:$I$89,5,0)</f>
        <v>346.12240000000043</v>
      </c>
      <c r="BF91" s="14">
        <f t="shared" si="91"/>
        <v>80.763556167633539</v>
      </c>
      <c r="BG91" s="22">
        <f t="shared" si="61"/>
        <v>743.49304032529574</v>
      </c>
      <c r="BH91" s="62">
        <f t="shared" si="62"/>
        <v>1017.1747726944894</v>
      </c>
      <c r="BI91" s="62">
        <f ca="1">AVERAGE(OFFSET($BH$3,0,0,'Données projet'!$E$11+1,1))-AVERAGE(OFFSET($H$3,0,0,'Données projet'!$E$11+1,1))</f>
        <v>505.16888119060701</v>
      </c>
      <c r="BJ91" s="62">
        <f t="shared" si="92"/>
        <v>351.15312364640613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2.8021183318790748E-8</v>
      </c>
      <c r="BS91" s="24">
        <f t="shared" si="63"/>
        <v>2.8021183318790748E-8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68.195506926115257</v>
      </c>
      <c r="CE91" s="62">
        <f t="shared" si="94"/>
        <v>352.52565673897004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18.211979521655419</v>
      </c>
      <c r="CL91" s="23">
        <f>EXP(-LN(2)/25)*CL90+(1-EXP(-LN(2)/25))/(LN(2)/25)*Calculateur!CG91*Calculateur!CI91*VLOOKUP('Données projet'!$B$12,Paramètres!$A$1:$I$89,3,0)*0.475*44/12</f>
        <v>2.7747722321875985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20.986751753843016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77.885897614924062</v>
      </c>
      <c r="CZ91" s="62">
        <f t="shared" si="96"/>
        <v>401.02460251355296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20.946685711808165</v>
      </c>
      <c r="DG91" s="23">
        <f>EXP(-LN(2)/25)*DG90+(1-EXP(-LN(2)/25))/(LN(2)/25)*Calculateur!DB91*Calculateur!DD91*VLOOKUP('Données projet'!$B$13,Paramètres!$A$1:$I$89,3,0)*0.475*44/12</f>
        <v>3.1914313213659278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24.138117033174094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79.532301588639172</v>
      </c>
      <c r="DU91" s="62">
        <f t="shared" si="98"/>
        <v>409.2657792678549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21.412167616514992</v>
      </c>
      <c r="EB91" s="23">
        <f>EXP(-LN(2)/25)*EB90+(1-EXP(-LN(2)/25))/(LN(2)/25)*Calculateur!DW91*Calculateur!DY91*VLOOKUP('Données projet'!$B$14,Paramètres!$A$1:$I$89,3,0)*0.475*44/12</f>
        <v>3.2623520173962808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24.674519633911274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77.885897614924062</v>
      </c>
      <c r="EP91" s="62">
        <f t="shared" si="100"/>
        <v>401.02460251355296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20.946685711808165</v>
      </c>
      <c r="EW91" s="23">
        <f>EXP(-LN(2)/25)*EW90+(1-EXP(-LN(2)/25))/(LN(2)/25)*Calculateur!ER91*Calculateur!ET91*VLOOKUP('Données projet'!$B$15,Paramètres!$A$1:$I$89,3,0)*0.475*44/12</f>
        <v>3.1914313213659278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24.138117033174094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934.75646870232185</v>
      </c>
      <c r="S92" s="62">
        <f ca="1">AVERAGE(OFFSET($R$3,0,0,'Données projet'!$E$9+1,1))-AVERAGE(OFFSET($H$3,0,0,'Données projet'!$E$9+1,1))</f>
        <v>426.87921482911719</v>
      </c>
      <c r="T92" s="62">
        <f t="shared" si="88"/>
        <v>313.49594674441835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290.60000000000008</v>
      </c>
      <c r="AJ92" s="14">
        <f>AI92*VLOOKUP('Données projet'!$B$10,Paramètres!$A$1:$I$89,3,0)*VLOOKUP('Données projet'!$B$10,Paramètres!$A$1:$I$89,5,0)</f>
        <v>294.66840000000013</v>
      </c>
      <c r="AK92" s="14">
        <f t="shared" si="89"/>
        <v>70.057591528661547</v>
      </c>
      <c r="AL92" s="22">
        <f t="shared" si="58"/>
        <v>635.23110191241904</v>
      </c>
      <c r="AM92" s="62">
        <f t="shared" si="59"/>
        <v>909.25374562394268</v>
      </c>
      <c r="AN92" s="62">
        <f ca="1">AVERAGE(OFFSET($AM$3,0,0,'Données projet'!$E$10+1,1))-AVERAGE(OFFSET($H$3,0,0,'Données projet'!$E$10+1,1))</f>
        <v>462.95686283420531</v>
      </c>
      <c r="AO92" s="62">
        <f t="shared" si="90"/>
        <v>275.54513370838777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6.6</v>
      </c>
      <c r="BD92" s="13">
        <f>IF('Données projet'!$A$88&gt;35,BD91+BC92-BL91,IF(A92&lt;'Données projet'!$A$88,$BA$205^A92,IF(A92='Données projet'!$A$88,'Données projet'!$B$88,BD91+BC92-BL91)))</f>
        <v>585.40000000000066</v>
      </c>
      <c r="BE92" s="14">
        <f>BD92*VLOOKUP('Données projet'!$B$11,Paramètres!$A$1:$I$89,3,0)*VLOOKUP('Données projet'!$B$11,Paramètres!$A$1:$I$89,5,0)</f>
        <v>350.06920000000042</v>
      </c>
      <c r="BF92" s="14">
        <f t="shared" si="91"/>
        <v>81.576760072781823</v>
      </c>
      <c r="BG92" s="22">
        <f t="shared" si="61"/>
        <v>751.7833804600956</v>
      </c>
      <c r="BH92" s="62">
        <f t="shared" si="62"/>
        <v>1025.8060241716191</v>
      </c>
      <c r="BI92" s="62">
        <f ca="1">AVERAGE(OFFSET($BH$3,0,0,'Données projet'!$E$11+1,1))-AVERAGE(OFFSET($H$3,0,0,'Données projet'!$E$11+1,1))</f>
        <v>505.16888119060701</v>
      </c>
      <c r="BJ92" s="62">
        <f t="shared" si="92"/>
        <v>351.15312364640613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1.9813968741588305E-8</v>
      </c>
      <c r="BS92" s="24">
        <f t="shared" si="63"/>
        <v>1.9813968741588305E-8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68.195506926115257</v>
      </c>
      <c r="CE92" s="62">
        <f t="shared" si="94"/>
        <v>352.52565673897004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17.85485371144642</v>
      </c>
      <c r="CL92" s="23">
        <f>EXP(-LN(2)/25)*CL91+(1-EXP(-LN(2)/25))/(LN(2)/25)*Calculateur!CG92*Calculateur!CI92*VLOOKUP('Données projet'!$B$12,Paramètres!$A$1:$I$89,3,0)*0.475*44/12</f>
        <v>2.6988959395794989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20.553749651025917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77.885897614924062</v>
      </c>
      <c r="CZ92" s="62">
        <f t="shared" si="96"/>
        <v>401.02460251355296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20.535933981216346</v>
      </c>
      <c r="DG92" s="23">
        <f>EXP(-LN(2)/25)*DG91+(1-EXP(-LN(2)/25))/(LN(2)/25)*Calculateur!DB92*Calculateur!DD92*VLOOKUP('Données projet'!$B$13,Paramètres!$A$1:$I$89,3,0)*0.475*44/12</f>
        <v>3.1041614640530972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23.640095445269441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79.532301588639172</v>
      </c>
      <c r="DU92" s="62">
        <f t="shared" si="98"/>
        <v>409.2657792678549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20.992288069687799</v>
      </c>
      <c r="EB92" s="23">
        <f>EXP(-LN(2)/25)*EB91+(1-EXP(-LN(2)/25))/(LN(2)/25)*Calculateur!DW92*Calculateur!DY92*VLOOKUP('Données projet'!$B$14,Paramètres!$A$1:$I$89,3,0)*0.475*44/12</f>
        <v>3.173142829920943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24.165430899608744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77.885897614924062</v>
      </c>
      <c r="EP92" s="62">
        <f t="shared" si="100"/>
        <v>401.02460251355296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20.535933981216346</v>
      </c>
      <c r="EW92" s="23">
        <f>EXP(-LN(2)/25)*EW91+(1-EXP(-LN(2)/25))/(LN(2)/25)*Calculateur!ER92*Calculateur!ET92*VLOOKUP('Données projet'!$B$15,Paramètres!$A$1:$I$89,3,0)*0.475*44/12</f>
        <v>3.1041614640530972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23.640095445269441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952.3336998224097</v>
      </c>
      <c r="S93" s="62">
        <f ca="1">AVERAGE(OFFSET($R$3,0,0,'Données projet'!$E$9+1,1))-AVERAGE(OFFSET($H$3,0,0,'Données projet'!$E$9+1,1))</f>
        <v>426.87921482911719</v>
      </c>
      <c r="T93" s="62">
        <f t="shared" si="88"/>
        <v>313.49594674441835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2">
        <f t="shared" si="59"/>
        <v>921.12669073584834</v>
      </c>
      <c r="AN93" s="62">
        <f ca="1">AVERAGE(OFFSET($AM$3,0,0,'Données projet'!$E$10+1,1))-AVERAGE(OFFSET($H$3,0,0,'Données projet'!$E$10+1,1))</f>
        <v>462.95686283420531</v>
      </c>
      <c r="AO93" s="62">
        <f t="shared" si="90"/>
        <v>275.54513370838777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592</v>
      </c>
      <c r="BB93" s="13">
        <f>VLOOKUP(A93,'Données projet'!$A$87:$I$107,9,0)</f>
        <v>6.6</v>
      </c>
      <c r="BC93" s="13">
        <f t="array" ref="BC93">INDEX(BB:BB,MIN(IF(ISNUMBER(BB93:BB289),ROW(BB93:BB289),"")))</f>
        <v>6.6</v>
      </c>
      <c r="BD93" s="13">
        <f>IF('Données projet'!$A$88&gt;35,BD92+BC93-BL92,IF(A93&lt;'Données projet'!$A$88,$BA$205^A93,IF(A93='Données projet'!$A$88,'Données projet'!$B$88,BD92+BC93-BL92)))</f>
        <v>592.00000000000068</v>
      </c>
      <c r="BE93" s="14">
        <f>BD93*VLOOKUP('Données projet'!$B$11,Paramètres!$A$1:$I$89,3,0)*VLOOKUP('Données projet'!$B$11,Paramètres!$A$1:$I$89,5,0)</f>
        <v>354.01600000000047</v>
      </c>
      <c r="BF93" s="14">
        <f t="shared" si="91"/>
        <v>82.388897459303138</v>
      </c>
      <c r="BG93" s="22">
        <f t="shared" si="61"/>
        <v>760.07186307495374</v>
      </c>
      <c r="BH93" s="62">
        <f t="shared" si="62"/>
        <v>1034.4295040791815</v>
      </c>
      <c r="BI93" s="62">
        <f ca="1">AVERAGE(OFFSET($BH$3,0,0,'Données projet'!$E$11+1,1))-AVERAGE(OFFSET($H$3,0,0,'Données projet'!$E$11+1,1))</f>
        <v>505.16888119060701</v>
      </c>
      <c r="BJ93" s="62">
        <f t="shared" si="92"/>
        <v>351.15312364640613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1.4010591659395374E-8</v>
      </c>
      <c r="BS93" s="24">
        <f t="shared" si="63"/>
        <v>1.4010591659395374E-8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68.195506926115257</v>
      </c>
      <c r="CE93" s="62">
        <f t="shared" si="94"/>
        <v>352.52565673897004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17.504730920550383</v>
      </c>
      <c r="CL93" s="23">
        <f>EXP(-LN(2)/25)*CL92+(1-EXP(-LN(2)/25))/(LN(2)/25)*Calculateur!CG93*Calculateur!CI93*VLOOKUP('Données projet'!$B$12,Paramètres!$A$1:$I$89,3,0)*0.475*44/12</f>
        <v>2.6250944881829286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20.129825408733311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77.885897614924062</v>
      </c>
      <c r="CZ93" s="62">
        <f t="shared" si="96"/>
        <v>401.02460251355296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20.133236841527612</v>
      </c>
      <c r="DG93" s="23">
        <f>EXP(-LN(2)/25)*DG92+(1-EXP(-LN(2)/25))/(LN(2)/25)*Calculateur!DB93*Calculateur!DD93*VLOOKUP('Données projet'!$B$13,Paramètres!$A$1:$I$89,3,0)*0.475*44/12</f>
        <v>3.0192780055778083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23.152514847105422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79.532301588639172</v>
      </c>
      <c r="DU93" s="62">
        <f t="shared" si="98"/>
        <v>409.2657792678549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20.580642104672652</v>
      </c>
      <c r="EB93" s="23">
        <f>EXP(-LN(2)/25)*EB92+(1-EXP(-LN(2)/25))/(LN(2)/25)*Calculateur!DW93*Calculateur!DY93*VLOOKUP('Données projet'!$B$14,Paramètres!$A$1:$I$89,3,0)*0.475*44/12</f>
        <v>3.0863730723684255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23.667015177041076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77.885897614924062</v>
      </c>
      <c r="EP93" s="62">
        <f t="shared" si="100"/>
        <v>401.02460251355296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20.133236841527612</v>
      </c>
      <c r="EW93" s="23">
        <f>EXP(-LN(2)/25)*EW92+(1-EXP(-LN(2)/25))/(LN(2)/25)*Calculateur!ER93*Calculateur!ET93*VLOOKUP('Données projet'!$B$15,Paramètres!$A$1:$I$89,3,0)*0.475*44/12</f>
        <v>3.0192780055778083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23.152514847105422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837.69552936231958</v>
      </c>
      <c r="S94" s="62">
        <f ca="1">AVERAGE(OFFSET($R$3,0,0,'Données projet'!$E$9+1,1))-AVERAGE(OFFSET($H$3,0,0,'Données projet'!$E$9+1,1))</f>
        <v>426.87921482911719</v>
      </c>
      <c r="T94" s="62">
        <f t="shared" si="88"/>
        <v>313.49594674441835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280.00000000000006</v>
      </c>
      <c r="AJ94" s="14">
        <f>AI94*VLOOKUP('Données projet'!$B$10,Paramètres!$A$1:$I$89,3,0)*VLOOKUP('Données projet'!$B$10,Paramètres!$A$1:$I$89,5,0)</f>
        <v>283.92000000000007</v>
      </c>
      <c r="AK94" s="14">
        <f t="shared" si="89"/>
        <v>67.794746071143635</v>
      </c>
      <c r="AL94" s="22">
        <f t="shared" si="58"/>
        <v>612.56984940724203</v>
      </c>
      <c r="AM94" s="62">
        <f t="shared" si="59"/>
        <v>887.25667625008714</v>
      </c>
      <c r="AN94" s="62">
        <f ca="1">AVERAGE(OFFSET($AM$3,0,0,'Données projet'!$E$10+1,1))-AVERAGE(OFFSET($H$3,0,0,'Données projet'!$E$10+1,1))</f>
        <v>462.95686283420531</v>
      </c>
      <c r="AO94" s="62">
        <f t="shared" si="90"/>
        <v>275.54513370838777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6.5</v>
      </c>
      <c r="BD94" s="13">
        <f>IF('Données projet'!$A$88&gt;35,BD93+BC94-BL93,IF(A94&lt;'Données projet'!$A$88,$BA$205^A94,IF(A94='Données projet'!$A$88,'Données projet'!$B$88,BD93+BC94-BL93)))</f>
        <v>562.50000000000068</v>
      </c>
      <c r="BE94" s="14">
        <f>BD94*VLOOKUP('Données projet'!$B$11,Paramètres!$A$1:$I$89,3,0)*VLOOKUP('Données projet'!$B$11,Paramètres!$A$1:$I$89,5,0)</f>
        <v>336.37500000000045</v>
      </c>
      <c r="BF94" s="14">
        <f t="shared" si="91"/>
        <v>78.750531883095888</v>
      </c>
      <c r="BG94" s="22">
        <f t="shared" si="61"/>
        <v>723.01030136305951</v>
      </c>
      <c r="BH94" s="62">
        <f t="shared" si="62"/>
        <v>997.69712820590462</v>
      </c>
      <c r="BI94" s="62">
        <f ca="1">AVERAGE(OFFSET($BH$3,0,0,'Données projet'!$E$11+1,1))-AVERAGE(OFFSET($H$3,0,0,'Données projet'!$E$11+1,1))</f>
        <v>505.16888119060701</v>
      </c>
      <c r="BJ94" s="62">
        <f t="shared" si="92"/>
        <v>351.15312364640613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9.9069843707941524E-9</v>
      </c>
      <c r="BS94" s="24">
        <f t="shared" si="63"/>
        <v>9.9069843707941524E-9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68.195506926115257</v>
      </c>
      <c r="CE94" s="62">
        <f t="shared" si="94"/>
        <v>352.52565673897004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17.161473824030001</v>
      </c>
      <c r="CL94" s="23">
        <f>EXP(-LN(2)/25)*CL93+(1-EXP(-LN(2)/25))/(LN(2)/25)*Calculateur!CG94*Calculateur!CI94*VLOOKUP('Données projet'!$B$12,Paramètres!$A$1:$I$89,3,0)*0.475*44/12</f>
        <v>2.5533111413558469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19.714784965385846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77.885897614924062</v>
      </c>
      <c r="CZ94" s="62">
        <f t="shared" si="96"/>
        <v>401.02460251355296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19.738436347127173</v>
      </c>
      <c r="DG94" s="23">
        <f>EXP(-LN(2)/25)*DG93+(1-EXP(-LN(2)/25))/(LN(2)/25)*Calculateur!DB94*Calculateur!DD94*VLOOKUP('Données projet'!$B$13,Paramètres!$A$1:$I$89,3,0)*0.475*44/12</f>
        <v>2.9367156897383535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22.675152036865526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79.532301588639172</v>
      </c>
      <c r="DU94" s="62">
        <f t="shared" si="98"/>
        <v>409.2657792678549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20.177068265952204</v>
      </c>
      <c r="EB94" s="23">
        <f>EXP(-LN(2)/25)*EB93+(1-EXP(-LN(2)/25))/(LN(2)/25)*Calculateur!DW94*Calculateur!DY94*VLOOKUP('Données projet'!$B$14,Paramètres!$A$1:$I$89,3,0)*0.475*44/12</f>
        <v>3.0019760383992051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23.179044304351411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77.885897614924062</v>
      </c>
      <c r="EP94" s="62">
        <f t="shared" si="100"/>
        <v>401.02460251355296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19.738436347127173</v>
      </c>
      <c r="EW94" s="23">
        <f>EXP(-LN(2)/25)*EW93+(1-EXP(-LN(2)/25))/(LN(2)/25)*Calculateur!ER94*Calculateur!ET94*VLOOKUP('Données projet'!$B$15,Paramètres!$A$1:$I$89,3,0)*0.475*44/12</f>
        <v>2.9367156897383535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22.675152036865526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856.30588504155571</v>
      </c>
      <c r="S95" s="62">
        <f ca="1">AVERAGE(OFFSET($R$3,0,0,'Données projet'!$E$9+1,1))-AVERAGE(OFFSET($H$3,0,0,'Données projet'!$E$9+1,1))</f>
        <v>426.87921482911719</v>
      </c>
      <c r="T95" s="62">
        <f t="shared" si="88"/>
        <v>313.49594674441835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285.00000000000006</v>
      </c>
      <c r="AJ95" s="14">
        <f>AI95*VLOOKUP('Données projet'!$B$10,Paramètres!$A$1:$I$89,3,0)*VLOOKUP('Données projet'!$B$10,Paramètres!$A$1:$I$89,5,0)</f>
        <v>288.99000000000012</v>
      </c>
      <c r="AK95" s="14">
        <f t="shared" si="89"/>
        <v>68.863345904836791</v>
      </c>
      <c r="AL95" s="22">
        <f t="shared" si="58"/>
        <v>623.26124411759099</v>
      </c>
      <c r="AM95" s="62">
        <f t="shared" si="59"/>
        <v>898.27154616070266</v>
      </c>
      <c r="AN95" s="62">
        <f ca="1">AVERAGE(OFFSET($AM$3,0,0,'Données projet'!$E$10+1,1))-AVERAGE(OFFSET($H$3,0,0,'Données projet'!$E$10+1,1))</f>
        <v>462.95686283420531</v>
      </c>
      <c r="AO95" s="62">
        <f t="shared" si="90"/>
        <v>275.54513370838777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6.5</v>
      </c>
      <c r="BD95" s="13">
        <f>IF('Données projet'!$A$88&gt;35,BD94+BC95-BL94,IF(A95&lt;'Données projet'!$A$88,$BA$205^A95,IF(A95='Données projet'!$A$88,'Données projet'!$B$88,BD94+BC95-BL94)))</f>
        <v>569.00000000000068</v>
      </c>
      <c r="BE95" s="14">
        <f>BD95*VLOOKUP('Données projet'!$B$11,Paramètres!$A$1:$I$89,3,0)*VLOOKUP('Données projet'!$B$11,Paramètres!$A$1:$I$89,5,0)</f>
        <v>340.26200000000046</v>
      </c>
      <c r="BF95" s="14">
        <f t="shared" si="91"/>
        <v>79.554074853631121</v>
      </c>
      <c r="BG95" s="22">
        <f t="shared" si="61"/>
        <v>731.17966370340821</v>
      </c>
      <c r="BH95" s="62">
        <f t="shared" si="62"/>
        <v>1006.1899657465199</v>
      </c>
      <c r="BI95" s="62">
        <f ca="1">AVERAGE(OFFSET($BH$3,0,0,'Données projet'!$E$11+1,1))-AVERAGE(OFFSET($H$3,0,0,'Données projet'!$E$11+1,1))</f>
        <v>505.16888119060701</v>
      </c>
      <c r="BJ95" s="62">
        <f t="shared" si="92"/>
        <v>351.15312364640613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7.005295829697687E-9</v>
      </c>
      <c r="BS95" s="24">
        <f t="shared" si="63"/>
        <v>7.005295829697687E-9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68.195506926115257</v>
      </c>
      <c r="CE95" s="62">
        <f t="shared" si="94"/>
        <v>352.52565673897004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16.824947789806227</v>
      </c>
      <c r="CL95" s="23">
        <f>EXP(-LN(2)/25)*CL94+(1-EXP(-LN(2)/25))/(LN(2)/25)*Calculateur!CG95*Calculateur!CI95*VLOOKUP('Données projet'!$B$12,Paramètres!$A$1:$I$89,3,0)*0.475*44/12</f>
        <v>2.4834907139226741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19.308438503728901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77.885897614924062</v>
      </c>
      <c r="CZ95" s="62">
        <f t="shared" si="96"/>
        <v>401.02460251355296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19.351377649617405</v>
      </c>
      <c r="DG95" s="23">
        <f>EXP(-LN(2)/25)*DG94+(1-EXP(-LN(2)/25))/(LN(2)/25)*Calculateur!DB95*Calculateur!DD95*VLOOKUP('Données projet'!$B$13,Paramètres!$A$1:$I$89,3,0)*0.475*44/12</f>
        <v>2.8564110447672921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22.207788694384696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79.532301588639172</v>
      </c>
      <c r="DU95" s="62">
        <f t="shared" si="98"/>
        <v>409.2657792678549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19.781408264053329</v>
      </c>
      <c r="EB95" s="23">
        <f>EXP(-LN(2)/25)*EB94+(1-EXP(-LN(2)/25))/(LN(2)/25)*Calculateur!DW95*Calculateur!DY95*VLOOKUP('Données projet'!$B$14,Paramètres!$A$1:$I$89,3,0)*0.475*44/12</f>
        <v>2.9198868457621203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22.701295109815451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77.885897614924062</v>
      </c>
      <c r="EP95" s="62">
        <f t="shared" si="100"/>
        <v>401.02460251355296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19.351377649617405</v>
      </c>
      <c r="EW95" s="23">
        <f>EXP(-LN(2)/25)*EW94+(1-EXP(-LN(2)/25))/(LN(2)/25)*Calculateur!ER95*Calculateur!ET95*VLOOKUP('Données projet'!$B$15,Paramètres!$A$1:$I$89,3,0)*0.475*44/12</f>
        <v>2.8564110447672921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22.207788694384696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874.89863708764847</v>
      </c>
      <c r="S96" s="62">
        <f ca="1">AVERAGE(OFFSET($R$3,0,0,'Données projet'!$E$9+1,1))-AVERAGE(OFFSET($H$3,0,0,'Données projet'!$E$9+1,1))</f>
        <v>426.87921482911719</v>
      </c>
      <c r="T96" s="62">
        <f t="shared" si="88"/>
        <v>313.49594674441835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290.00000000000006</v>
      </c>
      <c r="AJ96" s="14">
        <f>AI96*VLOOKUP('Données projet'!$B$10,Paramètres!$A$1:$I$89,3,0)*VLOOKUP('Données projet'!$B$10,Paramètres!$A$1:$I$89,5,0)</f>
        <v>294.06000000000012</v>
      </c>
      <c r="AK96" s="14">
        <f t="shared" si="89"/>
        <v>69.929765653573369</v>
      </c>
      <c r="AL96" s="22">
        <f t="shared" si="58"/>
        <v>633.94884184664045</v>
      </c>
      <c r="AM96" s="62">
        <f t="shared" si="59"/>
        <v>909.27700751847647</v>
      </c>
      <c r="AN96" s="62">
        <f ca="1">AVERAGE(OFFSET($AM$3,0,0,'Données projet'!$E$10+1,1))-AVERAGE(OFFSET($H$3,0,0,'Données projet'!$E$10+1,1))</f>
        <v>462.95686283420531</v>
      </c>
      <c r="AO96" s="62">
        <f t="shared" si="90"/>
        <v>275.54513370838777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6.5</v>
      </c>
      <c r="BD96" s="13">
        <f>IF('Données projet'!$A$88&gt;35,BD95+BC96-BL95,IF(A96&lt;'Données projet'!$A$88,$BA$205^A96,IF(A96='Données projet'!$A$88,'Données projet'!$B$88,BD95+BC96-BL95)))</f>
        <v>575.50000000000068</v>
      </c>
      <c r="BE96" s="14">
        <f>BD96*VLOOKUP('Données projet'!$B$11,Paramètres!$A$1:$I$89,3,0)*VLOOKUP('Données projet'!$B$11,Paramètres!$A$1:$I$89,5,0)</f>
        <v>344.1490000000004</v>
      </c>
      <c r="BF96" s="14">
        <f t="shared" si="91"/>
        <v>80.356550037589372</v>
      </c>
      <c r="BG96" s="22">
        <f t="shared" si="61"/>
        <v>739.34716631546883</v>
      </c>
      <c r="BH96" s="62">
        <f t="shared" si="62"/>
        <v>1014.6753319873048</v>
      </c>
      <c r="BI96" s="62">
        <f ca="1">AVERAGE(OFFSET($BH$3,0,0,'Données projet'!$E$11+1,1))-AVERAGE(OFFSET($H$3,0,0,'Données projet'!$E$11+1,1))</f>
        <v>505.16888119060701</v>
      </c>
      <c r="BJ96" s="62">
        <f t="shared" si="92"/>
        <v>351.15312364640613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4.9534921853970762E-9</v>
      </c>
      <c r="BS96" s="24">
        <f t="shared" si="63"/>
        <v>4.9534921853970762E-9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68.195506926115257</v>
      </c>
      <c r="CE96" s="62">
        <f t="shared" si="94"/>
        <v>352.52565673897004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16.495020825852972</v>
      </c>
      <c r="CL96" s="23">
        <f>EXP(-LN(2)/25)*CL95+(1-EXP(-LN(2)/25))/(LN(2)/25)*Calculateur!CG96*Calculateur!CI96*VLOOKUP('Données projet'!$B$12,Paramètres!$A$1:$I$89,3,0)*0.475*44/12</f>
        <v>2.4155795297493579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18.91060035560233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77.885897614924062</v>
      </c>
      <c r="CZ96" s="62">
        <f t="shared" si="96"/>
        <v>401.02460251355296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18.971908937083306</v>
      </c>
      <c r="DG96" s="23">
        <f>EXP(-LN(2)/25)*DG95+(1-EXP(-LN(2)/25))/(LN(2)/25)*Calculateur!DB96*Calculateur!DD96*VLOOKUP('Données projet'!$B$13,Paramètres!$A$1:$I$89,3,0)*0.475*44/12</f>
        <v>2.7783023345360021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21.750211271619307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79.532301588639172</v>
      </c>
      <c r="DU96" s="62">
        <f t="shared" si="98"/>
        <v>409.2657792678549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19.393506913462918</v>
      </c>
      <c r="EB96" s="23">
        <f>EXP(-LN(2)/25)*EB95+(1-EXP(-LN(2)/25))/(LN(2)/25)*Calculateur!DW96*Calculateur!DY96*VLOOKUP('Données projet'!$B$14,Paramètres!$A$1:$I$89,3,0)*0.475*44/12</f>
        <v>2.8400423864145794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22.233549299877499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77.885897614924062</v>
      </c>
      <c r="EP96" s="62">
        <f t="shared" si="100"/>
        <v>401.02460251355296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18.971908937083306</v>
      </c>
      <c r="EW96" s="23">
        <f>EXP(-LN(2)/25)*EW95+(1-EXP(-LN(2)/25))/(LN(2)/25)*Calculateur!ER96*Calculateur!ET96*VLOOKUP('Données projet'!$B$15,Paramètres!$A$1:$I$89,3,0)*0.475*44/12</f>
        <v>2.7783023345360021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21.750211271619307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893.47429954523682</v>
      </c>
      <c r="S97" s="62">
        <f ca="1">AVERAGE(OFFSET($R$3,0,0,'Données projet'!$E$9+1,1))-AVERAGE(OFFSET($H$3,0,0,'Données projet'!$E$9+1,1))</f>
        <v>426.87921482911719</v>
      </c>
      <c r="T97" s="62">
        <f t="shared" si="88"/>
        <v>313.49594674441835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295.00000000000006</v>
      </c>
      <c r="AJ97" s="14">
        <f>AI97*VLOOKUP('Données projet'!$B$10,Paramètres!$A$1:$I$89,3,0)*VLOOKUP('Données projet'!$B$10,Paramètres!$A$1:$I$89,5,0)</f>
        <v>299.13000000000011</v>
      </c>
      <c r="AK97" s="14">
        <f t="shared" si="89"/>
        <v>70.994047242337274</v>
      </c>
      <c r="AL97" s="22">
        <f t="shared" si="58"/>
        <v>644.63271561373756</v>
      </c>
      <c r="AM97" s="62">
        <f t="shared" si="59"/>
        <v>920.27323069097611</v>
      </c>
      <c r="AN97" s="62">
        <f ca="1">AVERAGE(OFFSET($AM$3,0,0,'Données projet'!$E$10+1,1))-AVERAGE(OFFSET($H$3,0,0,'Données projet'!$E$10+1,1))</f>
        <v>462.95686283420531</v>
      </c>
      <c r="AO97" s="62">
        <f t="shared" si="90"/>
        <v>275.54513370838777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6.5</v>
      </c>
      <c r="BD97" s="13">
        <f>IF('Données projet'!$A$88&gt;35,BD96+BC97-BL96,IF(A97&lt;'Données projet'!$A$88,$BA$205^A97,IF(A97='Données projet'!$A$88,'Données projet'!$B$88,BD96+BC97-BL96)))</f>
        <v>582.00000000000068</v>
      </c>
      <c r="BE97" s="14">
        <f>BD97*VLOOKUP('Données projet'!$B$11,Paramètres!$A$1:$I$89,3,0)*VLOOKUP('Données projet'!$B$11,Paramètres!$A$1:$I$89,5,0)</f>
        <v>348.0360000000004</v>
      </c>
      <c r="BF97" s="14">
        <f t="shared" si="91"/>
        <v>81.157970890643924</v>
      </c>
      <c r="BG97" s="22">
        <f t="shared" si="61"/>
        <v>747.51283263453888</v>
      </c>
      <c r="BH97" s="62">
        <f t="shared" si="62"/>
        <v>1023.1533477117773</v>
      </c>
      <c r="BI97" s="62">
        <f ca="1">AVERAGE(OFFSET($BH$3,0,0,'Données projet'!$E$11+1,1))-AVERAGE(OFFSET($H$3,0,0,'Données projet'!$E$11+1,1))</f>
        <v>505.16888119060701</v>
      </c>
      <c r="BJ97" s="62">
        <f t="shared" si="92"/>
        <v>351.15312364640613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3.5026479148488435E-9</v>
      </c>
      <c r="BS97" s="24">
        <f t="shared" si="63"/>
        <v>3.5026479148488435E-9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68.195506926115257</v>
      </c>
      <c r="CE97" s="62">
        <f t="shared" si="94"/>
        <v>352.52565673897004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16.17156352842726</v>
      </c>
      <c r="CL97" s="23">
        <f>EXP(-LN(2)/25)*CL96+(1-EXP(-LN(2)/25))/(LN(2)/25)*Calculateur!CG97*Calculateur!CI97*VLOOKUP('Données projet'!$B$12,Paramètres!$A$1:$I$89,3,0)*0.475*44/12</f>
        <v>2.3495253804785552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18.521088908905817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77.885897614924062</v>
      </c>
      <c r="CZ97" s="62">
        <f t="shared" si="96"/>
        <v>401.02460251355296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18.599881374548943</v>
      </c>
      <c r="DG97" s="23">
        <f>EXP(-LN(2)/25)*DG96+(1-EXP(-LN(2)/25))/(LN(2)/25)*Calculateur!DB97*Calculateur!DD97*VLOOKUP('Données projet'!$B$13,Paramètres!$A$1:$I$89,3,0)*0.475*44/12</f>
        <v>2.702329511093545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21.302210885642488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79.532301588639172</v>
      </c>
      <c r="DU97" s="62">
        <f t="shared" si="98"/>
        <v>409.2657792678549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19.013212071761124</v>
      </c>
      <c r="EB97" s="23">
        <f>EXP(-LN(2)/25)*EB96+(1-EXP(-LN(2)/25))/(LN(2)/25)*Calculateur!DW97*Calculateur!DY97*VLOOKUP('Données projet'!$B$14,Paramètres!$A$1:$I$89,3,0)*0.475*44/12</f>
        <v>2.7623812780067345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21.77559334976786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77.885897614924062</v>
      </c>
      <c r="EP97" s="62">
        <f t="shared" si="100"/>
        <v>401.02460251355296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18.599881374548943</v>
      </c>
      <c r="EW97" s="23">
        <f>EXP(-LN(2)/25)*EW96+(1-EXP(-LN(2)/25))/(LN(2)/25)*Calculateur!ER97*Calculateur!ET97*VLOOKUP('Données projet'!$B$15,Paramètres!$A$1:$I$89,3,0)*0.475*44/12</f>
        <v>2.702329511093545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21.302210885642488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912.03335814611228</v>
      </c>
      <c r="S98" s="62">
        <f ca="1">AVERAGE(OFFSET($R$3,0,0,'Données projet'!$E$9+1,1))-AVERAGE(OFFSET($H$3,0,0,'Données projet'!$E$9+1,1))</f>
        <v>426.87921482911719</v>
      </c>
      <c r="T98" s="62">
        <f t="shared" si="88"/>
        <v>313.49594674441835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300.00000000000006</v>
      </c>
      <c r="AJ98" s="14">
        <f>AI98*VLOOKUP('Données projet'!$B$10,Paramètres!$A$1:$I$89,3,0)*VLOOKUP('Données projet'!$B$10,Paramètres!$A$1:$I$89,5,0)</f>
        <v>304.2000000000001</v>
      </c>
      <c r="AK98" s="14">
        <f t="shared" si="89"/>
        <v>72.056231093481074</v>
      </c>
      <c r="AL98" s="22">
        <f t="shared" si="58"/>
        <v>655.31293582114643</v>
      </c>
      <c r="AM98" s="62">
        <f t="shared" si="59"/>
        <v>931.26038173991242</v>
      </c>
      <c r="AN98" s="62">
        <f ca="1">AVERAGE(OFFSET($AM$3,0,0,'Données projet'!$E$10+1,1))-AVERAGE(OFFSET($H$3,0,0,'Données projet'!$E$10+1,1))</f>
        <v>462.95686283420531</v>
      </c>
      <c r="AO98" s="62">
        <f t="shared" si="90"/>
        <v>275.54513370838777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6.5</v>
      </c>
      <c r="BD98" s="13">
        <f>IF('Données projet'!$A$88&gt;35,BD97+BC98-BL97,IF(A98&lt;'Données projet'!$A$88,$BA$205^A98,IF(A98='Données projet'!$A$88,'Données projet'!$B$88,BD97+BC98-BL97)))</f>
        <v>588.50000000000068</v>
      </c>
      <c r="BE98" s="14">
        <f>BD98*VLOOKUP('Données projet'!$B$11,Paramètres!$A$1:$I$89,3,0)*VLOOKUP('Données projet'!$B$11,Paramètres!$A$1:$I$89,5,0)</f>
        <v>351.92300000000046</v>
      </c>
      <c r="BF98" s="14">
        <f t="shared" si="91"/>
        <v>81.958350550606028</v>
      </c>
      <c r="BG98" s="22">
        <f t="shared" si="61"/>
        <v>755.67668554230625</v>
      </c>
      <c r="BH98" s="62">
        <f t="shared" si="62"/>
        <v>1031.6241314610722</v>
      </c>
      <c r="BI98" s="62">
        <f ca="1">AVERAGE(OFFSET($BH$3,0,0,'Données projet'!$E$11+1,1))-AVERAGE(OFFSET($H$3,0,0,'Données projet'!$E$11+1,1))</f>
        <v>505.16888119060701</v>
      </c>
      <c r="BJ98" s="62">
        <f t="shared" si="92"/>
        <v>351.15312364640613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2.4767460926985381E-9</v>
      </c>
      <c r="BS98" s="24">
        <f t="shared" si="63"/>
        <v>2.4767460926985381E-9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68.195506926115257</v>
      </c>
      <c r="CE98" s="62">
        <f t="shared" si="94"/>
        <v>352.52565673897004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15.854449031314596</v>
      </c>
      <c r="CL98" s="23">
        <f>EXP(-LN(2)/25)*CL97+(1-EXP(-LN(2)/25))/(LN(2)/25)*Calculateur!CG98*Calculateur!CI98*VLOOKUP('Données projet'!$B$12,Paramètres!$A$1:$I$89,3,0)*0.475*44/12</f>
        <v>2.2852774853931992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18.139726516707796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77.885897614924062</v>
      </c>
      <c r="CZ98" s="62">
        <f t="shared" si="96"/>
        <v>401.02460251355296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18.235149045601471</v>
      </c>
      <c r="DG98" s="23">
        <f>EXP(-LN(2)/25)*DG97+(1-EXP(-LN(2)/25))/(LN(2)/25)*Calculateur!DB98*Calculateur!DD98*VLOOKUP('Données projet'!$B$13,Paramètres!$A$1:$I$89,3,0)*0.475*44/12</f>
        <v>2.6284341685033592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20.863583214104828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79.532301588639172</v>
      </c>
      <c r="DU98" s="62">
        <f t="shared" si="98"/>
        <v>409.2657792678549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18.640374579948151</v>
      </c>
      <c r="EB98" s="23">
        <f>EXP(-LN(2)/25)*EB97+(1-EXP(-LN(2)/25))/(LN(2)/25)*Calculateur!DW98*Calculateur!DY98*VLOOKUP('Données projet'!$B$14,Paramètres!$A$1:$I$89,3,0)*0.475*44/12</f>
        <v>2.6868438166923223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21.327218396640475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77.885897614924062</v>
      </c>
      <c r="EP98" s="62">
        <f t="shared" si="100"/>
        <v>401.02460251355296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18.235149045601471</v>
      </c>
      <c r="EW98" s="23">
        <f>EXP(-LN(2)/25)*EW97+(1-EXP(-LN(2)/25))/(LN(2)/25)*Calculateur!ER98*Calculateur!ET98*VLOOKUP('Données projet'!$B$15,Paramètres!$A$1:$I$89,3,0)*0.475*44/12</f>
        <v>2.6284341685033592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20.863583214104828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930.57627277030508</v>
      </c>
      <c r="S99" s="62">
        <f ca="1">AVERAGE(OFFSET($R$3,0,0,'Données projet'!$E$9+1,1))-AVERAGE(OFFSET($H$3,0,0,'Données projet'!$E$9+1,1))</f>
        <v>426.87921482911719</v>
      </c>
      <c r="T99" s="62">
        <f t="shared" si="88"/>
        <v>313.49594674441835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283.80000000000007</v>
      </c>
      <c r="AJ99" s="14">
        <f>AI99*VLOOKUP('Données projet'!$B$10,Paramètres!$A$1:$I$89,3,0)*VLOOKUP('Données projet'!$B$10,Paramètres!$A$1:$I$89,5,0)</f>
        <v>287.77320000000009</v>
      </c>
      <c r="AK99" s="14">
        <f t="shared" si="89"/>
        <v>68.607082381743922</v>
      </c>
      <c r="AL99" s="22">
        <f t="shared" si="58"/>
        <v>620.69565848153741</v>
      </c>
      <c r="AM99" s="62">
        <f t="shared" si="59"/>
        <v>896.94471067792483</v>
      </c>
      <c r="AN99" s="62">
        <f ca="1">AVERAGE(OFFSET($AM$3,0,0,'Données projet'!$E$10+1,1))-AVERAGE(OFFSET($H$3,0,0,'Données projet'!$E$10+1,1))</f>
        <v>462.95686283420531</v>
      </c>
      <c r="AO99" s="62">
        <f t="shared" si="90"/>
        <v>275.54513370838777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6.5</v>
      </c>
      <c r="BD99" s="13">
        <f>IF('Données projet'!$A$88&gt;35,BD98+BC99-BL98,IF(A99&lt;'Données projet'!$A$88,$BA$205^A99,IF(A99='Données projet'!$A$88,'Données projet'!$B$88,BD98+BC99-BL98)))</f>
        <v>595.00000000000068</v>
      </c>
      <c r="BE99" s="14">
        <f>BD99*VLOOKUP('Données projet'!$B$11,Paramètres!$A$1:$I$89,3,0)*VLOOKUP('Données projet'!$B$11,Paramètres!$A$1:$I$89,5,0)</f>
        <v>355.81000000000046</v>
      </c>
      <c r="BF99" s="14">
        <f t="shared" si="91"/>
        <v>82.757701848360327</v>
      </c>
      <c r="BG99" s="22">
        <f t="shared" si="61"/>
        <v>763.83874738589509</v>
      </c>
      <c r="BH99" s="62">
        <f t="shared" si="62"/>
        <v>1040.0877995822825</v>
      </c>
      <c r="BI99" s="62">
        <f ca="1">AVERAGE(OFFSET($BH$3,0,0,'Données projet'!$E$11+1,1))-AVERAGE(OFFSET($H$3,0,0,'Données projet'!$E$11+1,1))</f>
        <v>505.16888119060701</v>
      </c>
      <c r="BJ99" s="62">
        <f t="shared" si="92"/>
        <v>351.15312364640613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1.7513239574244218E-9</v>
      </c>
      <c r="BS99" s="24">
        <f t="shared" si="63"/>
        <v>1.7513239574244218E-9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68.195506926115257</v>
      </c>
      <c r="CE99" s="62">
        <f t="shared" si="94"/>
        <v>352.52565673897004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15.543552956069567</v>
      </c>
      <c r="CL99" s="23">
        <f>EXP(-LN(2)/25)*CL98+(1-EXP(-LN(2)/25))/(LN(2)/25)*Calculateur!CG99*Calculateur!CI99*VLOOKUP('Données projet'!$B$12,Paramètres!$A$1:$I$89,3,0)*0.475*44/12</f>
        <v>2.2227864523776022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17.76633940844717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77.885897614924062</v>
      </c>
      <c r="CZ99" s="62">
        <f t="shared" si="96"/>
        <v>401.02460251355296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17.877568895159904</v>
      </c>
      <c r="DG99" s="23">
        <f>EXP(-LN(2)/25)*DG98+(1-EXP(-LN(2)/25))/(LN(2)/25)*Calculateur!DB99*Calculateur!DD99*VLOOKUP('Données projet'!$B$13,Paramètres!$A$1:$I$89,3,0)*0.475*44/12</f>
        <v>2.5565594979422892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20.434128393102192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79.532301588639172</v>
      </c>
      <c r="DU99" s="62">
        <f t="shared" si="98"/>
        <v>409.2657792678549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18.274848203941218</v>
      </c>
      <c r="EB99" s="23">
        <f>EXP(-LN(2)/25)*EB98+(1-EXP(-LN(2)/25))/(LN(2)/25)*Calculateur!DW99*Calculateur!DY99*VLOOKUP('Données projet'!$B$14,Paramètres!$A$1:$I$89,3,0)*0.475*44/12</f>
        <v>2.6133719312298953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20.888220135171114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77.885897614924062</v>
      </c>
      <c r="EP99" s="62">
        <f t="shared" si="100"/>
        <v>401.02460251355296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17.877568895159904</v>
      </c>
      <c r="EW99" s="23">
        <f>EXP(-LN(2)/25)*EW98+(1-EXP(-LN(2)/25))/(LN(2)/25)*Calculateur!ER99*Calculateur!ET99*VLOOKUP('Données projet'!$B$15,Paramètres!$A$1:$I$89,3,0)*0.475*44/12</f>
        <v>2.5565594979422892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20.434128393102192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949.10347962159233</v>
      </c>
      <c r="S100" s="62">
        <f ca="1">AVERAGE(OFFSET($R$3,0,0,'Données projet'!$E$9+1,1))-AVERAGE(OFFSET($H$3,0,0,'Données projet'!$E$9+1,1))</f>
        <v>426.87921482911719</v>
      </c>
      <c r="T100" s="62">
        <f t="shared" si="88"/>
        <v>313.49594674441835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288.60000000000008</v>
      </c>
      <c r="AJ100" s="14">
        <f>AI100*VLOOKUP('Données projet'!$B$10,Paramètres!$A$1:$I$89,3,0)*VLOOKUP('Données projet'!$B$10,Paramètres!$A$1:$I$89,5,0)</f>
        <v>292.64040000000011</v>
      </c>
      <c r="AK100" s="14">
        <f t="shared" si="89"/>
        <v>69.631385425090059</v>
      </c>
      <c r="AL100" s="22">
        <f t="shared" si="58"/>
        <v>630.95669294869867</v>
      </c>
      <c r="AM100" s="62">
        <f t="shared" si="59"/>
        <v>907.50211922808148</v>
      </c>
      <c r="AN100" s="62">
        <f ca="1">AVERAGE(OFFSET($AM$3,0,0,'Données projet'!$E$10+1,1))-AVERAGE(OFFSET($H$3,0,0,'Données projet'!$E$10+1,1))</f>
        <v>462.95686283420531</v>
      </c>
      <c r="AO100" s="62">
        <f t="shared" si="90"/>
        <v>275.54513370838777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6.5</v>
      </c>
      <c r="BD100" s="13">
        <f>IF('Données projet'!$A$88&gt;35,BD99+BC100-BL99,IF(A100&lt;'Données projet'!$A$88,$BA$205^A100,IF(A100='Données projet'!$A$88,'Données projet'!$B$88,BD99+BC100-BL99)))</f>
        <v>601.50000000000068</v>
      </c>
      <c r="BE100" s="14">
        <f>BD100*VLOOKUP('Données projet'!$B$11,Paramètres!$A$1:$I$89,3,0)*VLOOKUP('Données projet'!$B$11,Paramètres!$A$1:$I$89,5,0)</f>
        <v>359.69700000000046</v>
      </c>
      <c r="BF100" s="14">
        <f t="shared" si="91"/>
        <v>83.5560373183081</v>
      </c>
      <c r="BG100" s="22">
        <f t="shared" si="61"/>
        <v>771.99903999605397</v>
      </c>
      <c r="BH100" s="62">
        <f t="shared" si="62"/>
        <v>1048.5444662754367</v>
      </c>
      <c r="BI100" s="62">
        <f ca="1">AVERAGE(OFFSET($BH$3,0,0,'Données projet'!$E$11+1,1))-AVERAGE(OFFSET($H$3,0,0,'Données projet'!$E$11+1,1))</f>
        <v>505.16888119060701</v>
      </c>
      <c r="BJ100" s="62">
        <f t="shared" si="92"/>
        <v>351.15312364640613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1.2383730463492691E-9</v>
      </c>
      <c r="BS100" s="24">
        <f t="shared" si="63"/>
        <v>1.2383730463492691E-9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68.195506926115257</v>
      </c>
      <c r="CE100" s="62">
        <f t="shared" si="94"/>
        <v>352.52565673897004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15.238753363232211</v>
      </c>
      <c r="CL100" s="23">
        <f>EXP(-LN(2)/25)*CL99+(1-EXP(-LN(2)/25))/(LN(2)/25)*Calculateur!CG100*Calculateur!CI100*VLOOKUP('Données projet'!$B$12,Paramètres!$A$1:$I$89,3,0)*0.475*44/12</f>
        <v>2.1620042399460773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17.400757603178288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77.885897614924062</v>
      </c>
      <c r="CZ100" s="62">
        <f t="shared" si="96"/>
        <v>401.02460251355296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17.527000673366139</v>
      </c>
      <c r="DG100" s="23">
        <f>EXP(-LN(2)/25)*DG99+(1-EXP(-LN(2)/25))/(LN(2)/25)*Calculateur!DB100*Calculateur!DD100*VLOOKUP('Données projet'!$B$13,Paramètres!$A$1:$I$89,3,0)*0.475*44/12</f>
        <v>2.4866502440274365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20.013650917393576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79.532301588639172</v>
      </c>
      <c r="DU100" s="62">
        <f t="shared" si="98"/>
        <v>409.2657792678549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17.916489577218705</v>
      </c>
      <c r="EB100" s="23">
        <f>EXP(-LN(2)/25)*EB99+(1-EXP(-LN(2)/25))/(LN(2)/25)*Calculateur!DW100*Calculateur!DY100*VLOOKUP('Données projet'!$B$14,Paramètres!$A$1:$I$89,3,0)*0.475*44/12</f>
        <v>2.541909138339157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20.458398715557863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77.885897614924062</v>
      </c>
      <c r="EP100" s="62">
        <f t="shared" si="100"/>
        <v>401.02460251355296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17.527000673366139</v>
      </c>
      <c r="EW100" s="23">
        <f>EXP(-LN(2)/25)*EW99+(1-EXP(-LN(2)/25))/(LN(2)/25)*Calculateur!ER100*Calculateur!ET100*VLOOKUP('Données projet'!$B$15,Paramètres!$A$1:$I$89,3,0)*0.475*44/12</f>
        <v>2.4866502440274365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20.013650917393576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967.61539315782761</v>
      </c>
      <c r="S101" s="62">
        <f ca="1">AVERAGE(OFFSET($R$3,0,0,'Données projet'!$E$9+1,1))-AVERAGE(OFFSET($H$3,0,0,'Données projet'!$E$9+1,1))</f>
        <v>426.87921482911719</v>
      </c>
      <c r="T101" s="62">
        <f t="shared" si="88"/>
        <v>313.49594674441835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293.40000000000009</v>
      </c>
      <c r="AJ101" s="14">
        <f>AI101*VLOOKUP('Données projet'!$B$10,Paramètres!$A$1:$I$89,3,0)*VLOOKUP('Données projet'!$B$10,Paramètres!$A$1:$I$89,5,0)</f>
        <v>297.50760000000014</v>
      </c>
      <c r="AK101" s="14">
        <f t="shared" si="89"/>
        <v>70.653707273535787</v>
      </c>
      <c r="AL101" s="22">
        <f t="shared" si="58"/>
        <v>641.21427683474178</v>
      </c>
      <c r="AM101" s="62">
        <f t="shared" si="59"/>
        <v>918.05093576937315</v>
      </c>
      <c r="AN101" s="62">
        <f ca="1">AVERAGE(OFFSET($AM$3,0,0,'Données projet'!$E$10+1,1))-AVERAGE(OFFSET($H$3,0,0,'Données projet'!$E$10+1,1))</f>
        <v>462.95686283420531</v>
      </c>
      <c r="AO101" s="62">
        <f t="shared" si="90"/>
        <v>275.54513370838777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6.5</v>
      </c>
      <c r="BD101" s="13">
        <f>IF('Données projet'!$A$88&gt;35,BD100+BC101-BL100,IF(A101&lt;'Données projet'!$A$88,$BA$205^A101,IF(A101='Données projet'!$A$88,'Données projet'!$B$88,BD100+BC101-BL100)))</f>
        <v>608.00000000000068</v>
      </c>
      <c r="BE101" s="14">
        <f>BD101*VLOOKUP('Données projet'!$B$11,Paramètres!$A$1:$I$89,3,0)*VLOOKUP('Données projet'!$B$11,Paramètres!$A$1:$I$89,5,0)</f>
        <v>363.58400000000046</v>
      </c>
      <c r="BF101" s="14">
        <f t="shared" si="91"/>
        <v>84.353369208346365</v>
      </c>
      <c r="BG101" s="22">
        <f t="shared" si="61"/>
        <v>780.15758470453738</v>
      </c>
      <c r="BH101" s="62">
        <f t="shared" si="62"/>
        <v>1056.9942436391689</v>
      </c>
      <c r="BI101" s="62">
        <f ca="1">AVERAGE(OFFSET($BH$3,0,0,'Données projet'!$E$11+1,1))-AVERAGE(OFFSET($H$3,0,0,'Données projet'!$E$11+1,1))</f>
        <v>505.16888119060701</v>
      </c>
      <c r="BJ101" s="62">
        <f t="shared" si="92"/>
        <v>351.15312364640613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8.7566197871221088E-10</v>
      </c>
      <c r="BS101" s="24">
        <f t="shared" si="63"/>
        <v>8.7566197871221088E-10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68.195506926115257</v>
      </c>
      <c r="CE101" s="62">
        <f t="shared" si="94"/>
        <v>352.52565673897004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14.939930704501002</v>
      </c>
      <c r="CL101" s="23">
        <f>EXP(-LN(2)/25)*CL100+(1-EXP(-LN(2)/25))/(LN(2)/25)*Calculateur!CG101*Calculateur!CI101*VLOOKUP('Données projet'!$B$12,Paramètres!$A$1:$I$89,3,0)*0.475*44/12</f>
        <v>2.10288412030989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17.042814824810893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77.885897614924062</v>
      </c>
      <c r="CZ101" s="62">
        <f t="shared" si="96"/>
        <v>401.02460251355296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17.18330688057625</v>
      </c>
      <c r="DG101" s="23">
        <f>EXP(-LN(2)/25)*DG100+(1-EXP(-LN(2)/25))/(LN(2)/25)*Calculateur!DB101*Calculateur!DD101*VLOOKUP('Données projet'!$B$13,Paramètres!$A$1:$I$89,3,0)*0.475*44/12</f>
        <v>2.4186526623372533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19.601959542913505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79.532301588639172</v>
      </c>
      <c r="DU101" s="62">
        <f t="shared" si="98"/>
        <v>409.2657792678549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17.565158144589041</v>
      </c>
      <c r="EB101" s="23">
        <f>EXP(-LN(2)/25)*EB100+(1-EXP(-LN(2)/25))/(LN(2)/25)*Calculateur!DW101*Calculateur!DY101*VLOOKUP('Données projet'!$B$14,Paramètres!$A$1:$I$89,3,0)*0.475*44/12</f>
        <v>2.4724004992780806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20.037558643867122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77.885897614924062</v>
      </c>
      <c r="EP101" s="62">
        <f t="shared" si="100"/>
        <v>401.02460251355296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17.18330688057625</v>
      </c>
      <c r="EW101" s="23">
        <f>EXP(-LN(2)/25)*EW100+(1-EXP(-LN(2)/25))/(LN(2)/25)*Calculateur!ER101*Calculateur!ET101*VLOOKUP('Données projet'!$B$15,Paramètres!$A$1:$I$89,3,0)*0.475*44/12</f>
        <v>2.4186526623372533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19.601959542913505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986.1124078098328</v>
      </c>
      <c r="S102" s="62">
        <f ca="1">AVERAGE(OFFSET($R$3,0,0,'Données projet'!$E$9+1,1))-AVERAGE(OFFSET($H$3,0,0,'Données projet'!$E$9+1,1))</f>
        <v>426.87921482911719</v>
      </c>
      <c r="T102" s="62">
        <f t="shared" si="88"/>
        <v>313.49594674441835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298.2000000000001</v>
      </c>
      <c r="AJ102" s="14">
        <f>AI102*VLOOKUP('Données projet'!$B$10,Paramètres!$A$1:$I$89,3,0)*VLOOKUP('Données projet'!$B$10,Paramètres!$A$1:$I$89,5,0)</f>
        <v>302.37480000000011</v>
      </c>
      <c r="AK102" s="14">
        <f t="shared" si="89"/>
        <v>71.674084080863864</v>
      </c>
      <c r="AL102" s="22">
        <f t="shared" si="58"/>
        <v>651.46847310750468</v>
      </c>
      <c r="AM102" s="62">
        <f t="shared" si="59"/>
        <v>928.59131246191487</v>
      </c>
      <c r="AN102" s="62">
        <f ca="1">AVERAGE(OFFSET($AM$3,0,0,'Données projet'!$E$10+1,1))-AVERAGE(OFFSET($H$3,0,0,'Données projet'!$E$10+1,1))</f>
        <v>462.95686283420531</v>
      </c>
      <c r="AO102" s="62">
        <f t="shared" si="90"/>
        <v>275.54513370838777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6.5</v>
      </c>
      <c r="BD102" s="13">
        <f>IF('Données projet'!$A$88&gt;35,BD101+BC102-BL101,IF(A102&lt;'Données projet'!$A$88,$BA$205^A102,IF(A102='Données projet'!$A$88,'Données projet'!$B$88,BD101+BC102-BL101)))</f>
        <v>614.50000000000068</v>
      </c>
      <c r="BE102" s="14">
        <f>BD102*VLOOKUP('Données projet'!$B$11,Paramètres!$A$1:$I$89,3,0)*VLOOKUP('Données projet'!$B$11,Paramètres!$A$1:$I$89,5,0)</f>
        <v>367.4710000000004</v>
      </c>
      <c r="BF102" s="14">
        <f t="shared" si="91"/>
        <v>85.149709489407996</v>
      </c>
      <c r="BG102" s="22">
        <f t="shared" si="61"/>
        <v>788.31440236071967</v>
      </c>
      <c r="BH102" s="62">
        <f t="shared" si="62"/>
        <v>1065.4372417151299</v>
      </c>
      <c r="BI102" s="62">
        <f ca="1">AVERAGE(OFFSET($BH$3,0,0,'Données projet'!$E$11+1,1))-AVERAGE(OFFSET($H$3,0,0,'Données projet'!$E$11+1,1))</f>
        <v>505.16888119060701</v>
      </c>
      <c r="BJ102" s="62">
        <f t="shared" si="92"/>
        <v>351.15312364640613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6.1918652317463453E-10</v>
      </c>
      <c r="BS102" s="24">
        <f t="shared" si="63"/>
        <v>6.1918652317463453E-10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68.195506926115257</v>
      </c>
      <c r="CE102" s="62">
        <f t="shared" si="94"/>
        <v>352.52565673897004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14.646967775843686</v>
      </c>
      <c r="CL102" s="23">
        <f>EXP(-LN(2)/25)*CL101+(1-EXP(-LN(2)/25))/(LN(2)/25)*Calculateur!CG102*Calculateur!CI102*VLOOKUP('Données projet'!$B$12,Paramètres!$A$1:$I$89,3,0)*0.475*44/12</f>
        <v>2.0453806434541466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16.692348419297833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77.885897614924062</v>
      </c>
      <c r="CZ102" s="62">
        <f t="shared" si="96"/>
        <v>401.02460251355296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16.846352713430456</v>
      </c>
      <c r="DG102" s="23">
        <f>EXP(-LN(2)/25)*DG101+(1-EXP(-LN(2)/25))/(LN(2)/25)*Calculateur!DB102*Calculateur!DD102*VLOOKUP('Données projet'!$B$13,Paramètres!$A$1:$I$89,3,0)*0.475*44/12</f>
        <v>2.3525144780942253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19.19886719152468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79.532301588639172</v>
      </c>
      <c r="DU102" s="62">
        <f t="shared" si="98"/>
        <v>409.2657792678549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17.220716107062231</v>
      </c>
      <c r="EB102" s="23">
        <f>EXP(-LN(2)/25)*EB101+(1-EXP(-LN(2)/25))/(LN(2)/25)*Calculateur!DW102*Calculateur!DY102*VLOOKUP('Données projet'!$B$14,Paramètres!$A$1:$I$89,3,0)*0.475*44/12</f>
        <v>2.4047925776074299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19.625508684669661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77.885897614924062</v>
      </c>
      <c r="EP102" s="62">
        <f t="shared" si="100"/>
        <v>401.02460251355296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16.846352713430456</v>
      </c>
      <c r="EW102" s="23">
        <f>EXP(-LN(2)/25)*EW101+(1-EXP(-LN(2)/25))/(LN(2)/25)*Calculateur!ER102*Calculateur!ET102*VLOOKUP('Données projet'!$B$15,Paramètres!$A$1:$I$89,3,0)*0.475*44/12</f>
        <v>2.3525144780942253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19.19886719152468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1004.5948995171807</v>
      </c>
      <c r="S103" s="62">
        <f ca="1">AVERAGE(OFFSET($R$3,0,0,'Données projet'!$E$9+1,1))-AVERAGE(OFFSET($H$3,0,0,'Données projet'!$E$9+1,1))</f>
        <v>426.87921482911719</v>
      </c>
      <c r="T103" s="62">
        <f t="shared" si="88"/>
        <v>313.49594674441835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303.00000000000011</v>
      </c>
      <c r="AJ103" s="14">
        <f>AI103*VLOOKUP('Données projet'!$B$10,Paramètres!$A$1:$I$89,3,0)*VLOOKUP('Données projet'!$B$10,Paramètres!$A$1:$I$89,5,0)</f>
        <v>307.24200000000013</v>
      </c>
      <c r="AK103" s="14">
        <f t="shared" si="89"/>
        <v>72.692550770207774</v>
      </c>
      <c r="AL103" s="22">
        <f t="shared" si="58"/>
        <v>661.71934259144541</v>
      </c>
      <c r="AM103" s="62">
        <f t="shared" si="59"/>
        <v>939.12339777515467</v>
      </c>
      <c r="AN103" s="62">
        <f ca="1">AVERAGE(OFFSET($AM$3,0,0,'Données projet'!$E$10+1,1))-AVERAGE(OFFSET($H$3,0,0,'Données projet'!$E$10+1,1))</f>
        <v>462.95686283420531</v>
      </c>
      <c r="AO103" s="62">
        <f t="shared" si="90"/>
        <v>275.54513370838777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621</v>
      </c>
      <c r="BB103" s="13">
        <f>VLOOKUP(A103,'Données projet'!$A$87:$I$107,9,0)</f>
        <v>6.5</v>
      </c>
      <c r="BC103" s="13">
        <f t="array" ref="BC103">INDEX(BB:BB,MIN(IF(ISNUMBER(BB103:BB299),ROW(BB103:BB299),"")))</f>
        <v>6.5</v>
      </c>
      <c r="BD103" s="13">
        <f>IF('Données projet'!$A$88&gt;35,BD102+BC103-BL102,IF(A103&lt;'Données projet'!$A$88,$BA$205^A103,IF(A103='Données projet'!$A$88,'Données projet'!$B$88,BD102+BC103-BL102)))</f>
        <v>621.00000000000068</v>
      </c>
      <c r="BE103" s="14">
        <f>BD103*VLOOKUP('Données projet'!$B$11,Paramètres!$A$1:$I$89,3,0)*VLOOKUP('Données projet'!$B$11,Paramètres!$A$1:$I$89,5,0)</f>
        <v>371.3580000000004</v>
      </c>
      <c r="BF103" s="14">
        <f t="shared" si="91"/>
        <v>85.945069864586898</v>
      </c>
      <c r="BG103" s="22">
        <f t="shared" si="61"/>
        <v>796.4695133474894</v>
      </c>
      <c r="BH103" s="62">
        <f t="shared" si="62"/>
        <v>1073.8735685311985</v>
      </c>
      <c r="BI103" s="62">
        <f ca="1">AVERAGE(OFFSET($BH$3,0,0,'Données projet'!$E$11+1,1))-AVERAGE(OFFSET($H$3,0,0,'Données projet'!$E$11+1,1))</f>
        <v>505.16888119060701</v>
      </c>
      <c r="BJ103" s="62">
        <f t="shared" si="92"/>
        <v>351.15312364640613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621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4.3783098935610544E-10</v>
      </c>
      <c r="BS103" s="24">
        <f t="shared" si="63"/>
        <v>4.3783098935610544E-10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68.195506926115257</v>
      </c>
      <c r="CE103" s="62">
        <f t="shared" si="94"/>
        <v>352.52565673897004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14.359749671527599</v>
      </c>
      <c r="CL103" s="23">
        <f>EXP(-LN(2)/25)*CL102+(1-EXP(-LN(2)/25))/(LN(2)/25)*Calculateur!CG103*Calculateur!CI103*VLOOKUP('Données projet'!$B$12,Paramètres!$A$1:$I$89,3,0)*0.475*44/12</f>
        <v>1.9894496021969996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16.349199273724597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77.885897614924062</v>
      </c>
      <c r="CZ103" s="62">
        <f t="shared" si="96"/>
        <v>401.02460251355296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16.516006011980643</v>
      </c>
      <c r="DG103" s="23">
        <f>EXP(-LN(2)/25)*DG102+(1-EXP(-LN(2)/25))/(LN(2)/25)*Calculateur!DB103*Calculateur!DD103*VLOOKUP('Données projet'!$B$13,Paramètres!$A$1:$I$89,3,0)*0.475*44/12</f>
        <v>2.288184845977379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18.804190857958023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79.532301588639172</v>
      </c>
      <c r="DU103" s="62">
        <f t="shared" si="98"/>
        <v>409.2657792678549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16.883028367802421</v>
      </c>
      <c r="EB103" s="23">
        <f>EXP(-LN(2)/25)*EB102+(1-EXP(-LN(2)/25))/(LN(2)/25)*Calculateur!DW103*Calculateur!DY103*VLOOKUP('Données projet'!$B$14,Paramètres!$A$1:$I$89,3,0)*0.475*44/12</f>
        <v>2.3390333981102094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19.222061765912631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77.885897614924062</v>
      </c>
      <c r="EP103" s="62">
        <f t="shared" si="100"/>
        <v>401.02460251355296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16.516006011980643</v>
      </c>
      <c r="EW103" s="23">
        <f>EXP(-LN(2)/25)*EW102+(1-EXP(-LN(2)/25))/(LN(2)/25)*Calculateur!ER103*Calculateur!ET103*VLOOKUP('Données projet'!$B$15,Paramètres!$A$1:$I$89,3,0)*0.475*44/12</f>
        <v>2.288184845977379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18.804190857958023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426.87921482911719</v>
      </c>
      <c r="T104" s="62">
        <f t="shared" si="88"/>
        <v>313.49594674441835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286.40000000000009</v>
      </c>
      <c r="AJ104" s="14">
        <f>AI104*VLOOKUP('Données projet'!$B$10,Paramètres!$A$1:$I$89,3,0)*VLOOKUP('Données projet'!$B$10,Paramètres!$A$1:$I$89,5,0)</f>
        <v>290.40960000000007</v>
      </c>
      <c r="AK104" s="14">
        <f t="shared" si="89"/>
        <v>69.16216135532882</v>
      </c>
      <c r="AL104" s="22">
        <f t="shared" si="58"/>
        <v>626.25415102719774</v>
      </c>
      <c r="AM104" s="62">
        <f t="shared" si="59"/>
        <v>903.93454357427208</v>
      </c>
      <c r="AN104" s="62">
        <f ca="1">AVERAGE(OFFSET($AM$3,0,0,'Données projet'!$E$10+1,1))-AVERAGE(OFFSET($H$3,0,0,'Données projet'!$E$10+1,1))</f>
        <v>462.95686283420531</v>
      </c>
      <c r="AO104" s="62">
        <f t="shared" si="90"/>
        <v>275.54513370838777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6.8212102632969618E-13</v>
      </c>
      <c r="BE104" s="14">
        <f>BD104*VLOOKUP('Données projet'!$B$11,Paramètres!$A$1:$I$89,3,0)*VLOOKUP('Données projet'!$B$11,Paramètres!$A$1:$I$89,5,0)</f>
        <v>4.0790837374515837E-13</v>
      </c>
      <c r="BF104" s="14">
        <f t="shared" si="91"/>
        <v>5.2028966193600884E-12</v>
      </c>
      <c r="BG104" s="22">
        <f t="shared" si="61"/>
        <v>9.7721520296583044E-12</v>
      </c>
      <c r="BH104" s="62">
        <f t="shared" si="62"/>
        <v>277.68039254708418</v>
      </c>
      <c r="BI104" s="62">
        <f ca="1">AVERAGE(OFFSET($BH$3,0,0,'Données projet'!$E$11+1,1))-AVERAGE(OFFSET($H$3,0,0,'Données projet'!$E$11+1,1))</f>
        <v>505.16888119060701</v>
      </c>
      <c r="BJ104" s="62">
        <f t="shared" si="92"/>
        <v>351.15312364640613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3.0959326158731726E-10</v>
      </c>
      <c r="BS104" s="24">
        <f t="shared" si="63"/>
        <v>3.0959326158731726E-10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68.195506926115257</v>
      </c>
      <c r="CE104" s="62">
        <f t="shared" si="94"/>
        <v>352.52565673897004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14.078163739051403</v>
      </c>
      <c r="CL104" s="23">
        <f>EXP(-LN(2)/25)*CL103+(1-EXP(-LN(2)/25))/(LN(2)/25)*Calculateur!CG104*Calculateur!CI104*VLOOKUP('Données projet'!$B$12,Paramètres!$A$1:$I$89,3,0)*0.475*44/12</f>
        <v>1.9350479982043149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16.01321173725572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77.885897614924062</v>
      </c>
      <c r="CZ104" s="62">
        <f t="shared" si="96"/>
        <v>401.02460251355296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16.192137207854667</v>
      </c>
      <c r="DG104" s="23">
        <f>EXP(-LN(2)/25)*DG103+(1-EXP(-LN(2)/25))/(LN(2)/25)*Calculateur!DB104*Calculateur!DD104*VLOOKUP('Données projet'!$B$13,Paramètres!$A$1:$I$89,3,0)*0.475*44/12</f>
        <v>2.2256143110337163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18.417751518888384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79.532301588639172</v>
      </c>
      <c r="DU104" s="62">
        <f t="shared" si="98"/>
        <v>409.2657792678549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16.551962479140315</v>
      </c>
      <c r="EB104" s="23">
        <f>EXP(-LN(2)/25)*EB103+(1-EXP(-LN(2)/25))/(LN(2)/25)*Calculateur!DW104*Calculateur!DY104*VLOOKUP('Données projet'!$B$14,Paramètres!$A$1:$I$89,3,0)*0.475*44/12</f>
        <v>2.2750724068344654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18.827034885974779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77.885897614924062</v>
      </c>
      <c r="EP104" s="62">
        <f t="shared" si="100"/>
        <v>401.02460251355296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16.192137207854667</v>
      </c>
      <c r="EW104" s="23">
        <f>EXP(-LN(2)/25)*EW103+(1-EXP(-LN(2)/25))/(LN(2)/25)*Calculateur!ER104*Calculateur!ET104*VLOOKUP('Données projet'!$B$15,Paramètres!$A$1:$I$89,3,0)*0.475*44/12</f>
        <v>2.2256143110337163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18.417751518888384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426.87921482911719</v>
      </c>
      <c r="T105" s="62">
        <f t="shared" si="88"/>
        <v>313.49594674441835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290.80000000000007</v>
      </c>
      <c r="AJ105" s="14">
        <f>AI105*VLOOKUP('Données projet'!$B$10,Paramètres!$A$1:$I$89,3,0)*VLOOKUP('Données projet'!$B$10,Paramètres!$A$1:$I$89,5,0)</f>
        <v>294.87120000000004</v>
      </c>
      <c r="AK105" s="14">
        <f t="shared" si="89"/>
        <v>70.100193324247115</v>
      </c>
      <c r="AL105" s="22">
        <f t="shared" si="58"/>
        <v>635.65851003973046</v>
      </c>
      <c r="AM105" s="62">
        <f t="shared" si="59"/>
        <v>913.61044611471334</v>
      </c>
      <c r="AN105" s="62">
        <f ca="1">AVERAGE(OFFSET($AM$3,0,0,'Données projet'!$E$10+1,1))-AVERAGE(OFFSET($H$3,0,0,'Données projet'!$E$10+1,1))</f>
        <v>462.95686283420531</v>
      </c>
      <c r="AO105" s="62">
        <f t="shared" si="90"/>
        <v>275.54513370838777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6.8212102632969618E-13</v>
      </c>
      <c r="BE105" s="14">
        <f>BD105*VLOOKUP('Données projet'!$B$11,Paramètres!$A$1:$I$89,3,0)*VLOOKUP('Données projet'!$B$11,Paramètres!$A$1:$I$89,5,0)</f>
        <v>4.0790837374515837E-13</v>
      </c>
      <c r="BF105" s="14">
        <f t="shared" si="91"/>
        <v>5.2028966193600884E-12</v>
      </c>
      <c r="BG105" s="22">
        <f t="shared" si="61"/>
        <v>9.7721520296583044E-12</v>
      </c>
      <c r="BH105" s="62">
        <f t="shared" si="62"/>
        <v>277.95193607499272</v>
      </c>
      <c r="BI105" s="62">
        <f ca="1">AVERAGE(OFFSET($BH$3,0,0,'Données projet'!$E$11+1,1))-AVERAGE(OFFSET($H$3,0,0,'Données projet'!$E$11+1,1))</f>
        <v>505.16888119060701</v>
      </c>
      <c r="BJ105" s="62">
        <f t="shared" si="92"/>
        <v>351.15312364640613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2.1891549467805272E-10</v>
      </c>
      <c r="BS105" s="24">
        <f t="shared" si="63"/>
        <v>2.1891549467805272E-10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68.195506926115257</v>
      </c>
      <c r="CE105" s="62">
        <f t="shared" si="94"/>
        <v>352.52565673897004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13.802099534960607</v>
      </c>
      <c r="CL105" s="23">
        <f>EXP(-LN(2)/25)*CL104+(1-EXP(-LN(2)/25))/(LN(2)/25)*Calculateur!CG105*Calculateur!CI105*VLOOKUP('Données projet'!$B$12,Paramètres!$A$1:$I$89,3,0)*0.475*44/12</f>
        <v>1.8821340089336664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15.684233543894274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77.885897614924062</v>
      </c>
      <c r="CZ105" s="62">
        <f t="shared" si="96"/>
        <v>401.02460251355296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15.874619273437137</v>
      </c>
      <c r="DG105" s="23">
        <f>EXP(-LN(2)/25)*DG104+(1-EXP(-LN(2)/25))/(LN(2)/25)*Calculateur!DB105*Calculateur!DD105*VLOOKUP('Données projet'!$B$13,Paramètres!$A$1:$I$89,3,0)*0.475*44/12</f>
        <v>2.1647547706585293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18.039374044095666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79.532301588639172</v>
      </c>
      <c r="DU105" s="62">
        <f t="shared" si="98"/>
        <v>409.2657792678549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16.227388590624617</v>
      </c>
      <c r="EB105" s="23">
        <f>EXP(-LN(2)/25)*EB104+(1-EXP(-LN(2)/25))/(LN(2)/25)*Calculateur!DW105*Calculateur!DY105*VLOOKUP('Données projet'!$B$14,Paramètres!$A$1:$I$89,3,0)*0.475*44/12</f>
        <v>2.2128604322287186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18.440249022853337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77.885897614924062</v>
      </c>
      <c r="EP105" s="62">
        <f t="shared" si="100"/>
        <v>401.02460251355296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15.874619273437137</v>
      </c>
      <c r="EW105" s="23">
        <f>EXP(-LN(2)/25)*EW104+(1-EXP(-LN(2)/25))/(LN(2)/25)*Calculateur!ER105*Calculateur!ET105*VLOOKUP('Données projet'!$B$15,Paramètres!$A$1:$I$89,3,0)*0.475*44/12</f>
        <v>2.1647547706585293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18.039374044095666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426.87921482911719</v>
      </c>
      <c r="T106" s="62">
        <f t="shared" si="88"/>
        <v>313.49594674441835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295.20000000000005</v>
      </c>
      <c r="AJ106" s="14">
        <f>AI106*VLOOKUP('Données projet'!$B$10,Paramètres!$A$1:$I$89,3,0)*VLOOKUP('Données projet'!$B$10,Paramètres!$A$1:$I$89,5,0)</f>
        <v>299.33280000000002</v>
      </c>
      <c r="AK106" s="14">
        <f t="shared" si="89"/>
        <v>71.03657460883025</v>
      </c>
      <c r="AL106" s="22">
        <f t="shared" si="58"/>
        <v>645.05999411037931</v>
      </c>
      <c r="AM106" s="62">
        <f t="shared" si="59"/>
        <v>923.27876304014194</v>
      </c>
      <c r="AN106" s="62">
        <f ca="1">AVERAGE(OFFSET($AM$3,0,0,'Données projet'!$E$10+1,1))-AVERAGE(OFFSET($H$3,0,0,'Données projet'!$E$10+1,1))</f>
        <v>462.95686283420531</v>
      </c>
      <c r="AO106" s="62">
        <f t="shared" si="90"/>
        <v>275.54513370838777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6.8212102632969618E-13</v>
      </c>
      <c r="BE106" s="14">
        <f>BD106*VLOOKUP('Données projet'!$B$11,Paramètres!$A$1:$I$89,3,0)*VLOOKUP('Données projet'!$B$11,Paramètres!$A$1:$I$89,5,0)</f>
        <v>4.0790837374515837E-13</v>
      </c>
      <c r="BF106" s="14">
        <f t="shared" si="91"/>
        <v>5.2028966193600884E-12</v>
      </c>
      <c r="BG106" s="22">
        <f t="shared" si="61"/>
        <v>9.7721520296583044E-12</v>
      </c>
      <c r="BH106" s="62">
        <f t="shared" si="62"/>
        <v>278.21876892977247</v>
      </c>
      <c r="BI106" s="62">
        <f ca="1">AVERAGE(OFFSET($BH$3,0,0,'Données projet'!$E$11+1,1))-AVERAGE(OFFSET($H$3,0,0,'Données projet'!$E$11+1,1))</f>
        <v>505.16888119060701</v>
      </c>
      <c r="BJ106" s="62">
        <f t="shared" si="92"/>
        <v>351.15312364640613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1.5479663079365863E-10</v>
      </c>
      <c r="BS106" s="24">
        <f t="shared" si="63"/>
        <v>1.5479663079365863E-10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68.195506926115257</v>
      </c>
      <c r="CE106" s="62">
        <f t="shared" si="94"/>
        <v>352.52565673897004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13.531448781529493</v>
      </c>
      <c r="CL106" s="23">
        <f>EXP(-LN(2)/25)*CL105+(1-EXP(-LN(2)/25))/(LN(2)/25)*Calculateur!CG106*Calculateur!CI106*VLOOKUP('Données projet'!$B$12,Paramètres!$A$1:$I$89,3,0)*0.475*44/12</f>
        <v>1.8306669554822494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15.362115737011742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77.885897614924062</v>
      </c>
      <c r="CZ106" s="62">
        <f t="shared" si="96"/>
        <v>401.02460251355296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15.563327672046718</v>
      </c>
      <c r="DG106" s="23">
        <f>EXP(-LN(2)/25)*DG105+(1-EXP(-LN(2)/25))/(LN(2)/25)*Calculateur!DB106*Calculateur!DD106*VLOOKUP('Données projet'!$B$13,Paramètres!$A$1:$I$89,3,0)*0.475*44/12</f>
        <v>2.1055594376153661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17.668887109662084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79.532301588639172</v>
      </c>
      <c r="DU106" s="62">
        <f t="shared" si="98"/>
        <v>409.2657792678549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15.909179398092189</v>
      </c>
      <c r="EB106" s="23">
        <f>EXP(-LN(2)/25)*EB105+(1-EXP(-LN(2)/25))/(LN(2)/25)*Calculateur!DW106*Calculateur!DY106*VLOOKUP('Données projet'!$B$14,Paramètres!$A$1:$I$89,3,0)*0.475*44/12</f>
        <v>2.1523496473401518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18.061529045432341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77.885897614924062</v>
      </c>
      <c r="EP106" s="62">
        <f t="shared" si="100"/>
        <v>401.02460251355296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15.563327672046718</v>
      </c>
      <c r="EW106" s="23">
        <f>EXP(-LN(2)/25)*EW105+(1-EXP(-LN(2)/25))/(LN(2)/25)*Calculateur!ER106*Calculateur!ET106*VLOOKUP('Données projet'!$B$15,Paramètres!$A$1:$I$89,3,0)*0.475*44/12</f>
        <v>2.1055594376153661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17.668887109662084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426.87921482911719</v>
      </c>
      <c r="T107" s="62">
        <f t="shared" si="88"/>
        <v>313.49594674441835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299.60000000000002</v>
      </c>
      <c r="AJ107" s="14">
        <f>AI107*VLOOKUP('Données projet'!$B$10,Paramètres!$A$1:$I$89,3,0)*VLOOKUP('Données projet'!$B$10,Paramètres!$A$1:$I$89,5,0)</f>
        <v>303.79440000000005</v>
      </c>
      <c r="AK107" s="14">
        <f t="shared" si="89"/>
        <v>71.971332654877173</v>
      </c>
      <c r="AL107" s="22">
        <f t="shared" si="58"/>
        <v>654.45865104057782</v>
      </c>
      <c r="AM107" s="62">
        <f t="shared" si="59"/>
        <v>932.93962387163879</v>
      </c>
      <c r="AN107" s="62">
        <f ca="1">AVERAGE(OFFSET($AM$3,0,0,'Données projet'!$E$10+1,1))-AVERAGE(OFFSET($H$3,0,0,'Données projet'!$E$10+1,1))</f>
        <v>462.95686283420531</v>
      </c>
      <c r="AO107" s="62">
        <f t="shared" si="90"/>
        <v>275.54513370838777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6.8212102632969618E-13</v>
      </c>
      <c r="BE107" s="14">
        <f>BD107*VLOOKUP('Données projet'!$B$11,Paramètres!$A$1:$I$89,3,0)*VLOOKUP('Données projet'!$B$11,Paramètres!$A$1:$I$89,5,0)</f>
        <v>4.0790837374515837E-13</v>
      </c>
      <c r="BF107" s="14">
        <f t="shared" si="91"/>
        <v>5.2028966193600884E-12</v>
      </c>
      <c r="BG107" s="22">
        <f t="shared" si="61"/>
        <v>9.7721520296583044E-12</v>
      </c>
      <c r="BH107" s="62">
        <f t="shared" si="62"/>
        <v>278.48097283107069</v>
      </c>
      <c r="BI107" s="62">
        <f ca="1">AVERAGE(OFFSET($BH$3,0,0,'Données projet'!$E$11+1,1))-AVERAGE(OFFSET($H$3,0,0,'Données projet'!$E$11+1,1))</f>
        <v>505.16888119060701</v>
      </c>
      <c r="BJ107" s="62">
        <f t="shared" si="92"/>
        <v>351.15312364640613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1.0945774733902636E-10</v>
      </c>
      <c r="BS107" s="24">
        <f t="shared" si="63"/>
        <v>1.0945774733902636E-10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68.195506926115257</v>
      </c>
      <c r="CE107" s="62">
        <f t="shared" si="94"/>
        <v>352.52565673897004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13.266105324292504</v>
      </c>
      <c r="CL107" s="23">
        <f>EXP(-LN(2)/25)*CL106+(1-EXP(-LN(2)/25))/(LN(2)/25)*Calculateur!CG107*Calculateur!CI107*VLOOKUP('Données projet'!$B$12,Paramètres!$A$1:$I$89,3,0)*0.475*44/12</f>
        <v>1.7806072713139962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15.0467125956065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77.885897614924062</v>
      </c>
      <c r="CZ107" s="62">
        <f t="shared" si="96"/>
        <v>401.02460251355296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15.258140309090436</v>
      </c>
      <c r="DG107" s="23">
        <f>EXP(-LN(2)/25)*DG106+(1-EXP(-LN(2)/25))/(LN(2)/25)*Calculateur!DB107*Calculateur!DD107*VLOOKUP('Données projet'!$B$13,Paramètres!$A$1:$I$89,3,0)*0.475*44/12</f>
        <v>2.0479828040672152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17.30612311315765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79.532301588639172</v>
      </c>
      <c r="DU107" s="62">
        <f t="shared" si="98"/>
        <v>409.2657792678549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15.597210093736878</v>
      </c>
      <c r="EB107" s="23">
        <f>EXP(-LN(2)/25)*EB106+(1-EXP(-LN(2)/25))/(LN(2)/25)*Calculateur!DW107*Calculateur!DY107*VLOOKUP('Données projet'!$B$14,Paramètres!$A$1:$I$89,3,0)*0.475*44/12</f>
        <v>2.0934935330464866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17.690703626783364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77.885897614924062</v>
      </c>
      <c r="EP107" s="62">
        <f t="shared" si="100"/>
        <v>401.02460251355296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15.258140309090436</v>
      </c>
      <c r="EW107" s="23">
        <f>EXP(-LN(2)/25)*EW106+(1-EXP(-LN(2)/25))/(LN(2)/25)*Calculateur!ER107*Calculateur!ET107*VLOOKUP('Données projet'!$B$15,Paramètres!$A$1:$I$89,3,0)*0.475*44/12</f>
        <v>2.0479828040672152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17.30612311315765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426.87921482911719</v>
      </c>
      <c r="T108" s="62">
        <f t="shared" si="88"/>
        <v>313.49594674441835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304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304</v>
      </c>
      <c r="AJ108" s="14">
        <f>AI108*VLOOKUP('Données projet'!$B$10,Paramètres!$A$1:$I$89,3,0)*VLOOKUP('Données projet'!$B$10,Paramètres!$A$1:$I$89,5,0)</f>
        <v>308.25600000000003</v>
      </c>
      <c r="AK108" s="14">
        <f t="shared" si="89"/>
        <v>72.904494055753943</v>
      </c>
      <c r="AL108" s="22">
        <f t="shared" si="58"/>
        <v>663.85452714710493</v>
      </c>
      <c r="AM108" s="62">
        <f t="shared" si="59"/>
        <v>942.59315522797669</v>
      </c>
      <c r="AN108" s="62">
        <f ca="1">AVERAGE(OFFSET($AM$3,0,0,'Données projet'!$E$10+1,1))-AVERAGE(OFFSET($H$3,0,0,'Données projet'!$E$10+1,1))</f>
        <v>462.95686283420531</v>
      </c>
      <c r="AO108" s="62">
        <f t="shared" si="90"/>
        <v>275.54513370838777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6.8212102632969618E-13</v>
      </c>
      <c r="BE108" s="14">
        <f>BD108*VLOOKUP('Données projet'!$B$11,Paramètres!$A$1:$I$89,3,0)*VLOOKUP('Données projet'!$B$11,Paramètres!$A$1:$I$89,5,0)</f>
        <v>4.0790837374515837E-13</v>
      </c>
      <c r="BF108" s="14">
        <f t="shared" si="91"/>
        <v>5.2028966193600884E-12</v>
      </c>
      <c r="BG108" s="22">
        <f t="shared" si="61"/>
        <v>9.7721520296583044E-12</v>
      </c>
      <c r="BH108" s="62">
        <f t="shared" si="62"/>
        <v>278.73862808088154</v>
      </c>
      <c r="BI108" s="62">
        <f ca="1">AVERAGE(OFFSET($BH$3,0,0,'Données projet'!$E$11+1,1))-AVERAGE(OFFSET($H$3,0,0,'Données projet'!$E$11+1,1))</f>
        <v>505.16888119060701</v>
      </c>
      <c r="BJ108" s="62">
        <f t="shared" si="92"/>
        <v>351.15312364640613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7.7398315396829316E-11</v>
      </c>
      <c r="BS108" s="24">
        <f t="shared" si="63"/>
        <v>7.7398315396829316E-11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68.195506926115257</v>
      </c>
      <c r="CE108" s="62">
        <f t="shared" si="94"/>
        <v>352.52565673897004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13.005965090408404</v>
      </c>
      <c r="CL108" s="23">
        <f>EXP(-LN(2)/25)*CL107+(1-EXP(-LN(2)/25))/(LN(2)/25)*Calculateur!CG108*Calculateur!CI108*VLOOKUP('Données projet'!$B$12,Paramètres!$A$1:$I$89,3,0)*0.475*44/12</f>
        <v>1.7319164718418483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14.737881562250251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77.885897614924062</v>
      </c>
      <c r="CZ108" s="62">
        <f t="shared" si="96"/>
        <v>401.02460251355296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14.958937484175816</v>
      </c>
      <c r="DG108" s="23">
        <f>EXP(-LN(2)/25)*DG107+(1-EXP(-LN(2)/25))/(LN(2)/25)*Calculateur!DB108*Calculateur!DD108*VLOOKUP('Données projet'!$B$13,Paramètres!$A$1:$I$89,3,0)*0.475*44/12</f>
        <v>1.9919806065912622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16.950918090767079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79.532301588639172</v>
      </c>
      <c r="DU108" s="62">
        <f t="shared" si="98"/>
        <v>409.2657792678549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15.291358317157489</v>
      </c>
      <c r="EB108" s="23">
        <f>EXP(-LN(2)/25)*EB107+(1-EXP(-LN(2)/25))/(LN(2)/25)*Calculateur!DW108*Calculateur!DY108*VLOOKUP('Données projet'!$B$14,Paramètres!$A$1:$I$89,3,0)*0.475*44/12</f>
        <v>2.03624684229329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17.32760515945078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77.885897614924062</v>
      </c>
      <c r="EP108" s="62">
        <f t="shared" si="100"/>
        <v>401.02460251355296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14.958937484175816</v>
      </c>
      <c r="EW108" s="23">
        <f>EXP(-LN(2)/25)*EW107+(1-EXP(-LN(2)/25))/(LN(2)/25)*Calculateur!ER108*Calculateur!ET108*VLOOKUP('Données projet'!$B$15,Paramètres!$A$1:$I$89,3,0)*0.475*44/12</f>
        <v>1.9919806065912622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16.950918090767079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426.87921482911719</v>
      </c>
      <c r="T109" s="62">
        <f t="shared" si="88"/>
        <v>313.49594674441835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288.2</v>
      </c>
      <c r="AJ109" s="14">
        <f>AI109*VLOOKUP('Données projet'!$B$10,Paramètres!$A$1:$I$89,3,0)*VLOOKUP('Données projet'!$B$10,Paramètres!$A$1:$I$89,5,0)</f>
        <v>292.23480000000001</v>
      </c>
      <c r="AK109" s="14">
        <f t="shared" si="89"/>
        <v>69.546103016553758</v>
      </c>
      <c r="AL109" s="22">
        <f t="shared" si="58"/>
        <v>630.10173942049789</v>
      </c>
      <c r="AM109" s="62">
        <f t="shared" si="59"/>
        <v>909.09355300862694</v>
      </c>
      <c r="AN109" s="62">
        <f ca="1">AVERAGE(OFFSET($AM$3,0,0,'Données projet'!$E$10+1,1))-AVERAGE(OFFSET($H$3,0,0,'Données projet'!$E$10+1,1))</f>
        <v>462.95686283420531</v>
      </c>
      <c r="AO109" s="62">
        <f t="shared" si="90"/>
        <v>275.54513370838777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6.8212102632969618E-13</v>
      </c>
      <c r="BE109" s="14">
        <f>BD109*VLOOKUP('Données projet'!$B$11,Paramètres!$A$1:$I$89,3,0)*VLOOKUP('Données projet'!$B$11,Paramètres!$A$1:$I$89,5,0)</f>
        <v>4.0790837374515837E-13</v>
      </c>
      <c r="BF109" s="14">
        <f t="shared" si="91"/>
        <v>5.2028966193600884E-12</v>
      </c>
      <c r="BG109" s="22">
        <f t="shared" si="61"/>
        <v>9.7721520296583044E-12</v>
      </c>
      <c r="BH109" s="62">
        <f t="shared" si="62"/>
        <v>278.99181358813888</v>
      </c>
      <c r="BI109" s="62">
        <f ca="1">AVERAGE(OFFSET($BH$3,0,0,'Données projet'!$E$11+1,1))-AVERAGE(OFFSET($H$3,0,0,'Données projet'!$E$11+1,1))</f>
        <v>505.16888119060701</v>
      </c>
      <c r="BJ109" s="62">
        <f t="shared" si="92"/>
        <v>351.15312364640613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5.472887366951318E-11</v>
      </c>
      <c r="BS109" s="24">
        <f t="shared" si="63"/>
        <v>5.472887366951318E-11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68.195506926115257</v>
      </c>
      <c r="CE109" s="62">
        <f t="shared" si="94"/>
        <v>352.52565673897004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12.750926047840895</v>
      </c>
      <c r="CL109" s="23">
        <f>EXP(-LN(2)/25)*CL108+(1-EXP(-LN(2)/25))/(LN(2)/25)*Calculateur!CG109*Calculateur!CI109*VLOOKUP('Données projet'!$B$12,Paramètres!$A$1:$I$89,3,0)*0.475*44/12</f>
        <v>1.6845571248418041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14.4354831726827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77.885897614924062</v>
      </c>
      <c r="CZ109" s="62">
        <f t="shared" si="96"/>
        <v>401.02460251355296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14.665601844162069</v>
      </c>
      <c r="DG109" s="23">
        <f>EXP(-LN(2)/25)*DG108+(1-EXP(-LN(2)/25))/(LN(2)/25)*Calculateur!DB109*Calculateur!DD109*VLOOKUP('Données projet'!$B$13,Paramètres!$A$1:$I$89,3,0)*0.475*44/12</f>
        <v>1.9375097921503168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16.603111636312384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79.532301588639172</v>
      </c>
      <c r="DU109" s="62">
        <f t="shared" si="98"/>
        <v>409.2657792678549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14.991504107365659</v>
      </c>
      <c r="EB109" s="23">
        <f>EXP(-LN(2)/25)*EB108+(1-EXP(-LN(2)/25))/(LN(2)/25)*Calculateur!DW109*Calculateur!DY109*VLOOKUP('Données projet'!$B$14,Paramètres!$A$1:$I$89,3,0)*0.475*44/12</f>
        <v>1.9805655653092125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16.97206967267487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77.885897614924062</v>
      </c>
      <c r="EP109" s="62">
        <f t="shared" si="100"/>
        <v>401.02460251355296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14.665601844162069</v>
      </c>
      <c r="EW109" s="23">
        <f>EXP(-LN(2)/25)*EW108+(1-EXP(-LN(2)/25))/(LN(2)/25)*Calculateur!ER109*Calculateur!ET109*VLOOKUP('Données projet'!$B$15,Paramètres!$A$1:$I$89,3,0)*0.475*44/12</f>
        <v>1.9375097921503168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16.603111636312384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426.87921482911719</v>
      </c>
      <c r="T110" s="62">
        <f t="shared" si="88"/>
        <v>313.49594674441835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292.39999999999998</v>
      </c>
      <c r="AJ110" s="14">
        <f>AI110*VLOOKUP('Données projet'!$B$10,Paramètres!$A$1:$I$89,3,0)*VLOOKUP('Données projet'!$B$10,Paramètres!$A$1:$I$89,5,0)</f>
        <v>296.49360000000001</v>
      </c>
      <c r="AK110" s="14">
        <f t="shared" si="89"/>
        <v>70.44088513559764</v>
      </c>
      <c r="AL110" s="22">
        <f t="shared" si="58"/>
        <v>639.07756161116583</v>
      </c>
      <c r="AM110" s="62">
        <f t="shared" si="59"/>
        <v>918.31816850403948</v>
      </c>
      <c r="AN110" s="62">
        <f ca="1">AVERAGE(OFFSET($AM$3,0,0,'Données projet'!$E$10+1,1))-AVERAGE(OFFSET($H$3,0,0,'Données projet'!$E$10+1,1))</f>
        <v>462.95686283420531</v>
      </c>
      <c r="AO110" s="62">
        <f t="shared" si="90"/>
        <v>275.54513370838777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6.8212102632969618E-13</v>
      </c>
      <c r="BE110" s="14">
        <f>BD110*VLOOKUP('Données projet'!$B$11,Paramètres!$A$1:$I$89,3,0)*VLOOKUP('Données projet'!$B$11,Paramètres!$A$1:$I$89,5,0)</f>
        <v>4.0790837374515837E-13</v>
      </c>
      <c r="BF110" s="14">
        <f t="shared" si="91"/>
        <v>5.2028966193600884E-12</v>
      </c>
      <c r="BG110" s="22">
        <f t="shared" si="61"/>
        <v>9.7721520296583044E-12</v>
      </c>
      <c r="BH110" s="62">
        <f t="shared" si="62"/>
        <v>279.24060689288342</v>
      </c>
      <c r="BI110" s="62">
        <f ca="1">AVERAGE(OFFSET($BH$3,0,0,'Données projet'!$E$11+1,1))-AVERAGE(OFFSET($H$3,0,0,'Données projet'!$E$11+1,1))</f>
        <v>505.16888119060701</v>
      </c>
      <c r="BJ110" s="62">
        <f t="shared" si="92"/>
        <v>351.15312364640613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3.8699157698414658E-11</v>
      </c>
      <c r="BS110" s="24">
        <f t="shared" si="63"/>
        <v>3.8699157698414658E-11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68.195506926115257</v>
      </c>
      <c r="CE110" s="62">
        <f t="shared" si="94"/>
        <v>352.52565673897004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12.50088816533968</v>
      </c>
      <c r="CL110" s="23">
        <f>EXP(-LN(2)/25)*CL109+(1-EXP(-LN(2)/25))/(LN(2)/25)*Calculateur!CG110*Calculateur!CI110*VLOOKUP('Données projet'!$B$12,Paramètres!$A$1:$I$89,3,0)*0.475*44/12</f>
        <v>1.638492821675996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14.139380987015675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77.885897614924062</v>
      </c>
      <c r="CZ110" s="62">
        <f t="shared" si="96"/>
        <v>401.02460251355296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14.378018337131916</v>
      </c>
      <c r="DG110" s="23">
        <f>EXP(-LN(2)/25)*DG109+(1-EXP(-LN(2)/25))/(LN(2)/25)*Calculateur!DB110*Calculateur!DD110*VLOOKUP('Données projet'!$B$13,Paramètres!$A$1:$I$89,3,0)*0.475*44/12</f>
        <v>1.8845284849947548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16.262546822126669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79.532301588639172</v>
      </c>
      <c r="DU110" s="62">
        <f t="shared" si="98"/>
        <v>409.2657792678549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14.697529855734837</v>
      </c>
      <c r="EB110" s="23">
        <f>EXP(-LN(2)/25)*EB109+(1-EXP(-LN(2)/25))/(LN(2)/25)*Calculateur!DW110*Calculateur!DY110*VLOOKUP('Données projet'!$B$14,Paramètres!$A$1:$I$89,3,0)*0.475*44/12</f>
        <v>1.9264068957724156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16.623936751507252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77.885897614924062</v>
      </c>
      <c r="EP110" s="62">
        <f t="shared" si="100"/>
        <v>401.02460251355296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14.378018337131916</v>
      </c>
      <c r="EW110" s="23">
        <f>EXP(-LN(2)/25)*EW109+(1-EXP(-LN(2)/25))/(LN(2)/25)*Calculateur!ER110*Calculateur!ET110*VLOOKUP('Données projet'!$B$15,Paramètres!$A$1:$I$89,3,0)*0.475*44/12</f>
        <v>1.8845284849947548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16.262546822126669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426.87921482911719</v>
      </c>
      <c r="T111" s="62">
        <f t="shared" si="88"/>
        <v>313.49594674441835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296.59999999999997</v>
      </c>
      <c r="AJ111" s="14">
        <f>AI111*VLOOKUP('Données projet'!$B$10,Paramètres!$A$1:$I$89,3,0)*VLOOKUP('Données projet'!$B$10,Paramètres!$A$1:$I$89,5,0)</f>
        <v>300.75240000000002</v>
      </c>
      <c r="AK111" s="14">
        <f t="shared" si="89"/>
        <v>71.334172413713375</v>
      </c>
      <c r="AL111" s="22">
        <f t="shared" si="58"/>
        <v>648.05078028721744</v>
      </c>
      <c r="AM111" s="62">
        <f t="shared" si="59"/>
        <v>927.53586447721682</v>
      </c>
      <c r="AN111" s="62">
        <f ca="1">AVERAGE(OFFSET($AM$3,0,0,'Données projet'!$E$10+1,1))-AVERAGE(OFFSET($H$3,0,0,'Données projet'!$E$10+1,1))</f>
        <v>462.95686283420531</v>
      </c>
      <c r="AO111" s="62">
        <f t="shared" si="90"/>
        <v>275.54513370838777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6.8212102632969618E-13</v>
      </c>
      <c r="BE111" s="14">
        <f>BD111*VLOOKUP('Données projet'!$B$11,Paramètres!$A$1:$I$89,3,0)*VLOOKUP('Données projet'!$B$11,Paramètres!$A$1:$I$89,5,0)</f>
        <v>4.0790837374515837E-13</v>
      </c>
      <c r="BF111" s="14">
        <f t="shared" si="91"/>
        <v>5.2028966193600884E-12</v>
      </c>
      <c r="BG111" s="22">
        <f t="shared" si="61"/>
        <v>9.7721520296583044E-12</v>
      </c>
      <c r="BH111" s="62">
        <f t="shared" si="62"/>
        <v>279.4850841900091</v>
      </c>
      <c r="BI111" s="62">
        <f ca="1">AVERAGE(OFFSET($BH$3,0,0,'Données projet'!$E$11+1,1))-AVERAGE(OFFSET($H$3,0,0,'Données projet'!$E$11+1,1))</f>
        <v>505.16888119060701</v>
      </c>
      <c r="BJ111" s="62">
        <f t="shared" si="92"/>
        <v>351.15312364640613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2.736443683475659E-11</v>
      </c>
      <c r="BS111" s="24">
        <f t="shared" si="63"/>
        <v>2.736443683475659E-11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68.195506926115257</v>
      </c>
      <c r="CE111" s="62">
        <f t="shared" si="94"/>
        <v>352.52565673897004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12.255753373206264</v>
      </c>
      <c r="CL111" s="23">
        <f>EXP(-LN(2)/25)*CL110+(1-EXP(-LN(2)/25))/(LN(2)/25)*Calculateur!CG111*Calculateur!CI111*VLOOKUP('Données projet'!$B$12,Paramètres!$A$1:$I$89,3,0)*0.475*44/12</f>
        <v>1.5936881493026731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13.849441522508938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77.885897614924062</v>
      </c>
      <c r="CZ111" s="62">
        <f t="shared" si="96"/>
        <v>401.02460251355296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14.096074167266007</v>
      </c>
      <c r="DG111" s="23">
        <f>EXP(-LN(2)/25)*DG110+(1-EXP(-LN(2)/25))/(LN(2)/25)*Calculateur!DB111*Calculateur!DD111*VLOOKUP('Données projet'!$B$13,Paramètres!$A$1:$I$89,3,0)*0.475*44/12</f>
        <v>1.8329959544695273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15.929070121735535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79.532301588639172</v>
      </c>
      <c r="DU111" s="62">
        <f t="shared" si="98"/>
        <v>409.2657792678549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14.409320259871908</v>
      </c>
      <c r="EB111" s="23">
        <f>EXP(-LN(2)/25)*EB110+(1-EXP(-LN(2)/25))/(LN(2)/25)*Calculateur!DW111*Calculateur!DY111*VLOOKUP('Données projet'!$B$14,Paramètres!$A$1:$I$89,3,0)*0.475*44/12</f>
        <v>1.8737291979021831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16.283049457774091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77.885897614924062</v>
      </c>
      <c r="EP111" s="62">
        <f t="shared" si="100"/>
        <v>401.02460251355296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14.096074167266007</v>
      </c>
      <c r="EW111" s="23">
        <f>EXP(-LN(2)/25)*EW110+(1-EXP(-LN(2)/25))/(LN(2)/25)*Calculateur!ER111*Calculateur!ET111*VLOOKUP('Données projet'!$B$15,Paramètres!$A$1:$I$89,3,0)*0.475*44/12</f>
        <v>1.8329959544695273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15.929070121735535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426.87921482911719</v>
      </c>
      <c r="T112" s="62">
        <f t="shared" si="88"/>
        <v>313.49594674441835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300.79999999999995</v>
      </c>
      <c r="AJ112" s="14">
        <f>AI112*VLOOKUP('Données projet'!$B$10,Paramètres!$A$1:$I$89,3,0)*VLOOKUP('Données projet'!$B$10,Paramètres!$A$1:$I$89,5,0)</f>
        <v>305.01119999999997</v>
      </c>
      <c r="AK112" s="14">
        <f t="shared" si="89"/>
        <v>72.2259884646149</v>
      </c>
      <c r="AL112" s="22">
        <f t="shared" si="58"/>
        <v>657.02143657587078</v>
      </c>
      <c r="AM112" s="62">
        <f t="shared" si="59"/>
        <v>936.74675692846006</v>
      </c>
      <c r="AN112" s="62">
        <f ca="1">AVERAGE(OFFSET($AM$3,0,0,'Données projet'!$E$10+1,1))-AVERAGE(OFFSET($H$3,0,0,'Données projet'!$E$10+1,1))</f>
        <v>462.95686283420531</v>
      </c>
      <c r="AO112" s="62">
        <f t="shared" si="90"/>
        <v>275.54513370838777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6.8212102632969618E-13</v>
      </c>
      <c r="BE112" s="14">
        <f>BD112*VLOOKUP('Données projet'!$B$11,Paramètres!$A$1:$I$89,3,0)*VLOOKUP('Données projet'!$B$11,Paramètres!$A$1:$I$89,5,0)</f>
        <v>4.0790837374515837E-13</v>
      </c>
      <c r="BF112" s="14">
        <f t="shared" si="91"/>
        <v>5.2028966193600884E-12</v>
      </c>
      <c r="BG112" s="22">
        <f t="shared" si="61"/>
        <v>9.7721520296583044E-12</v>
      </c>
      <c r="BH112" s="62">
        <f t="shared" si="62"/>
        <v>279.72532035259906</v>
      </c>
      <c r="BI112" s="62">
        <f ca="1">AVERAGE(OFFSET($BH$3,0,0,'Données projet'!$E$11+1,1))-AVERAGE(OFFSET($H$3,0,0,'Données projet'!$E$11+1,1))</f>
        <v>505.16888119060701</v>
      </c>
      <c r="BJ112" s="62">
        <f t="shared" si="92"/>
        <v>351.15312364640613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1.9349578849207329E-11</v>
      </c>
      <c r="BS112" s="24">
        <f t="shared" si="63"/>
        <v>1.9349578849207329E-11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68.195506926115257</v>
      </c>
      <c r="CE112" s="62">
        <f t="shared" si="94"/>
        <v>352.52565673897004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12.015425524829126</v>
      </c>
      <c r="CL112" s="23">
        <f>EXP(-LN(2)/25)*CL111+(1-EXP(-LN(2)/25))/(LN(2)/25)*Calculateur!CG112*Calculateur!CI112*VLOOKUP('Données projet'!$B$12,Paramètres!$A$1:$I$89,3,0)*0.475*44/12</f>
        <v>1.5501086630515741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13.565534187880701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77.885897614924062</v>
      </c>
      <c r="CZ112" s="62">
        <f t="shared" si="96"/>
        <v>401.02460251355296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13.819658750602205</v>
      </c>
      <c r="DG112" s="23">
        <f>EXP(-LN(2)/25)*DG111+(1-EXP(-LN(2)/25))/(LN(2)/25)*Calculateur!DB112*Calculateur!DD112*VLOOKUP('Données projet'!$B$13,Paramètres!$A$1:$I$89,3,0)*0.475*44/12</f>
        <v>1.7828725837014903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15.602531334303695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79.532301588639172</v>
      </c>
      <c r="DU112" s="62">
        <f t="shared" si="98"/>
        <v>409.2657792678549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14.126762278393356</v>
      </c>
      <c r="EB112" s="23">
        <f>EXP(-LN(2)/25)*EB111+(1-EXP(-LN(2)/25))/(LN(2)/25)*Calculateur!DW112*Calculateur!DY112*VLOOKUP('Données projet'!$B$14,Paramètres!$A$1:$I$89,3,0)*0.475*44/12</f>
        <v>1.8224919744504118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15.949254252843767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77.885897614924062</v>
      </c>
      <c r="EP112" s="62">
        <f t="shared" si="100"/>
        <v>401.02460251355296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13.819658750602205</v>
      </c>
      <c r="EW112" s="23">
        <f>EXP(-LN(2)/25)*EW111+(1-EXP(-LN(2)/25))/(LN(2)/25)*Calculateur!ER112*Calculateur!ET112*VLOOKUP('Données projet'!$B$15,Paramètres!$A$1:$I$89,3,0)*0.475*44/12</f>
        <v>1.7828725837014903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15.602531334303695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426.87921482911719</v>
      </c>
      <c r="T113" s="62">
        <f t="shared" si="88"/>
        <v>313.49594674441835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304.99999999999994</v>
      </c>
      <c r="AJ113" s="14">
        <f>AI113*VLOOKUP('Données projet'!$B$10,Paramètres!$A$1:$I$89,3,0)*VLOOKUP('Données projet'!$B$10,Paramètres!$A$1:$I$89,5,0)</f>
        <v>309.27</v>
      </c>
      <c r="AK113" s="14">
        <f t="shared" si="89"/>
        <v>73.116356204711096</v>
      </c>
      <c r="AL113" s="22">
        <f t="shared" si="58"/>
        <v>665.9895703898718</v>
      </c>
      <c r="AM113" s="62">
        <f t="shared" si="59"/>
        <v>945.9509593447176</v>
      </c>
      <c r="AN113" s="62">
        <f ca="1">AVERAGE(OFFSET($AM$3,0,0,'Données projet'!$E$10+1,1))-AVERAGE(OFFSET($H$3,0,0,'Données projet'!$E$10+1,1))</f>
        <v>462.95686283420531</v>
      </c>
      <c r="AO113" s="62">
        <f t="shared" si="90"/>
        <v>275.54513370838777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6.8212102632969618E-13</v>
      </c>
      <c r="BE113" s="14">
        <f>BD113*VLOOKUP('Données projet'!$B$11,Paramètres!$A$1:$I$89,3,0)*VLOOKUP('Données projet'!$B$11,Paramètres!$A$1:$I$89,5,0)</f>
        <v>4.0790837374515837E-13</v>
      </c>
      <c r="BF113" s="14">
        <f t="shared" si="91"/>
        <v>5.2028966193600884E-12</v>
      </c>
      <c r="BG113" s="22">
        <f t="shared" si="61"/>
        <v>9.7721520296583044E-12</v>
      </c>
      <c r="BH113" s="62">
        <f t="shared" si="62"/>
        <v>279.96138895485564</v>
      </c>
      <c r="BI113" s="62">
        <f ca="1">AVERAGE(OFFSET($BH$3,0,0,'Données projet'!$E$11+1,1))-AVERAGE(OFFSET($H$3,0,0,'Données projet'!$E$11+1,1))</f>
        <v>505.16888119060701</v>
      </c>
      <c r="BJ113" s="62">
        <f t="shared" si="92"/>
        <v>351.15312364640613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1.3682218417378295E-11</v>
      </c>
      <c r="BS113" s="24">
        <f t="shared" si="63"/>
        <v>1.3682218417378295E-11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68.195506926115257</v>
      </c>
      <c r="CE113" s="62">
        <f t="shared" si="94"/>
        <v>352.52565673897004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11.779810358973149</v>
      </c>
      <c r="CL113" s="23">
        <f>EXP(-LN(2)/25)*CL112+(1-EXP(-LN(2)/25))/(LN(2)/25)*Calculateur!CG113*Calculateur!CI113*VLOOKUP('Données projet'!$B$12,Paramètres!$A$1:$I$89,3,0)*0.475*44/12</f>
        <v>1.5077208601437571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13.287531219116907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77.885897614924062</v>
      </c>
      <c r="CZ113" s="62">
        <f t="shared" si="96"/>
        <v>401.02460251355296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13.548663671662423</v>
      </c>
      <c r="DG113" s="23">
        <f>EXP(-LN(2)/25)*DG112+(1-EXP(-LN(2)/25))/(LN(2)/25)*Calculateur!DB113*Calculateur!DD113*VLOOKUP('Données projet'!$B$13,Paramètres!$A$1:$I$89,3,0)*0.475*44/12</f>
        <v>1.7341198391429786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15.282783510805402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79.532301588639172</v>
      </c>
      <c r="DU113" s="62">
        <f t="shared" si="98"/>
        <v>409.2657792678549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13.849745086588246</v>
      </c>
      <c r="EB113" s="23">
        <f>EXP(-LN(2)/25)*EB112+(1-EXP(-LN(2)/25))/(LN(2)/25)*Calculateur!DW113*Calculateur!DY113*VLOOKUP('Données projet'!$B$14,Paramètres!$A$1:$I$89,3,0)*0.475*44/12</f>
        <v>1.7726558355683777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15.622400922156624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77.885897614924062</v>
      </c>
      <c r="EP113" s="62">
        <f t="shared" si="100"/>
        <v>401.02460251355296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13.548663671662423</v>
      </c>
      <c r="EW113" s="23">
        <f>EXP(-LN(2)/25)*EW112+(1-EXP(-LN(2)/25))/(LN(2)/25)*Calculateur!ER113*Calculateur!ET113*VLOOKUP('Données projet'!$B$15,Paramètres!$A$1:$I$89,3,0)*0.475*44/12</f>
        <v>1.7341198391429786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15.282783510805402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426.87921482911719</v>
      </c>
      <c r="T114" s="62">
        <f t="shared" si="88"/>
        <v>313.49594674441835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289.79999999999995</v>
      </c>
      <c r="AJ114" s="14">
        <f>AI114*VLOOKUP('Données projet'!$B$10,Paramètres!$A$1:$I$89,3,0)*VLOOKUP('Données projet'!$B$10,Paramètres!$A$1:$I$89,5,0)</f>
        <v>293.85719999999998</v>
      </c>
      <c r="AK114" s="14">
        <f t="shared" si="89"/>
        <v>69.887150190339781</v>
      </c>
      <c r="AL114" s="22">
        <f t="shared" si="58"/>
        <v>633.5214099148418</v>
      </c>
      <c r="AM114" s="62">
        <f t="shared" si="59"/>
        <v>913.71477220946531</v>
      </c>
      <c r="AN114" s="62">
        <f ca="1">AVERAGE(OFFSET($AM$3,0,0,'Données projet'!$E$10+1,1))-AVERAGE(OFFSET($H$3,0,0,'Données projet'!$E$10+1,1))</f>
        <v>462.95686283420531</v>
      </c>
      <c r="AO114" s="62">
        <f t="shared" si="90"/>
        <v>275.54513370838777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6.8212102632969618E-13</v>
      </c>
      <c r="BE114" s="14">
        <f>BD114*VLOOKUP('Données projet'!$B$11,Paramètres!$A$1:$I$89,3,0)*VLOOKUP('Données projet'!$B$11,Paramètres!$A$1:$I$89,5,0)</f>
        <v>4.0790837374515837E-13</v>
      </c>
      <c r="BF114" s="14">
        <f t="shared" si="91"/>
        <v>5.2028966193600884E-12</v>
      </c>
      <c r="BG114" s="22">
        <f t="shared" si="61"/>
        <v>9.7721520296583044E-12</v>
      </c>
      <c r="BH114" s="62">
        <f t="shared" si="62"/>
        <v>280.19336229463335</v>
      </c>
      <c r="BI114" s="62">
        <f ca="1">AVERAGE(OFFSET($BH$3,0,0,'Données projet'!$E$11+1,1))-AVERAGE(OFFSET($H$3,0,0,'Données projet'!$E$11+1,1))</f>
        <v>505.16888119060701</v>
      </c>
      <c r="BJ114" s="62">
        <f t="shared" si="92"/>
        <v>351.15312364640613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9.6747894246036645E-12</v>
      </c>
      <c r="BS114" s="24">
        <f t="shared" si="63"/>
        <v>9.6747894246036645E-12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68.195506926115257</v>
      </c>
      <c r="CE114" s="62">
        <f t="shared" si="94"/>
        <v>352.52565673897004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11.548815462808548</v>
      </c>
      <c r="CL114" s="23">
        <f>EXP(-LN(2)/25)*CL113+(1-EXP(-LN(2)/25))/(LN(2)/25)*Calculateur!CG114*Calculateur!CI114*VLOOKUP('Données projet'!$B$12,Paramètres!$A$1:$I$89,3,0)*0.475*44/12</f>
        <v>1.466492153935532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13.01530761674408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77.885897614924062</v>
      </c>
      <c r="CZ114" s="62">
        <f t="shared" si="96"/>
        <v>401.02460251355296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13.282982640929973</v>
      </c>
      <c r="DG114" s="23">
        <f>EXP(-LN(2)/25)*DG113+(1-EXP(-LN(2)/25))/(LN(2)/25)*Calculateur!DB114*Calculateur!DD114*VLOOKUP('Données projet'!$B$13,Paramètres!$A$1:$I$89,3,0)*0.475*44/12</f>
        <v>1.686700240948215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14.969682881878187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79.532301588639172</v>
      </c>
      <c r="DU114" s="62">
        <f t="shared" si="98"/>
        <v>409.2657792678549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13.578160032950631</v>
      </c>
      <c r="EB114" s="23">
        <f>EXP(-LN(2)/25)*EB113+(1-EXP(-LN(2)/25))/(LN(2)/25)*Calculateur!DW114*Calculateur!DY114*VLOOKUP('Données projet'!$B$14,Paramètres!$A$1:$I$89,3,0)*0.475*44/12</f>
        <v>1.7241824685248415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15.302342501475472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77.885897614924062</v>
      </c>
      <c r="EP114" s="62">
        <f t="shared" si="100"/>
        <v>401.02460251355296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13.282982640929973</v>
      </c>
      <c r="EW114" s="23">
        <f>EXP(-LN(2)/25)*EW113+(1-EXP(-LN(2)/25))/(LN(2)/25)*Calculateur!ER114*Calculateur!ET114*VLOOKUP('Données projet'!$B$15,Paramètres!$A$1:$I$89,3,0)*0.475*44/12</f>
        <v>1.686700240948215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14.969682881878187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426.87921482911719</v>
      </c>
      <c r="T115" s="62">
        <f t="shared" si="88"/>
        <v>313.49594674441835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293.59999999999997</v>
      </c>
      <c r="AJ115" s="14">
        <f>AI115*VLOOKUP('Données projet'!$B$10,Paramètres!$A$1:$I$89,3,0)*VLOOKUP('Données projet'!$B$10,Paramètres!$A$1:$I$89,5,0)</f>
        <v>297.71039999999999</v>
      </c>
      <c r="AK115" s="14">
        <f t="shared" si="89"/>
        <v>70.696261560936719</v>
      </c>
      <c r="AL115" s="22">
        <f t="shared" si="58"/>
        <v>641.64160221863142</v>
      </c>
      <c r="AM115" s="62">
        <f t="shared" si="59"/>
        <v>922.06291363420223</v>
      </c>
      <c r="AN115" s="62">
        <f ca="1">AVERAGE(OFFSET($AM$3,0,0,'Données projet'!$E$10+1,1))-AVERAGE(OFFSET($H$3,0,0,'Données projet'!$E$10+1,1))</f>
        <v>462.95686283420531</v>
      </c>
      <c r="AO115" s="62">
        <f t="shared" si="90"/>
        <v>275.54513370838777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6.8212102632969618E-13</v>
      </c>
      <c r="BE115" s="14">
        <f>BD115*VLOOKUP('Données projet'!$B$11,Paramètres!$A$1:$I$89,3,0)*VLOOKUP('Données projet'!$B$11,Paramètres!$A$1:$I$89,5,0)</f>
        <v>4.0790837374515837E-13</v>
      </c>
      <c r="BF115" s="14">
        <f t="shared" si="91"/>
        <v>5.2028966193600884E-12</v>
      </c>
      <c r="BG115" s="22">
        <f t="shared" si="61"/>
        <v>9.7721520296583044E-12</v>
      </c>
      <c r="BH115" s="62">
        <f t="shared" si="62"/>
        <v>280.42131141558065</v>
      </c>
      <c r="BI115" s="62">
        <f ca="1">AVERAGE(OFFSET($BH$3,0,0,'Données projet'!$E$11+1,1))-AVERAGE(OFFSET($H$3,0,0,'Données projet'!$E$11+1,1))</f>
        <v>505.16888119060701</v>
      </c>
      <c r="BJ115" s="62">
        <f t="shared" si="92"/>
        <v>351.15312364640613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6.8411092086891475E-12</v>
      </c>
      <c r="BS115" s="24">
        <f t="shared" si="63"/>
        <v>6.8411092086891475E-12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68.195506926115257</v>
      </c>
      <c r="CE115" s="62">
        <f t="shared" si="94"/>
        <v>352.52565673897004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11.322350235664759</v>
      </c>
      <c r="CL115" s="23">
        <f>EXP(-LN(2)/25)*CL114+(1-EXP(-LN(2)/25))/(LN(2)/25)*Calculateur!CG115*Calculateur!CI115*VLOOKUP('Données projet'!$B$12,Paramètres!$A$1:$I$89,3,0)*0.475*44/12</f>
        <v>1.4263908488666943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12.748741084531453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77.885897614924062</v>
      </c>
      <c r="CZ115" s="62">
        <f t="shared" si="96"/>
        <v>401.02460251355296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13.022511453160758</v>
      </c>
      <c r="DG115" s="23">
        <f>EXP(-LN(2)/25)*DG114+(1-EXP(-LN(2)/25))/(LN(2)/25)*Calculateur!DB115*Calculateur!DD115*VLOOKUP('Données projet'!$B$13,Paramètres!$A$1:$I$89,3,0)*0.475*44/12</f>
        <v>1.6405773341597754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14.663088787320534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79.532301588639172</v>
      </c>
      <c r="DU115" s="62">
        <f t="shared" si="98"/>
        <v>409.2657792678549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13.311900596564323</v>
      </c>
      <c r="EB115" s="23">
        <f>EXP(-LN(2)/25)*EB114+(1-EXP(-LN(2)/25))/(LN(2)/25)*Calculateur!DW115*Calculateur!DY115*VLOOKUP('Données projet'!$B$14,Paramètres!$A$1:$I$89,3,0)*0.475*44/12</f>
        <v>1.6770346082522143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14.988935204816537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77.885897614924062</v>
      </c>
      <c r="EP115" s="62">
        <f t="shared" si="100"/>
        <v>401.02460251355296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13.022511453160758</v>
      </c>
      <c r="EW115" s="23">
        <f>EXP(-LN(2)/25)*EW114+(1-EXP(-LN(2)/25))/(LN(2)/25)*Calculateur!ER115*Calculateur!ET115*VLOOKUP('Données projet'!$B$15,Paramètres!$A$1:$I$89,3,0)*0.475*44/12</f>
        <v>1.6405773341597754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14.663088787320534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426.87921482911719</v>
      </c>
      <c r="T116" s="62">
        <f t="shared" si="88"/>
        <v>313.49594674441835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297.39999999999998</v>
      </c>
      <c r="AJ116" s="14">
        <f>AI116*VLOOKUP('Données projet'!$B$10,Paramètres!$A$1:$I$89,3,0)*VLOOKUP('Données projet'!$B$10,Paramètres!$A$1:$I$89,5,0)</f>
        <v>301.56360000000001</v>
      </c>
      <c r="AK116" s="14">
        <f t="shared" si="89"/>
        <v>71.504154855068236</v>
      </c>
      <c r="AL116" s="22">
        <f t="shared" si="58"/>
        <v>649.75967303924392</v>
      </c>
      <c r="AM116" s="62">
        <f t="shared" si="59"/>
        <v>930.4049791681316</v>
      </c>
      <c r="AN116" s="62">
        <f ca="1">AVERAGE(OFFSET($AM$3,0,0,'Données projet'!$E$10+1,1))-AVERAGE(OFFSET($H$3,0,0,'Données projet'!$E$10+1,1))</f>
        <v>462.95686283420531</v>
      </c>
      <c r="AO116" s="62">
        <f t="shared" si="90"/>
        <v>275.54513370838777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6.8212102632969618E-13</v>
      </c>
      <c r="BE116" s="14">
        <f>BD116*VLOOKUP('Données projet'!$B$11,Paramètres!$A$1:$I$89,3,0)*VLOOKUP('Données projet'!$B$11,Paramètres!$A$1:$I$89,5,0)</f>
        <v>4.0790837374515837E-13</v>
      </c>
      <c r="BF116" s="14">
        <f t="shared" si="91"/>
        <v>5.2028966193600884E-12</v>
      </c>
      <c r="BG116" s="22">
        <f t="shared" si="61"/>
        <v>9.7721520296583044E-12</v>
      </c>
      <c r="BH116" s="62">
        <f t="shared" si="62"/>
        <v>280.6453061288974</v>
      </c>
      <c r="BI116" s="62">
        <f ca="1">AVERAGE(OFFSET($BH$3,0,0,'Données projet'!$E$11+1,1))-AVERAGE(OFFSET($H$3,0,0,'Données projet'!$E$11+1,1))</f>
        <v>505.16888119060701</v>
      </c>
      <c r="BJ116" s="62">
        <f t="shared" si="92"/>
        <v>351.15312364640613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4.8373947123018322E-12</v>
      </c>
      <c r="BS116" s="24">
        <f t="shared" si="63"/>
        <v>4.8373947123018322E-12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68.195506926115257</v>
      </c>
      <c r="CE116" s="62">
        <f t="shared" si="94"/>
        <v>352.52565673897004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11.100325853495111</v>
      </c>
      <c r="CL116" s="23">
        <f>EXP(-LN(2)/25)*CL115+(1-EXP(-LN(2)/25))/(LN(2)/25)*Calculateur!CG116*Calculateur!CI116*VLOOKUP('Données projet'!$B$12,Paramètres!$A$1:$I$89,3,0)*0.475*44/12</f>
        <v>1.3873861160937999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12.487711969588911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77.885897614924062</v>
      </c>
      <c r="CZ116" s="62">
        <f t="shared" si="96"/>
        <v>401.02460251355296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12.767147946511962</v>
      </c>
      <c r="DG116" s="23">
        <f>EXP(-LN(2)/25)*DG115+(1-EXP(-LN(2)/25))/(LN(2)/25)*Calculateur!DB116*Calculateur!DD116*VLOOKUP('Données projet'!$B$13,Paramètres!$A$1:$I$89,3,0)*0.475*44/12</f>
        <v>1.5957156606829639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14.362863607194926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79.532301588639172</v>
      </c>
      <c r="DU116" s="62">
        <f t="shared" si="98"/>
        <v>409.2657792678549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13.050862345323331</v>
      </c>
      <c r="EB116" s="23">
        <f>EXP(-LN(2)/25)*EB115+(1-EXP(-LN(2)/25))/(LN(2)/25)*Calculateur!DW116*Calculateur!DY116*VLOOKUP('Données projet'!$B$14,Paramètres!$A$1:$I$89,3,0)*0.475*44/12</f>
        <v>1.6311760086981404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14.682038354021472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77.885897614924062</v>
      </c>
      <c r="EP116" s="62">
        <f t="shared" si="100"/>
        <v>401.02460251355296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12.767147946511962</v>
      </c>
      <c r="EW116" s="23">
        <f>EXP(-LN(2)/25)*EW115+(1-EXP(-LN(2)/25))/(LN(2)/25)*Calculateur!ER116*Calculateur!ET116*VLOOKUP('Données projet'!$B$15,Paramètres!$A$1:$I$89,3,0)*0.475*44/12</f>
        <v>1.5957156606829639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14.362863607194926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426.87921482911719</v>
      </c>
      <c r="T117" s="62">
        <f t="shared" si="88"/>
        <v>313.49594674441835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301.2</v>
      </c>
      <c r="AJ117" s="14">
        <f>AI117*VLOOKUP('Données projet'!$B$10,Paramètres!$A$1:$I$89,3,0)*VLOOKUP('Données projet'!$B$10,Paramètres!$A$1:$I$89,5,0)</f>
        <v>305.41680000000002</v>
      </c>
      <c r="AK117" s="14">
        <f t="shared" si="89"/>
        <v>72.310847436258001</v>
      </c>
      <c r="AL117" s="22">
        <f t="shared" si="58"/>
        <v>657.87565261814939</v>
      </c>
      <c r="AM117" s="62">
        <f t="shared" si="59"/>
        <v>938.74106765285478</v>
      </c>
      <c r="AN117" s="62">
        <f ca="1">AVERAGE(OFFSET($AM$3,0,0,'Données projet'!$E$10+1,1))-AVERAGE(OFFSET($H$3,0,0,'Données projet'!$E$10+1,1))</f>
        <v>462.95686283420531</v>
      </c>
      <c r="AO117" s="62">
        <f t="shared" si="90"/>
        <v>275.54513370838777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6.8212102632969618E-13</v>
      </c>
      <c r="BE117" s="14">
        <f>BD117*VLOOKUP('Données projet'!$B$11,Paramètres!$A$1:$I$89,3,0)*VLOOKUP('Données projet'!$B$11,Paramètres!$A$1:$I$89,5,0)</f>
        <v>4.0790837374515837E-13</v>
      </c>
      <c r="BF117" s="14">
        <f t="shared" si="91"/>
        <v>5.2028966193600884E-12</v>
      </c>
      <c r="BG117" s="22">
        <f t="shared" si="61"/>
        <v>9.7721520296583044E-12</v>
      </c>
      <c r="BH117" s="62">
        <f t="shared" si="62"/>
        <v>280.86541503471523</v>
      </c>
      <c r="BI117" s="62">
        <f ca="1">AVERAGE(OFFSET($BH$3,0,0,'Données projet'!$E$11+1,1))-AVERAGE(OFFSET($H$3,0,0,'Données projet'!$E$11+1,1))</f>
        <v>505.16888119060701</v>
      </c>
      <c r="BJ117" s="62">
        <f t="shared" si="92"/>
        <v>351.15312364640613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3.4205546043445737E-12</v>
      </c>
      <c r="BS117" s="24">
        <f t="shared" si="63"/>
        <v>3.4205546043445737E-12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68.195506926115257</v>
      </c>
      <c r="CE117" s="62">
        <f t="shared" si="94"/>
        <v>352.52565673897004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10.882655234038308</v>
      </c>
      <c r="CL117" s="23">
        <f>EXP(-LN(2)/25)*CL116+(1-EXP(-LN(2)/25))/(LN(2)/25)*Calculateur!CG117*Calculateur!CI117*VLOOKUP('Données projet'!$B$12,Paramètres!$A$1:$I$89,3,0)*0.475*44/12</f>
        <v>1.3494479697897501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12.232103203828059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77.885897614924062</v>
      </c>
      <c r="CZ117" s="62">
        <f t="shared" si="96"/>
        <v>401.02460251355296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12.516791962472189</v>
      </c>
      <c r="DG117" s="23">
        <f>EXP(-LN(2)/25)*DG116+(1-EXP(-LN(2)/25))/(LN(2)/25)*Calculateur!DB117*Calculateur!DD117*VLOOKUP('Données projet'!$B$13,Paramètres!$A$1:$I$89,3,0)*0.475*44/12</f>
        <v>1.5520807320265486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14.068872694498737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79.532301588639172</v>
      </c>
      <c r="DU117" s="62">
        <f t="shared" si="98"/>
        <v>409.2657792678549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12.794942894971562</v>
      </c>
      <c r="EB117" s="23">
        <f>EXP(-LN(2)/25)*EB116+(1-EXP(-LN(2)/25))/(LN(2)/25)*Calculateur!DW117*Calculateur!DY117*VLOOKUP('Données projet'!$B$14,Paramètres!$A$1:$I$89,3,0)*0.475*44/12</f>
        <v>1.5865714149604715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14.381514309932033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77.885897614924062</v>
      </c>
      <c r="EP117" s="62">
        <f t="shared" si="100"/>
        <v>401.02460251355296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12.516791962472189</v>
      </c>
      <c r="EW117" s="23">
        <f>EXP(-LN(2)/25)*EW116+(1-EXP(-LN(2)/25))/(LN(2)/25)*Calculateur!ER117*Calculateur!ET117*VLOOKUP('Données projet'!$B$15,Paramètres!$A$1:$I$89,3,0)*0.475*44/12</f>
        <v>1.5520807320265486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14.068872694498737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426.87921482911719</v>
      </c>
      <c r="T118" s="62">
        <f t="shared" si="88"/>
        <v>313.49594674441835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305</v>
      </c>
      <c r="AJ118" s="14">
        <f>AI118*VLOOKUP('Données projet'!$B$10,Paramètres!$A$1:$I$89,3,0)*VLOOKUP('Données projet'!$B$10,Paramètres!$A$1:$I$89,5,0)</f>
        <v>309.27000000000004</v>
      </c>
      <c r="AK118" s="14">
        <f t="shared" si="89"/>
        <v>73.116356204711096</v>
      </c>
      <c r="AL118" s="22">
        <f t="shared" si="58"/>
        <v>665.9895703898718</v>
      </c>
      <c r="AM118" s="62">
        <f t="shared" si="59"/>
        <v>947.071275932969</v>
      </c>
      <c r="AN118" s="62">
        <f ca="1">AVERAGE(OFFSET($AM$3,0,0,'Données projet'!$E$10+1,1))-AVERAGE(OFFSET($H$3,0,0,'Données projet'!$E$10+1,1))</f>
        <v>462.95686283420531</v>
      </c>
      <c r="AO118" s="62">
        <f t="shared" si="90"/>
        <v>275.54513370838777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6.8212102632969618E-13</v>
      </c>
      <c r="BE118" s="14">
        <f>BD118*VLOOKUP('Données projet'!$B$11,Paramètres!$A$1:$I$89,3,0)*VLOOKUP('Données projet'!$B$11,Paramètres!$A$1:$I$89,5,0)</f>
        <v>4.0790837374515837E-13</v>
      </c>
      <c r="BF118" s="14">
        <f t="shared" si="91"/>
        <v>5.2028966193600884E-12</v>
      </c>
      <c r="BG118" s="22">
        <f t="shared" si="61"/>
        <v>9.7721520296583044E-12</v>
      </c>
      <c r="BH118" s="62">
        <f t="shared" si="62"/>
        <v>281.08170554310703</v>
      </c>
      <c r="BI118" s="62">
        <f ca="1">AVERAGE(OFFSET($BH$3,0,0,'Données projet'!$E$11+1,1))-AVERAGE(OFFSET($H$3,0,0,'Données projet'!$E$11+1,1))</f>
        <v>505.16888119060701</v>
      </c>
      <c r="BJ118" s="62">
        <f t="shared" si="92"/>
        <v>351.15312364640613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2.4186973561509161E-12</v>
      </c>
      <c r="BS118" s="24">
        <f t="shared" si="63"/>
        <v>2.4186973561509161E-12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68.195506926115257</v>
      </c>
      <c r="CE118" s="62">
        <f t="shared" si="94"/>
        <v>352.52565673897004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10.669253002663085</v>
      </c>
      <c r="CL118" s="23">
        <f>EXP(-LN(2)/25)*CL117+(1-EXP(-LN(2)/25))/(LN(2)/25)*Calculateur!CG118*Calculateur!CI118*VLOOKUP('Données projet'!$B$12,Paramètres!$A$1:$I$89,3,0)*0.475*44/12</f>
        <v>1.3125472440914649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11.981800246754551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77.885897614924062</v>
      </c>
      <c r="CZ118" s="62">
        <f t="shared" si="96"/>
        <v>401.02460251355296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12.271345306577363</v>
      </c>
      <c r="DG118" s="23">
        <f>EXP(-LN(2)/25)*DG117+(1-EXP(-LN(2)/25))/(LN(2)/25)*Calculateur!DB118*Calculateur!DD118*VLOOKUP('Données projet'!$B$13,Paramètres!$A$1:$I$89,3,0)*0.475*44/12</f>
        <v>1.5096390027889042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13.780984309366268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79.532301588639172</v>
      </c>
      <c r="DU118" s="62">
        <f t="shared" si="98"/>
        <v>409.2657792678549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12.54404186894574</v>
      </c>
      <c r="EB118" s="23">
        <f>EXP(-LN(2)/25)*EB117+(1-EXP(-LN(2)/25))/(LN(2)/25)*Calculateur!DW118*Calculateur!DY118*VLOOKUP('Données projet'!$B$14,Paramètres!$A$1:$I$89,3,0)*0.475*44/12</f>
        <v>1.5431865361842128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14.087228405129952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77.885897614924062</v>
      </c>
      <c r="EP118" s="62">
        <f t="shared" si="100"/>
        <v>401.02460251355296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12.271345306577363</v>
      </c>
      <c r="EW118" s="23">
        <f>EXP(-LN(2)/25)*EW117+(1-EXP(-LN(2)/25))/(LN(2)/25)*Calculateur!ER118*Calculateur!ET118*VLOOKUP('Données projet'!$B$15,Paramètres!$A$1:$I$89,3,0)*0.475*44/12</f>
        <v>1.5096390027889042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13.780984309366268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426.87921482911719</v>
      </c>
      <c r="T119" s="62">
        <f t="shared" si="88"/>
        <v>313.49594674441835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290.60000000000002</v>
      </c>
      <c r="AJ119" s="14">
        <f>AI119*VLOOKUP('Données projet'!$B$10,Paramètres!$A$1:$I$89,3,0)*VLOOKUP('Données projet'!$B$10,Paramètres!$A$1:$I$89,5,0)</f>
        <v>294.66840000000002</v>
      </c>
      <c r="AK119" s="14">
        <f t="shared" si="89"/>
        <v>70.057591528661547</v>
      </c>
      <c r="AL119" s="22">
        <f t="shared" si="58"/>
        <v>635.23110191241881</v>
      </c>
      <c r="AM119" s="62">
        <f t="shared" si="59"/>
        <v>916.5253458071403</v>
      </c>
      <c r="AN119" s="62">
        <f ca="1">AVERAGE(OFFSET($AM$3,0,0,'Données projet'!$E$10+1,1))-AVERAGE(OFFSET($H$3,0,0,'Données projet'!$E$10+1,1))</f>
        <v>462.95686283420531</v>
      </c>
      <c r="AO119" s="62">
        <f t="shared" si="90"/>
        <v>275.54513370838777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6.8212102632969618E-13</v>
      </c>
      <c r="BE119" s="14">
        <f>BD119*VLOOKUP('Données projet'!$B$11,Paramètres!$A$1:$I$89,3,0)*VLOOKUP('Données projet'!$B$11,Paramètres!$A$1:$I$89,5,0)</f>
        <v>4.0790837374515837E-13</v>
      </c>
      <c r="BF119" s="14">
        <f t="shared" si="91"/>
        <v>5.2028966193600884E-12</v>
      </c>
      <c r="BG119" s="22">
        <f t="shared" si="61"/>
        <v>9.7721520296583044E-12</v>
      </c>
      <c r="BH119" s="62">
        <f t="shared" si="62"/>
        <v>281.29424389473127</v>
      </c>
      <c r="BI119" s="62">
        <f ca="1">AVERAGE(OFFSET($BH$3,0,0,'Données projet'!$E$11+1,1))-AVERAGE(OFFSET($H$3,0,0,'Données projet'!$E$11+1,1))</f>
        <v>505.16888119060701</v>
      </c>
      <c r="BJ119" s="62">
        <f t="shared" si="92"/>
        <v>351.15312364640613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1.7102773021722869E-12</v>
      </c>
      <c r="BS119" s="24">
        <f t="shared" si="63"/>
        <v>1.7102773021722869E-12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68.195506926115257</v>
      </c>
      <c r="CE119" s="62">
        <f t="shared" si="94"/>
        <v>352.52565673897004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10.460035458882622</v>
      </c>
      <c r="CL119" s="23">
        <f>EXP(-LN(2)/25)*CL118+(1-EXP(-LN(2)/25))/(LN(2)/25)*Calculateur!CG119*Calculateur!CI119*VLOOKUP('Données projet'!$B$12,Paramètres!$A$1:$I$89,3,0)*0.475*44/12</f>
        <v>1.2766555706779241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11.736691029560546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77.885897614924062</v>
      </c>
      <c r="CZ119" s="62">
        <f t="shared" si="96"/>
        <v>401.02460251355296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12.030711709896957</v>
      </c>
      <c r="DG119" s="23">
        <f>EXP(-LN(2)/25)*DG118+(1-EXP(-LN(2)/25))/(LN(2)/25)*Calculateur!DB119*Calculateur!DD119*VLOOKUP('Données projet'!$B$13,Paramètres!$A$1:$I$89,3,0)*0.475*44/12</f>
        <v>1.4683578448691768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13.499069554766134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79.532301588639172</v>
      </c>
      <c r="DU119" s="62">
        <f t="shared" si="98"/>
        <v>409.2657792678549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12.298060859005769</v>
      </c>
      <c r="EB119" s="23">
        <f>EXP(-LN(2)/25)*EB118+(1-EXP(-LN(2)/25))/(LN(2)/25)*Calculateur!DW119*Calculateur!DY119*VLOOKUP('Données projet'!$B$14,Paramètres!$A$1:$I$89,3,0)*0.475*44/12</f>
        <v>1.5009880191996026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13.799048878205372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77.885897614924062</v>
      </c>
      <c r="EP119" s="62">
        <f t="shared" si="100"/>
        <v>401.02460251355296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12.030711709896957</v>
      </c>
      <c r="EW119" s="23">
        <f>EXP(-LN(2)/25)*EW118+(1-EXP(-LN(2)/25))/(LN(2)/25)*Calculateur!ER119*Calculateur!ET119*VLOOKUP('Données projet'!$B$15,Paramètres!$A$1:$I$89,3,0)*0.475*44/12</f>
        <v>1.4683578448691768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13.499069554766134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426.87921482911719</v>
      </c>
      <c r="T120" s="62">
        <f t="shared" si="88"/>
        <v>313.49594674441835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294.20000000000005</v>
      </c>
      <c r="AJ120" s="14">
        <f>AI120*VLOOKUP('Données projet'!$B$10,Paramètres!$A$1:$I$89,3,0)*VLOOKUP('Données projet'!$B$10,Paramètres!$A$1:$I$89,5,0)</f>
        <v>298.31880000000007</v>
      </c>
      <c r="AK120" s="14">
        <f t="shared" si="89"/>
        <v>70.823904189019913</v>
      </c>
      <c r="AL120" s="22">
        <f t="shared" si="58"/>
        <v>642.92354312920986</v>
      </c>
      <c r="AM120" s="62">
        <f t="shared" si="59"/>
        <v>924.4266383103195</v>
      </c>
      <c r="AN120" s="62">
        <f ca="1">AVERAGE(OFFSET($AM$3,0,0,'Données projet'!$E$10+1,1))-AVERAGE(OFFSET($H$3,0,0,'Données projet'!$E$10+1,1))</f>
        <v>462.95686283420531</v>
      </c>
      <c r="AO120" s="62">
        <f t="shared" si="90"/>
        <v>275.54513370838777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6.8212102632969618E-13</v>
      </c>
      <c r="BE120" s="14">
        <f>BD120*VLOOKUP('Données projet'!$B$11,Paramètres!$A$1:$I$89,3,0)*VLOOKUP('Données projet'!$B$11,Paramètres!$A$1:$I$89,5,0)</f>
        <v>4.0790837374515837E-13</v>
      </c>
      <c r="BF120" s="14">
        <f t="shared" si="91"/>
        <v>5.2028966193600884E-12</v>
      </c>
      <c r="BG120" s="22">
        <f t="shared" si="61"/>
        <v>9.7721520296583044E-12</v>
      </c>
      <c r="BH120" s="62">
        <f t="shared" si="62"/>
        <v>281.50309518111942</v>
      </c>
      <c r="BI120" s="62">
        <f ca="1">AVERAGE(OFFSET($BH$3,0,0,'Données projet'!$E$11+1,1))-AVERAGE(OFFSET($H$3,0,0,'Données projet'!$E$11+1,1))</f>
        <v>505.16888119060701</v>
      </c>
      <c r="BJ120" s="62">
        <f t="shared" si="92"/>
        <v>351.15312364640613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1.2093486780754581E-12</v>
      </c>
      <c r="BS120" s="24">
        <f t="shared" si="63"/>
        <v>1.2093486780754581E-12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68.195506926115257</v>
      </c>
      <c r="CE120" s="62">
        <f t="shared" si="94"/>
        <v>352.52565673897004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10.254920543525593</v>
      </c>
      <c r="CL120" s="23">
        <f>EXP(-LN(2)/25)*CL119+(1-EXP(-LN(2)/25))/(LN(2)/25)*Calculateur!CG120*Calculateur!CI120*VLOOKUP('Données projet'!$B$12,Paramètres!$A$1:$I$89,3,0)*0.475*44/12</f>
        <v>1.2417453569613377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11.496665900486931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77.885897614924062</v>
      </c>
      <c r="CZ120" s="62">
        <f t="shared" si="96"/>
        <v>401.02460251355296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11.794796791275452</v>
      </c>
      <c r="DG120" s="23">
        <f>EXP(-LN(2)/25)*DG119+(1-EXP(-LN(2)/25))/(LN(2)/25)*Calculateur!DB120*Calculateur!DD120*VLOOKUP('Données projet'!$B$13,Paramètres!$A$1:$I$89,3,0)*0.475*44/12</f>
        <v>1.4282055223836461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13.223002313659098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79.532301588639172</v>
      </c>
      <c r="DU120" s="62">
        <f t="shared" si="98"/>
        <v>409.2657792678549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12.056903386637121</v>
      </c>
      <c r="EB120" s="23">
        <f>EXP(-LN(2)/25)*EB119+(1-EXP(-LN(2)/25))/(LN(2)/25)*Calculateur!DW120*Calculateur!DY120*VLOOKUP('Données projet'!$B$14,Paramètres!$A$1:$I$89,3,0)*0.475*44/12</f>
        <v>1.4599434228810602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13.516846809518182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77.885897614924062</v>
      </c>
      <c r="EP120" s="62">
        <f t="shared" si="100"/>
        <v>401.02460251355296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11.794796791275452</v>
      </c>
      <c r="EW120" s="23">
        <f>EXP(-LN(2)/25)*EW119+(1-EXP(-LN(2)/25))/(LN(2)/25)*Calculateur!ER120*Calculateur!ET120*VLOOKUP('Données projet'!$B$15,Paramètres!$A$1:$I$89,3,0)*0.475*44/12</f>
        <v>1.4282055223836461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13.223002313659098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426.87921482911719</v>
      </c>
      <c r="T121" s="62">
        <f t="shared" si="88"/>
        <v>313.49594674441835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297.80000000000007</v>
      </c>
      <c r="AJ121" s="14">
        <f>AI121*VLOOKUP('Données projet'!$B$10,Paramètres!$A$1:$I$89,3,0)*VLOOKUP('Données projet'!$B$10,Paramètres!$A$1:$I$89,5,0)</f>
        <v>301.96920000000011</v>
      </c>
      <c r="AK121" s="14">
        <f t="shared" si="89"/>
        <v>71.589126109929794</v>
      </c>
      <c r="AL121" s="22">
        <f t="shared" si="58"/>
        <v>650.6140846414612</v>
      </c>
      <c r="AM121" s="62">
        <f t="shared" si="59"/>
        <v>932.32240800606155</v>
      </c>
      <c r="AN121" s="62">
        <f ca="1">AVERAGE(OFFSET($AM$3,0,0,'Données projet'!$E$10+1,1))-AVERAGE(OFFSET($H$3,0,0,'Données projet'!$E$10+1,1))</f>
        <v>462.95686283420531</v>
      </c>
      <c r="AO121" s="62">
        <f t="shared" si="90"/>
        <v>275.54513370838777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6.8212102632969618E-13</v>
      </c>
      <c r="BE121" s="14">
        <f>BD121*VLOOKUP('Données projet'!$B$11,Paramètres!$A$1:$I$89,3,0)*VLOOKUP('Données projet'!$B$11,Paramètres!$A$1:$I$89,5,0)</f>
        <v>4.0790837374515837E-13</v>
      </c>
      <c r="BF121" s="14">
        <f t="shared" si="91"/>
        <v>5.2028966193600884E-12</v>
      </c>
      <c r="BG121" s="22">
        <f t="shared" si="61"/>
        <v>9.7721520296583044E-12</v>
      </c>
      <c r="BH121" s="62">
        <f t="shared" si="62"/>
        <v>281.70832336461018</v>
      </c>
      <c r="BI121" s="62">
        <f ca="1">AVERAGE(OFFSET($BH$3,0,0,'Données projet'!$E$11+1,1))-AVERAGE(OFFSET($H$3,0,0,'Données projet'!$E$11+1,1))</f>
        <v>505.16888119060701</v>
      </c>
      <c r="BJ121" s="62">
        <f t="shared" si="92"/>
        <v>351.15312364640613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8.5513865108614344E-13</v>
      </c>
      <c r="BS121" s="24">
        <f t="shared" si="63"/>
        <v>8.5513865108614344E-13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68.195506926115257</v>
      </c>
      <c r="CE121" s="62">
        <f t="shared" si="94"/>
        <v>352.52565673897004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10.053827806550968</v>
      </c>
      <c r="CL121" s="23">
        <f>EXP(-LN(2)/25)*CL120+(1-EXP(-LN(2)/25))/(LN(2)/25)*Calculateur!CG121*Calculateur!CI121*VLOOKUP('Données projet'!$B$12,Paramètres!$A$1:$I$89,3,0)*0.475*44/12</f>
        <v>1.2077897648746796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11.261617571425647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77.885897614924062</v>
      </c>
      <c r="CZ121" s="62">
        <f t="shared" si="96"/>
        <v>401.02460251355296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11.563508020314224</v>
      </c>
      <c r="DG121" s="23">
        <f>EXP(-LN(2)/25)*DG120+(1-EXP(-LN(2)/25))/(LN(2)/25)*Calculateur!DB121*Calculateur!DD121*VLOOKUP('Données projet'!$B$13,Paramètres!$A$1:$I$89,3,0)*0.475*44/12</f>
        <v>1.389151167268001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12.952659187582224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79.532301588639172</v>
      </c>
      <c r="DU121" s="62">
        <f t="shared" si="98"/>
        <v>409.2657792678549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11.820474865210088</v>
      </c>
      <c r="EB121" s="23">
        <f>EXP(-LN(2)/25)*EB120+(1-EXP(-LN(2)/25))/(LN(2)/25)*Calculateur!DW121*Calculateur!DY121*VLOOKUP('Données projet'!$B$14,Paramètres!$A$1:$I$89,3,0)*0.475*44/12</f>
        <v>1.4200211932072897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13.240496058417378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77.885897614924062</v>
      </c>
      <c r="EP121" s="62">
        <f t="shared" si="100"/>
        <v>401.02460251355296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11.563508020314224</v>
      </c>
      <c r="EW121" s="23">
        <f>EXP(-LN(2)/25)*EW120+(1-EXP(-LN(2)/25))/(LN(2)/25)*Calculateur!ER121*Calculateur!ET121*VLOOKUP('Données projet'!$B$15,Paramètres!$A$1:$I$89,3,0)*0.475*44/12</f>
        <v>1.389151167268001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12.952659187582224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426.87921482911719</v>
      </c>
      <c r="T122" s="62">
        <f t="shared" si="88"/>
        <v>313.49594674441835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301.40000000000009</v>
      </c>
      <c r="AJ122" s="14">
        <f>AI122*VLOOKUP('Données projet'!$B$10,Paramètres!$A$1:$I$89,3,0)*VLOOKUP('Données projet'!$B$10,Paramètres!$A$1:$I$89,5,0)</f>
        <v>305.6196000000001</v>
      </c>
      <c r="AK122" s="14">
        <f t="shared" si="89"/>
        <v>72.353272002127468</v>
      </c>
      <c r="AL122" s="22">
        <f t="shared" si="58"/>
        <v>658.30275207037221</v>
      </c>
      <c r="AM122" s="62">
        <f t="shared" si="59"/>
        <v>940.21274336830129</v>
      </c>
      <c r="AN122" s="62">
        <f ca="1">AVERAGE(OFFSET($AM$3,0,0,'Données projet'!$E$10+1,1))-AVERAGE(OFFSET($H$3,0,0,'Données projet'!$E$10+1,1))</f>
        <v>462.95686283420531</v>
      </c>
      <c r="AO122" s="62">
        <f t="shared" si="90"/>
        <v>275.54513370838777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6.8212102632969618E-13</v>
      </c>
      <c r="BE122" s="14">
        <f>BD122*VLOOKUP('Données projet'!$B$11,Paramètres!$A$1:$I$89,3,0)*VLOOKUP('Données projet'!$B$11,Paramètres!$A$1:$I$89,5,0)</f>
        <v>4.0790837374515837E-13</v>
      </c>
      <c r="BF122" s="14">
        <f t="shared" si="91"/>
        <v>5.2028966193600884E-12</v>
      </c>
      <c r="BG122" s="22">
        <f t="shared" si="61"/>
        <v>9.7721520296583044E-12</v>
      </c>
      <c r="BH122" s="62">
        <f t="shared" si="62"/>
        <v>281.90999129793892</v>
      </c>
      <c r="BI122" s="62">
        <f ca="1">AVERAGE(OFFSET($BH$3,0,0,'Données projet'!$E$11+1,1))-AVERAGE(OFFSET($H$3,0,0,'Données projet'!$E$11+1,1))</f>
        <v>505.16888119060701</v>
      </c>
      <c r="BJ122" s="62">
        <f t="shared" si="92"/>
        <v>351.15312364640613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6.0467433903772903E-13</v>
      </c>
      <c r="BS122" s="24">
        <f t="shared" si="63"/>
        <v>6.0467433903772903E-13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68.195506926115257</v>
      </c>
      <c r="CE122" s="62">
        <f t="shared" si="94"/>
        <v>352.52565673897004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9.8566783754939582</v>
      </c>
      <c r="CL122" s="23">
        <f>EXP(-LN(2)/25)*CL121+(1-EXP(-LN(2)/25))/(LN(2)/25)*Calculateur!CG122*Calculateur!CI122*VLOOKUP('Données projet'!$B$12,Paramètres!$A$1:$I$89,3,0)*0.475*44/12</f>
        <v>1.1747626902392783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11.031441065733237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77.885897614924062</v>
      </c>
      <c r="CZ122" s="62">
        <f t="shared" si="96"/>
        <v>401.02460251355296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11.336754681079324</v>
      </c>
      <c r="DG122" s="23">
        <f>EXP(-LN(2)/25)*DG121+(1-EXP(-LN(2)/25))/(LN(2)/25)*Calculateur!DB122*Calculateur!DD122*VLOOKUP('Données projet'!$B$13,Paramètres!$A$1:$I$89,3,0)*0.475*44/12</f>
        <v>1.3511647555467725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12.687919436626096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79.532301588639172</v>
      </c>
      <c r="DU122" s="62">
        <f t="shared" si="98"/>
        <v>409.2657792678549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11.588682562881079</v>
      </c>
      <c r="EB122" s="23">
        <f>EXP(-LN(2)/25)*EB121+(1-EXP(-LN(2)/25))/(LN(2)/25)*Calculateur!DW122*Calculateur!DY122*VLOOKUP('Données projet'!$B$14,Paramètres!$A$1:$I$89,3,0)*0.475*44/12</f>
        <v>1.3811906390033672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12.969873201884447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77.885897614924062</v>
      </c>
      <c r="EP122" s="62">
        <f t="shared" si="100"/>
        <v>401.02460251355296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11.336754681079324</v>
      </c>
      <c r="EW122" s="23">
        <f>EXP(-LN(2)/25)*EW121+(1-EXP(-LN(2)/25))/(LN(2)/25)*Calculateur!ER122*Calculateur!ET122*VLOOKUP('Données projet'!$B$15,Paramètres!$A$1:$I$89,3,0)*0.475*44/12</f>
        <v>1.3511647555467725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12.687919436626096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426.87921482911719</v>
      </c>
      <c r="T123" s="62">
        <f t="shared" si="88"/>
        <v>313.49594674441835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305.00000000000011</v>
      </c>
      <c r="AJ123" s="14">
        <f>AI123*VLOOKUP('Données projet'!$B$10,Paramètres!$A$1:$I$89,3,0)*VLOOKUP('Données projet'!$B$10,Paramètres!$A$1:$I$89,5,0)</f>
        <v>309.27000000000015</v>
      </c>
      <c r="AK123" s="14">
        <f t="shared" si="89"/>
        <v>73.116356204711153</v>
      </c>
      <c r="AL123" s="22">
        <f t="shared" si="58"/>
        <v>665.98957038987214</v>
      </c>
      <c r="AM123" s="62">
        <f t="shared" si="59"/>
        <v>948.09773113334882</v>
      </c>
      <c r="AN123" s="62">
        <f ca="1">AVERAGE(OFFSET($AM$3,0,0,'Données projet'!$E$10+1,1))-AVERAGE(OFFSET($H$3,0,0,'Données projet'!$E$10+1,1))</f>
        <v>462.95686283420531</v>
      </c>
      <c r="AO123" s="62">
        <f t="shared" si="90"/>
        <v>275.54513370838777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305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6.8212102632969618E-13</v>
      </c>
      <c r="BE123" s="14">
        <f>BD123*VLOOKUP('Données projet'!$B$11,Paramètres!$A$1:$I$89,3,0)*VLOOKUP('Données projet'!$B$11,Paramètres!$A$1:$I$89,5,0)</f>
        <v>4.0790837374515837E-13</v>
      </c>
      <c r="BF123" s="14">
        <f t="shared" si="91"/>
        <v>5.2028966193600884E-12</v>
      </c>
      <c r="BG123" s="22">
        <f t="shared" si="61"/>
        <v>9.7721520296583044E-12</v>
      </c>
      <c r="BH123" s="62">
        <f t="shared" si="62"/>
        <v>282.10816074348639</v>
      </c>
      <c r="BI123" s="62">
        <f ca="1">AVERAGE(OFFSET($BH$3,0,0,'Données projet'!$E$11+1,1))-AVERAGE(OFFSET($H$3,0,0,'Données projet'!$E$11+1,1))</f>
        <v>505.16888119060701</v>
      </c>
      <c r="BJ123" s="62">
        <f t="shared" si="92"/>
        <v>351.15312364640613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4.2756932554307172E-13</v>
      </c>
      <c r="BS123" s="24">
        <f t="shared" si="63"/>
        <v>4.2756932554307172E-13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68.195506926115257</v>
      </c>
      <c r="CE123" s="62">
        <f t="shared" si="94"/>
        <v>352.52565673897004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9.6633949245306976</v>
      </c>
      <c r="CL123" s="23">
        <f>EXP(-LN(2)/25)*CL122+(1-EXP(-LN(2)/25))/(LN(2)/25)*Calculateur!CG123*Calculateur!CI123*VLOOKUP('Données projet'!$B$12,Paramètres!$A$1:$I$89,3,0)*0.475*44/12</f>
        <v>1.1426387426966003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10.806033667227299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77.885897614924062</v>
      </c>
      <c r="CZ123" s="62">
        <f t="shared" si="96"/>
        <v>401.02460251355296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11.11444783652094</v>
      </c>
      <c r="DG123" s="23">
        <f>EXP(-LN(2)/25)*DG122+(1-EXP(-LN(2)/25))/(LN(2)/25)*Calculateur!DB123*Calculateur!DD123*VLOOKUP('Données projet'!$B$13,Paramètres!$A$1:$I$89,3,0)*0.475*44/12</f>
        <v>1.3142170842516796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12.428664920772619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79.532301588639172</v>
      </c>
      <c r="DU123" s="62">
        <f t="shared" si="98"/>
        <v>409.2657792678549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11.361435566221399</v>
      </c>
      <c r="EB123" s="23">
        <f>EXP(-LN(2)/25)*EB122+(1-EXP(-LN(2)/25))/(LN(2)/25)*Calculateur!DW123*Calculateur!DY123*VLOOKUP('Données projet'!$B$14,Paramètres!$A$1:$I$89,3,0)*0.475*44/12</f>
        <v>1.3434219083461612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12.704857474567561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77.885897614924062</v>
      </c>
      <c r="EP123" s="62">
        <f t="shared" si="100"/>
        <v>401.02460251355296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11.11444783652094</v>
      </c>
      <c r="EW123" s="23">
        <f>EXP(-LN(2)/25)*EW122+(1-EXP(-LN(2)/25))/(LN(2)/25)*Calculateur!ER123*Calculateur!ET123*VLOOKUP('Données projet'!$B$15,Paramètres!$A$1:$I$89,3,0)*0.475*44/12</f>
        <v>1.3142170842516796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12.428664920772619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426.87921482911719</v>
      </c>
      <c r="T124" s="62">
        <f t="shared" si="88"/>
        <v>313.49594674441835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282.30289239218757</v>
      </c>
      <c r="AN124" s="62">
        <f ca="1">AVERAGE(OFFSET($AM$3,0,0,'Données projet'!$E$10+1,1))-AVERAGE(OFFSET($H$3,0,0,'Données projet'!$E$10+1,1))</f>
        <v>462.95686283420531</v>
      </c>
      <c r="AO124" s="62">
        <f t="shared" si="90"/>
        <v>275.54513370838777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6.8212102632969618E-13</v>
      </c>
      <c r="BE124" s="14">
        <f>BD124*VLOOKUP('Données projet'!$B$11,Paramètres!$A$1:$I$89,3,0)*VLOOKUP('Données projet'!$B$11,Paramètres!$A$1:$I$89,5,0)</f>
        <v>4.0790837374515837E-13</v>
      </c>
      <c r="BF124" s="14">
        <f t="shared" si="91"/>
        <v>5.2028966193600884E-12</v>
      </c>
      <c r="BG124" s="22">
        <f t="shared" si="61"/>
        <v>9.7721520296583044E-12</v>
      </c>
      <c r="BH124" s="62">
        <f t="shared" si="62"/>
        <v>282.30289239219417</v>
      </c>
      <c r="BI124" s="62">
        <f ca="1">AVERAGE(OFFSET($BH$3,0,0,'Données projet'!$E$11+1,1))-AVERAGE(OFFSET($H$3,0,0,'Données projet'!$E$11+1,1))</f>
        <v>505.16888119060701</v>
      </c>
      <c r="BJ124" s="62">
        <f t="shared" si="92"/>
        <v>351.15312364640613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3.0233716951886451E-13</v>
      </c>
      <c r="BS124" s="24">
        <f t="shared" si="63"/>
        <v>3.0233716951886451E-13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68.195506926115257</v>
      </c>
      <c r="CE124" s="62">
        <f t="shared" si="94"/>
        <v>352.52565673897004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9.4739016441495618</v>
      </c>
      <c r="CL124" s="23">
        <f>EXP(-LN(2)/25)*CL123+(1-EXP(-LN(2)/25))/(LN(2)/25)*Calculateur!CG124*Calculateur!CI124*VLOOKUP('Données projet'!$B$12,Paramètres!$A$1:$I$89,3,0)*0.475*44/12</f>
        <v>1.1113932261888018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10.585294870338364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77.885897614924062</v>
      </c>
      <c r="CZ124" s="62">
        <f t="shared" si="96"/>
        <v>401.02460251355296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10.896500293590559</v>
      </c>
      <c r="DG124" s="23">
        <f>EXP(-LN(2)/25)*DG123+(1-EXP(-LN(2)/25))/(LN(2)/25)*Calculateur!DB124*Calculateur!DD124*VLOOKUP('Données projet'!$B$13,Paramètres!$A$1:$I$89,3,0)*0.475*44/12</f>
        <v>1.2782797489711446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12.174780042561704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79.532301588639172</v>
      </c>
      <c r="DU124" s="62">
        <f t="shared" si="98"/>
        <v>409.2657792678549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11.138644744559233</v>
      </c>
      <c r="EB124" s="23">
        <f>EXP(-LN(2)/25)*EB123+(1-EXP(-LN(2)/25))/(LN(2)/25)*Calculateur!DW124*Calculateur!DY124*VLOOKUP('Données projet'!$B$14,Paramètres!$A$1:$I$89,3,0)*0.475*44/12</f>
        <v>1.3066859656149477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12.445330710174181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77.885897614924062</v>
      </c>
      <c r="EP124" s="62">
        <f t="shared" si="100"/>
        <v>401.02460251355296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10.896500293590559</v>
      </c>
      <c r="EW124" s="23">
        <f>EXP(-LN(2)/25)*EW123+(1-EXP(-LN(2)/25))/(LN(2)/25)*Calculateur!ER124*Calculateur!ET124*VLOOKUP('Données projet'!$B$15,Paramètres!$A$1:$I$89,3,0)*0.475*44/12</f>
        <v>1.2782797489711446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12.174780042561704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426.87921482911719</v>
      </c>
      <c r="T125" s="62">
        <f t="shared" si="88"/>
        <v>313.49594674441835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282.49424588214498</v>
      </c>
      <c r="AN125" s="62">
        <f ca="1">AVERAGE(OFFSET($AM$3,0,0,'Données projet'!$E$10+1,1))-AVERAGE(OFFSET($H$3,0,0,'Données projet'!$E$10+1,1))</f>
        <v>462.95686283420531</v>
      </c>
      <c r="AO125" s="62">
        <f t="shared" si="90"/>
        <v>275.54513370838777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6.8212102632969618E-13</v>
      </c>
      <c r="BE125" s="14">
        <f>BD125*VLOOKUP('Données projet'!$B$11,Paramètres!$A$1:$I$89,3,0)*VLOOKUP('Données projet'!$B$11,Paramètres!$A$1:$I$89,5,0)</f>
        <v>4.0790837374515837E-13</v>
      </c>
      <c r="BF125" s="14">
        <f t="shared" si="91"/>
        <v>5.2028966193600884E-12</v>
      </c>
      <c r="BG125" s="22">
        <f t="shared" si="61"/>
        <v>9.7721520296583044E-12</v>
      </c>
      <c r="BH125" s="62">
        <f t="shared" si="62"/>
        <v>282.49424588215157</v>
      </c>
      <c r="BI125" s="62">
        <f ca="1">AVERAGE(OFFSET($BH$3,0,0,'Données projet'!$E$11+1,1))-AVERAGE(OFFSET($H$3,0,0,'Données projet'!$E$11+1,1))</f>
        <v>505.16888119060701</v>
      </c>
      <c r="BJ125" s="62">
        <f t="shared" si="92"/>
        <v>351.15312364640613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2.1378466277153586E-13</v>
      </c>
      <c r="BS125" s="24">
        <f t="shared" si="63"/>
        <v>2.1378466277153586E-13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68.195506926115257</v>
      </c>
      <c r="CE125" s="62">
        <f t="shared" si="94"/>
        <v>352.52565673897004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9.2881242114172107</v>
      </c>
      <c r="CL125" s="23">
        <f>EXP(-LN(2)/25)*CL124+(1-EXP(-LN(2)/25))/(LN(2)/25)*Calculateur!CG125*Calculateur!CI125*VLOOKUP('Données projet'!$B$12,Paramètres!$A$1:$I$89,3,0)*0.475*44/12</f>
        <v>1.0810021199730393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10.36912633139025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77.885897614924062</v>
      </c>
      <c r="CZ125" s="62">
        <f t="shared" si="96"/>
        <v>401.02460251355296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10.682826569042168</v>
      </c>
      <c r="DG125" s="23">
        <f>EXP(-LN(2)/25)*DG124+(1-EXP(-LN(2)/25))/(LN(2)/25)*Calculateur!DB125*Calculateur!DD125*VLOOKUP('Données projet'!$B$13,Paramètres!$A$1:$I$89,3,0)*0.475*44/12</f>
        <v>1.2433251220137183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11.926151691055887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79.532301588639172</v>
      </c>
      <c r="DU125" s="62">
        <f t="shared" si="98"/>
        <v>409.2657792678549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10.920222715020879</v>
      </c>
      <c r="EB125" s="23">
        <f>EXP(-LN(2)/25)*EB124+(1-EXP(-LN(2)/25))/(LN(2)/25)*Calculateur!DW125*Calculateur!DY125*VLOOKUP('Données projet'!$B$14,Paramètres!$A$1:$I$89,3,0)*0.475*44/12</f>
        <v>1.2709545691695785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12.191177284190458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77.885897614924062</v>
      </c>
      <c r="EP125" s="62">
        <f t="shared" si="100"/>
        <v>401.02460251355296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10.682826569042168</v>
      </c>
      <c r="EW125" s="23">
        <f>EXP(-LN(2)/25)*EW124+(1-EXP(-LN(2)/25))/(LN(2)/25)*Calculateur!ER125*Calculateur!ET125*VLOOKUP('Données projet'!$B$15,Paramètres!$A$1:$I$89,3,0)*0.475*44/12</f>
        <v>1.2433251220137183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11.926151691055887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426.87921482911719</v>
      </c>
      <c r="T126" s="62">
        <f t="shared" si="88"/>
        <v>313.49594674441835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282.68227981685385</v>
      </c>
      <c r="AN126" s="62">
        <f ca="1">AVERAGE(OFFSET($AM$3,0,0,'Données projet'!$E$10+1,1))-AVERAGE(OFFSET($H$3,0,0,'Données projet'!$E$10+1,1))</f>
        <v>462.95686283420531</v>
      </c>
      <c r="AO126" s="62">
        <f t="shared" si="90"/>
        <v>275.54513370838777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6.8212102632969618E-13</v>
      </c>
      <c r="BE126" s="14">
        <f>BD126*VLOOKUP('Données projet'!$B$11,Paramètres!$A$1:$I$89,3,0)*VLOOKUP('Données projet'!$B$11,Paramètres!$A$1:$I$89,5,0)</f>
        <v>4.0790837374515837E-13</v>
      </c>
      <c r="BF126" s="14">
        <f t="shared" si="91"/>
        <v>5.2028966193600884E-12</v>
      </c>
      <c r="BG126" s="22">
        <f t="shared" si="61"/>
        <v>9.7721520296583044E-12</v>
      </c>
      <c r="BH126" s="62">
        <f t="shared" si="62"/>
        <v>282.68227981686044</v>
      </c>
      <c r="BI126" s="62">
        <f ca="1">AVERAGE(OFFSET($BH$3,0,0,'Données projet'!$E$11+1,1))-AVERAGE(OFFSET($H$3,0,0,'Données projet'!$E$11+1,1))</f>
        <v>505.16888119060701</v>
      </c>
      <c r="BJ126" s="62">
        <f t="shared" si="92"/>
        <v>351.15312364640613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1.5116858475943226E-13</v>
      </c>
      <c r="BS126" s="24">
        <f t="shared" si="63"/>
        <v>1.5116858475943226E-13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68.195506926115257</v>
      </c>
      <c r="CE126" s="62">
        <f t="shared" si="94"/>
        <v>352.52565673897004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9.105989760827697</v>
      </c>
      <c r="CL126" s="23">
        <f>EXP(-LN(2)/25)*CL125+(1-EXP(-LN(2)/25))/(LN(2)/25)*Calculateur!CG126*Calculateur!CI126*VLOOKUP('Données projet'!$B$12,Paramètres!$A$1:$I$89,3,0)*0.475*44/12</f>
        <v>1.0514420601549457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10.157431820982643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77.885897614924062</v>
      </c>
      <c r="CZ126" s="62">
        <f t="shared" si="96"/>
        <v>401.02460251355296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10.473342855904068</v>
      </c>
      <c r="DG126" s="23">
        <f>EXP(-LN(2)/25)*DG125+(1-EXP(-LN(2)/25))/(LN(2)/25)*Calculateur!DB126*Calculateur!DD126*VLOOKUP('Données projet'!$B$13,Paramètres!$A$1:$I$89,3,0)*0.475*44/12</f>
        <v>1.2093263311686266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11.682669187072694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79.532301588639172</v>
      </c>
      <c r="DU126" s="62">
        <f t="shared" si="98"/>
        <v>409.2657792678549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10.706083808257489</v>
      </c>
      <c r="EB126" s="23">
        <f>EXP(-LN(2)/25)*EB125+(1-EXP(-LN(2)/25))/(LN(2)/25)*Calculateur!DW126*Calculateur!DY126*VLOOKUP('Données projet'!$B$14,Paramètres!$A$1:$I$89,3,0)*0.475*44/12</f>
        <v>1.2362002496390403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11.942284057896529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77.885897614924062</v>
      </c>
      <c r="EP126" s="62">
        <f t="shared" si="100"/>
        <v>401.02460251355296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10.473342855904068</v>
      </c>
      <c r="EW126" s="23">
        <f>EXP(-LN(2)/25)*EW125+(1-EXP(-LN(2)/25))/(LN(2)/25)*Calculateur!ER126*Calculateur!ET126*VLOOKUP('Données projet'!$B$15,Paramètres!$A$1:$I$89,3,0)*0.475*44/12</f>
        <v>1.2093263311686266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11.682669187072694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426.87921482911719</v>
      </c>
      <c r="T127" s="62">
        <f t="shared" si="88"/>
        <v>313.49594674441835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282.86705178317652</v>
      </c>
      <c r="AN127" s="62">
        <f ca="1">AVERAGE(OFFSET($AM$3,0,0,'Données projet'!$E$10+1,1))-AVERAGE(OFFSET($H$3,0,0,'Données projet'!$E$10+1,1))</f>
        <v>462.95686283420531</v>
      </c>
      <c r="AO127" s="62">
        <f t="shared" si="90"/>
        <v>275.54513370838777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6.8212102632969618E-13</v>
      </c>
      <c r="BE127" s="14">
        <f>BD127*VLOOKUP('Données projet'!$B$11,Paramètres!$A$1:$I$89,3,0)*VLOOKUP('Données projet'!$B$11,Paramètres!$A$1:$I$89,5,0)</f>
        <v>4.0790837374515837E-13</v>
      </c>
      <c r="BF127" s="14">
        <f t="shared" si="91"/>
        <v>5.2028966193600884E-12</v>
      </c>
      <c r="BG127" s="22">
        <f t="shared" si="61"/>
        <v>9.7721520296583044E-12</v>
      </c>
      <c r="BH127" s="62">
        <f t="shared" si="62"/>
        <v>282.86705178318311</v>
      </c>
      <c r="BI127" s="62">
        <f ca="1">AVERAGE(OFFSET($BH$3,0,0,'Données projet'!$E$11+1,1))-AVERAGE(OFFSET($H$3,0,0,'Données projet'!$E$11+1,1))</f>
        <v>505.16888119060701</v>
      </c>
      <c r="BJ127" s="62">
        <f t="shared" si="92"/>
        <v>351.15312364640613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1.0689233138576793E-13</v>
      </c>
      <c r="BS127" s="24">
        <f t="shared" si="63"/>
        <v>1.0689233138576793E-13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68.195506926115257</v>
      </c>
      <c r="CE127" s="62">
        <f t="shared" si="94"/>
        <v>352.52565673897004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8.9274268557231977</v>
      </c>
      <c r="CL127" s="23">
        <f>EXP(-LN(2)/25)*CL126+(1-EXP(-LN(2)/25))/(LN(2)/25)*Calculateur!CG127*Calculateur!CI127*VLOOKUP('Données projet'!$B$12,Paramètres!$A$1:$I$89,3,0)*0.475*44/12</f>
        <v>1.0226903217270737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9.9501171774502719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77.885897614924062</v>
      </c>
      <c r="CZ127" s="62">
        <f t="shared" si="96"/>
        <v>401.02460251355296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10.267966990608159</v>
      </c>
      <c r="DG127" s="23">
        <f>EXP(-LN(2)/25)*DG126+(1-EXP(-LN(2)/25))/(LN(2)/25)*Calculateur!DB127*Calculateur!DD127*VLOOKUP('Données projet'!$B$13,Paramètres!$A$1:$I$89,3,0)*0.475*44/12</f>
        <v>1.1762572390471127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11.444224229655271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79.532301588639172</v>
      </c>
      <c r="DU127" s="62">
        <f t="shared" si="98"/>
        <v>409.2657792678549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10.496144034843892</v>
      </c>
      <c r="EB127" s="23">
        <f>EXP(-LN(2)/25)*EB126+(1-EXP(-LN(2)/25))/(LN(2)/25)*Calculateur!DW127*Calculateur!DY127*VLOOKUP('Données projet'!$B$14,Paramètres!$A$1:$I$89,3,0)*0.475*44/12</f>
        <v>1.202396288803715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11.698540323647608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77.885897614924062</v>
      </c>
      <c r="EP127" s="62">
        <f t="shared" si="100"/>
        <v>401.02460251355296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10.267966990608159</v>
      </c>
      <c r="EW127" s="23">
        <f>EXP(-LN(2)/25)*EW126+(1-EXP(-LN(2)/25))/(LN(2)/25)*Calculateur!ER127*Calculateur!ET127*VLOOKUP('Données projet'!$B$15,Paramètres!$A$1:$I$89,3,0)*0.475*44/12</f>
        <v>1.1762572390471127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11.444224229655271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426.87921482911719</v>
      </c>
      <c r="T128" s="62">
        <f t="shared" si="88"/>
        <v>313.49594674441835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283.04861836897169</v>
      </c>
      <c r="AN128" s="62">
        <f ca="1">AVERAGE(OFFSET($AM$3,0,0,'Données projet'!$E$10+1,1))-AVERAGE(OFFSET($H$3,0,0,'Données projet'!$E$10+1,1))</f>
        <v>462.95686283420531</v>
      </c>
      <c r="AO128" s="62">
        <f t="shared" si="90"/>
        <v>275.54513370838777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6.8212102632969618E-13</v>
      </c>
      <c r="BE128" s="14">
        <f>BD128*VLOOKUP('Données projet'!$B$11,Paramètres!$A$1:$I$89,3,0)*VLOOKUP('Données projet'!$B$11,Paramètres!$A$1:$I$89,5,0)</f>
        <v>4.0790837374515837E-13</v>
      </c>
      <c r="BF128" s="14">
        <f t="shared" si="91"/>
        <v>5.2028966193600884E-12</v>
      </c>
      <c r="BG128" s="22">
        <f t="shared" si="61"/>
        <v>9.7721520296583044E-12</v>
      </c>
      <c r="BH128" s="62">
        <f t="shared" si="62"/>
        <v>283.04861836897828</v>
      </c>
      <c r="BI128" s="62">
        <f ca="1">AVERAGE(OFFSET($BH$3,0,0,'Données projet'!$E$11+1,1))-AVERAGE(OFFSET($H$3,0,0,'Données projet'!$E$11+1,1))</f>
        <v>505.16888119060701</v>
      </c>
      <c r="BJ128" s="62">
        <f t="shared" si="92"/>
        <v>351.15312364640613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7.5584292379716129E-14</v>
      </c>
      <c r="BS128" s="24">
        <f t="shared" si="63"/>
        <v>7.5584292379716129E-14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68.195506926115257</v>
      </c>
      <c r="CE128" s="62">
        <f t="shared" si="94"/>
        <v>352.52565673897004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8.752365460275179</v>
      </c>
      <c r="CL128" s="23">
        <f>EXP(-LN(2)/25)*CL127+(1-EXP(-LN(2)/25))/(LN(2)/25)*Calculateur!CG128*Calculateur!CI128*VLOOKUP('Données projet'!$B$12,Paramètres!$A$1:$I$89,3,0)*0.475*44/12</f>
        <v>0.99472480109850026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9.7470902613736801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77.885897614924062</v>
      </c>
      <c r="CZ128" s="62">
        <f t="shared" si="96"/>
        <v>401.02460251355296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10.066618420763792</v>
      </c>
      <c r="DG128" s="23">
        <f>EXP(-LN(2)/25)*DG127+(1-EXP(-LN(2)/25))/(LN(2)/25)*Calculateur!DB128*Calculateur!DD128*VLOOKUP('Données projet'!$B$13,Paramètres!$A$1:$I$89,3,0)*0.475*44/12</f>
        <v>1.1440924229886895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11.210710843752482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79.532301588639172</v>
      </c>
      <c r="DU128" s="62">
        <f t="shared" si="98"/>
        <v>409.2657792678549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10.290321052336319</v>
      </c>
      <c r="EB128" s="23">
        <f>EXP(-LN(2)/25)*EB127+(1-EXP(-LN(2)/25))/(LN(2)/25)*Calculateur!DW128*Calculateur!DY128*VLOOKUP('Données projet'!$B$14,Paramètres!$A$1:$I$89,3,0)*0.475*44/12</f>
        <v>1.1695166990551047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11.459837751391424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77.885897614924062</v>
      </c>
      <c r="EP128" s="62">
        <f t="shared" si="100"/>
        <v>401.02460251355296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10.066618420763792</v>
      </c>
      <c r="EW128" s="23">
        <f>EXP(-LN(2)/25)*EW127+(1-EXP(-LN(2)/25))/(LN(2)/25)*Calculateur!ER128*Calculateur!ET128*VLOOKUP('Données projet'!$B$15,Paramètres!$A$1:$I$89,3,0)*0.475*44/12</f>
        <v>1.1440924229886895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11.210710843752482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426.87921482911719</v>
      </c>
      <c r="T129" s="62">
        <f t="shared" si="88"/>
        <v>313.49594674441835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283.22703518042539</v>
      </c>
      <c r="AN129" s="62">
        <f ca="1">AVERAGE(OFFSET($AM$3,0,0,'Données projet'!$E$10+1,1))-AVERAGE(OFFSET($H$3,0,0,'Données projet'!$E$10+1,1))</f>
        <v>462.95686283420531</v>
      </c>
      <c r="AO129" s="62">
        <f t="shared" si="90"/>
        <v>275.54513370838777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6.8212102632969618E-13</v>
      </c>
      <c r="BE129" s="14">
        <f>BD129*VLOOKUP('Données projet'!$B$11,Paramètres!$A$1:$I$89,3,0)*VLOOKUP('Données projet'!$B$11,Paramètres!$A$1:$I$89,5,0)</f>
        <v>4.0790837374515837E-13</v>
      </c>
      <c r="BF129" s="14">
        <f t="shared" si="91"/>
        <v>5.2028966193600884E-12</v>
      </c>
      <c r="BG129" s="22">
        <f t="shared" si="61"/>
        <v>9.7721520296583044E-12</v>
      </c>
      <c r="BH129" s="62">
        <f t="shared" si="62"/>
        <v>283.22703518043198</v>
      </c>
      <c r="BI129" s="62">
        <f ca="1">AVERAGE(OFFSET($BH$3,0,0,'Données projet'!$E$11+1,1))-AVERAGE(OFFSET($H$3,0,0,'Données projet'!$E$11+1,1))</f>
        <v>505.16888119060701</v>
      </c>
      <c r="BJ129" s="62">
        <f t="shared" si="92"/>
        <v>351.15312364640613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5.3446165692883965E-14</v>
      </c>
      <c r="BS129" s="24">
        <f t="shared" si="63"/>
        <v>5.3446165692883965E-14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68.195506926115257</v>
      </c>
      <c r="CE129" s="62">
        <f t="shared" si="94"/>
        <v>352.52565673897004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8.5807369120149879</v>
      </c>
      <c r="CL129" s="23">
        <f>EXP(-LN(2)/25)*CL128+(1-EXP(-LN(2)/25))/(LN(2)/25)*Calculateur!CG129*Calculateur!CI129*VLOOKUP('Données projet'!$B$12,Paramètres!$A$1:$I$89,3,0)*0.475*44/12</f>
        <v>0.96752399910215792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9.5482609111171453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77.885897614924062</v>
      </c>
      <c r="CZ129" s="62">
        <f t="shared" si="96"/>
        <v>401.02460251355296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9.8692181735635724</v>
      </c>
      <c r="DG129" s="23">
        <f>EXP(-LN(2)/25)*DG128+(1-EXP(-LN(2)/25))/(LN(2)/25)*Calculateur!DB129*Calculateur!DD129*VLOOKUP('Données projet'!$B$13,Paramètres!$A$1:$I$89,3,0)*0.475*44/12</f>
        <v>1.1128071555168582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10.982025329080431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79.532301588639172</v>
      </c>
      <c r="DU129" s="62">
        <f t="shared" si="98"/>
        <v>409.2657792678549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10.088534132976095</v>
      </c>
      <c r="EB129" s="23">
        <f>EXP(-LN(2)/25)*EB128+(1-EXP(-LN(2)/25))/(LN(2)/25)*Calculateur!DW129*Calculateur!DY129*VLOOKUP('Données projet'!$B$14,Paramètres!$A$1:$I$89,3,0)*0.475*44/12</f>
        <v>1.1375362034172327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11.226070336393327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77.885897614924062</v>
      </c>
      <c r="EP129" s="62">
        <f t="shared" si="100"/>
        <v>401.02460251355296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9.8692181735635724</v>
      </c>
      <c r="EW129" s="23">
        <f>EXP(-LN(2)/25)*EW128+(1-EXP(-LN(2)/25))/(LN(2)/25)*Calculateur!ER129*Calculateur!ET129*VLOOKUP('Données projet'!$B$15,Paramètres!$A$1:$I$89,3,0)*0.475*44/12</f>
        <v>1.1128071555168582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10.982025329080431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426.87921482911719</v>
      </c>
      <c r="T130" s="62">
        <f t="shared" si="88"/>
        <v>313.49594674441835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283.40235685908061</v>
      </c>
      <c r="AN130" s="62">
        <f ca="1">AVERAGE(OFFSET($AM$3,0,0,'Données projet'!$E$10+1,1))-AVERAGE(OFFSET($H$3,0,0,'Données projet'!$E$10+1,1))</f>
        <v>462.95686283420531</v>
      </c>
      <c r="AO130" s="62">
        <f t="shared" si="90"/>
        <v>275.54513370838777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6.8212102632969618E-13</v>
      </c>
      <c r="BE130" s="14">
        <f>BD130*VLOOKUP('Données projet'!$B$11,Paramètres!$A$1:$I$89,3,0)*VLOOKUP('Données projet'!$B$11,Paramètres!$A$1:$I$89,5,0)</f>
        <v>4.0790837374515837E-13</v>
      </c>
      <c r="BF130" s="14">
        <f t="shared" si="91"/>
        <v>5.2028966193600884E-12</v>
      </c>
      <c r="BG130" s="22">
        <f t="shared" si="61"/>
        <v>9.7721520296583044E-12</v>
      </c>
      <c r="BH130" s="62">
        <f t="shared" si="62"/>
        <v>283.40235685908721</v>
      </c>
      <c r="BI130" s="62">
        <f ca="1">AVERAGE(OFFSET($BH$3,0,0,'Données projet'!$E$11+1,1))-AVERAGE(OFFSET($H$3,0,0,'Données projet'!$E$11+1,1))</f>
        <v>505.16888119060701</v>
      </c>
      <c r="BJ130" s="62">
        <f t="shared" si="92"/>
        <v>351.15312364640613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3.7792146189858064E-14</v>
      </c>
      <c r="BS130" s="24">
        <f t="shared" si="63"/>
        <v>3.7792146189858064E-14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68.195506926115257</v>
      </c>
      <c r="CE130" s="62">
        <f t="shared" si="94"/>
        <v>352.52565673897004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8.4124738949031013</v>
      </c>
      <c r="CL130" s="23">
        <f>EXP(-LN(2)/25)*CL129+(1-EXP(-LN(2)/25))/(LN(2)/25)*Calculateur!CG130*Calculateur!CI130*VLOOKUP('Données projet'!$B$12,Paramètres!$A$1:$I$89,3,0)*0.475*44/12</f>
        <v>0.94106700446683356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9.3535408993699356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77.885897614924062</v>
      </c>
      <c r="CZ130" s="62">
        <f t="shared" si="96"/>
        <v>401.02460251355296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9.6756888248086881</v>
      </c>
      <c r="DG130" s="23">
        <f>EXP(-LN(2)/25)*DG129+(1-EXP(-LN(2)/25))/(LN(2)/25)*Calculateur!DB130*Calculateur!DD130*VLOOKUP('Données projet'!$B$13,Paramètres!$A$1:$I$89,3,0)*0.475*44/12</f>
        <v>1.0823773853292646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10.758066210137953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79.532301588639172</v>
      </c>
      <c r="DU130" s="62">
        <f t="shared" si="98"/>
        <v>409.2657792678549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9.8907041320266575</v>
      </c>
      <c r="EB130" s="23">
        <f>EXP(-LN(2)/25)*EB129+(1-EXP(-LN(2)/25))/(LN(2)/25)*Calculateur!DW130*Calculateur!DY130*VLOOKUP('Données projet'!$B$14,Paramètres!$A$1:$I$89,3,0)*0.475*44/12</f>
        <v>1.1064302161143593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10.997134348141017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77.885897614924062</v>
      </c>
      <c r="EP130" s="62">
        <f t="shared" si="100"/>
        <v>401.02460251355296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9.6756888248086881</v>
      </c>
      <c r="EW130" s="23">
        <f>EXP(-LN(2)/25)*EW129+(1-EXP(-LN(2)/25))/(LN(2)/25)*Calculateur!ER130*Calculateur!ET130*VLOOKUP('Données projet'!$B$15,Paramètres!$A$1:$I$89,3,0)*0.475*44/12</f>
        <v>1.0823773853292646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10.758066210137953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426.87921482911719</v>
      </c>
      <c r="T131" s="62">
        <f t="shared" si="88"/>
        <v>313.49594674441835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283.57463709857171</v>
      </c>
      <c r="AN131" s="62">
        <f ca="1">AVERAGE(OFFSET($AM$3,0,0,'Données projet'!$E$10+1,1))-AVERAGE(OFFSET($H$3,0,0,'Données projet'!$E$10+1,1))</f>
        <v>462.95686283420531</v>
      </c>
      <c r="AO131" s="62">
        <f t="shared" si="90"/>
        <v>275.54513370838777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6.8212102632969618E-13</v>
      </c>
      <c r="BE131" s="14">
        <f>BD131*VLOOKUP('Données projet'!$B$11,Paramètres!$A$1:$I$89,3,0)*VLOOKUP('Données projet'!$B$11,Paramètres!$A$1:$I$89,5,0)</f>
        <v>4.0790837374515837E-13</v>
      </c>
      <c r="BF131" s="14">
        <f t="shared" si="91"/>
        <v>5.2028966193600884E-12</v>
      </c>
      <c r="BG131" s="22">
        <f t="shared" si="61"/>
        <v>9.7721520296583044E-12</v>
      </c>
      <c r="BH131" s="62">
        <f t="shared" si="62"/>
        <v>283.57463709857831</v>
      </c>
      <c r="BI131" s="62">
        <f ca="1">AVERAGE(OFFSET($BH$3,0,0,'Données projet'!$E$11+1,1))-AVERAGE(OFFSET($H$3,0,0,'Données projet'!$E$11+1,1))</f>
        <v>505.16888119060701</v>
      </c>
      <c r="BJ131" s="62">
        <f t="shared" si="92"/>
        <v>351.15312364640613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2.6723082846441982E-14</v>
      </c>
      <c r="BS131" s="24">
        <f t="shared" si="63"/>
        <v>2.6723082846441982E-14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68.195506926115257</v>
      </c>
      <c r="CE131" s="62">
        <f t="shared" si="94"/>
        <v>352.52565673897004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8.2475104129264736</v>
      </c>
      <c r="CL131" s="23">
        <f>EXP(-LN(2)/25)*CL130+(1-EXP(-LN(2)/25))/(LN(2)/25)*Calculateur!CG131*Calculateur!CI131*VLOOKUP('Données projet'!$B$12,Paramètres!$A$1:$I$89,3,0)*0.475*44/12</f>
        <v>0.91533347774112506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9.1628438906675989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77.885897614924062</v>
      </c>
      <c r="CZ131" s="62">
        <f t="shared" si="96"/>
        <v>401.02460251355296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9.4859544685416388</v>
      </c>
      <c r="DG131" s="23">
        <f>EXP(-LN(2)/25)*DG130+(1-EXP(-LN(2)/25))/(LN(2)/25)*Calculateur!DB131*Calculateur!DD131*VLOOKUP('Données projet'!$B$13,Paramètres!$A$1:$I$89,3,0)*0.475*44/12</f>
        <v>1.0527797188076831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10.538734187349322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79.532301588639172</v>
      </c>
      <c r="DU131" s="62">
        <f t="shared" si="98"/>
        <v>409.2657792678549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9.6967534567314519</v>
      </c>
      <c r="EB131" s="23">
        <f>EXP(-LN(2)/25)*EB130+(1-EXP(-LN(2)/25))/(LN(2)/25)*Calculateur!DW131*Calculateur!DY131*VLOOKUP('Données projet'!$B$14,Paramètres!$A$1:$I$89,3,0)*0.475*44/12</f>
        <v>1.0761748236700759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10.772928280401528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77.885897614924062</v>
      </c>
      <c r="EP131" s="62">
        <f t="shared" si="100"/>
        <v>401.02460251355296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9.4859544685416388</v>
      </c>
      <c r="EW131" s="23">
        <f>EXP(-LN(2)/25)*EW130+(1-EXP(-LN(2)/25))/(LN(2)/25)*Calculateur!ER131*Calculateur!ET131*VLOOKUP('Données projet'!$B$15,Paramètres!$A$1:$I$89,3,0)*0.475*44/12</f>
        <v>1.0527797188076831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10.538734187349322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426.87921482911719</v>
      </c>
      <c r="T132" s="62">
        <f t="shared" si="88"/>
        <v>313.49594674441835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283.74392866106854</v>
      </c>
      <c r="AN132" s="62">
        <f ca="1">AVERAGE(OFFSET($AM$3,0,0,'Données projet'!$E$10+1,1))-AVERAGE(OFFSET($H$3,0,0,'Données projet'!$E$10+1,1))</f>
        <v>462.95686283420531</v>
      </c>
      <c r="AO132" s="62">
        <f t="shared" si="90"/>
        <v>275.54513370838777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6.8212102632969618E-13</v>
      </c>
      <c r="BE132" s="14">
        <f>BD132*VLOOKUP('Données projet'!$B$11,Paramètres!$A$1:$I$89,3,0)*VLOOKUP('Données projet'!$B$11,Paramètres!$A$1:$I$89,5,0)</f>
        <v>4.0790837374515837E-13</v>
      </c>
      <c r="BF132" s="14">
        <f t="shared" si="91"/>
        <v>5.2028966193600884E-12</v>
      </c>
      <c r="BG132" s="22">
        <f t="shared" ref="BG132:BG153" si="115">(BE132+BF132)*0.475*44/12</f>
        <v>9.7721520296583044E-12</v>
      </c>
      <c r="BH132" s="62">
        <f t="shared" ref="BH132:BH195" si="116">BG132+(AY132+AZ132)*44/12</f>
        <v>283.74392866107513</v>
      </c>
      <c r="BI132" s="62">
        <f ca="1">AVERAGE(OFFSET($BH$3,0,0,'Données projet'!$E$11+1,1))-AVERAGE(OFFSET($H$3,0,0,'Données projet'!$E$11+1,1))</f>
        <v>505.16888119060701</v>
      </c>
      <c r="BJ132" s="62">
        <f t="shared" si="92"/>
        <v>351.15312364640613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1.8896073094929032E-14</v>
      </c>
      <c r="BS132" s="24">
        <f t="shared" ref="BS132:BS153" si="117">SUM(BP132:BR132)</f>
        <v>1.8896073094929032E-14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68.195506926115257</v>
      </c>
      <c r="CE132" s="62">
        <f t="shared" si="94"/>
        <v>352.52565673897004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8.0857817642136176</v>
      </c>
      <c r="CL132" s="23">
        <f>EXP(-LN(2)/25)*CL131+(1-EXP(-LN(2)/25))/(LN(2)/25)*Calculateur!CG132*Calculateur!CI132*VLOOKUP('Données projet'!$B$12,Paramètres!$A$1:$I$89,3,0)*0.475*44/12</f>
        <v>0.89030363565699844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8.976085399870616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77.885897614924062</v>
      </c>
      <c r="CZ132" s="62">
        <f t="shared" si="96"/>
        <v>401.02460251355296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9.2999406872744572</v>
      </c>
      <c r="DG132" s="23">
        <f>EXP(-LN(2)/25)*DG131+(1-EXP(-LN(2)/25))/(LN(2)/25)*Calculateur!DB132*Calculateur!DD132*VLOOKUP('Données projet'!$B$13,Paramètres!$A$1:$I$89,3,0)*0.475*44/12</f>
        <v>1.0239914020336076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10.323932089308064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79.532301588639172</v>
      </c>
      <c r="DU132" s="62">
        <f t="shared" si="98"/>
        <v>409.2657792678549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9.5066060358805551</v>
      </c>
      <c r="EB132" s="23">
        <f>EXP(-LN(2)/25)*EB131+(1-EXP(-LN(2)/25))/(LN(2)/25)*Calculateur!DW132*Calculateur!DY132*VLOOKUP('Données projet'!$B$14,Paramètres!$A$1:$I$89,3,0)*0.475*44/12</f>
        <v>1.0467467665232433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10.553352802403799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77.885897614924062</v>
      </c>
      <c r="EP132" s="62">
        <f t="shared" si="100"/>
        <v>401.02460251355296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9.2999406872744572</v>
      </c>
      <c r="EW132" s="23">
        <f>EXP(-LN(2)/25)*EW131+(1-EXP(-LN(2)/25))/(LN(2)/25)*Calculateur!ER132*Calculateur!ET132*VLOOKUP('Données projet'!$B$15,Paramètres!$A$1:$I$89,3,0)*0.475*44/12</f>
        <v>1.0239914020336076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10.323932089308064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426.87921482911719</v>
      </c>
      <c r="T133" s="62">
        <f t="shared" ref="T133:T196" si="142">$T$3</f>
        <v>313.49594674441835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283.91028339343529</v>
      </c>
      <c r="AN133" s="62">
        <f ca="1">AVERAGE(OFFSET($AM$3,0,0,'Données projet'!$E$10+1,1))-AVERAGE(OFFSET($H$3,0,0,'Données projet'!$E$10+1,1))</f>
        <v>462.95686283420531</v>
      </c>
      <c r="AO133" s="62">
        <f t="shared" ref="AO133:AO196" si="144">$AO$3</f>
        <v>275.54513370838777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6.8212102632969618E-13</v>
      </c>
      <c r="BE133" s="14">
        <f>BD133*VLOOKUP('Données projet'!$B$11,Paramètres!$A$1:$I$89,3,0)*VLOOKUP('Données projet'!$B$11,Paramètres!$A$1:$I$89,5,0)</f>
        <v>4.0790837374515837E-13</v>
      </c>
      <c r="BF133" s="14">
        <f t="shared" ref="BF133:BF153" si="145">EXP(-1.0587+0.8836*LN(BE133)+0.284)</f>
        <v>5.2028966193600884E-12</v>
      </c>
      <c r="BG133" s="22">
        <f t="shared" si="115"/>
        <v>9.7721520296583044E-12</v>
      </c>
      <c r="BH133" s="62">
        <f t="shared" si="116"/>
        <v>283.91028339344189</v>
      </c>
      <c r="BI133" s="62">
        <f ca="1">AVERAGE(OFFSET($BH$3,0,0,'Données projet'!$E$11+1,1))-AVERAGE(OFFSET($H$3,0,0,'Données projet'!$E$11+1,1))</f>
        <v>505.16888119060701</v>
      </c>
      <c r="BJ133" s="62">
        <f t="shared" ref="BJ133:BJ196" si="146">$BJ$3</f>
        <v>351.15312364640613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1.3361541423220991E-14</v>
      </c>
      <c r="BS133" s="24">
        <f t="shared" si="117"/>
        <v>1.3361541423220991E-14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68.195506926115257</v>
      </c>
      <c r="CE133" s="62">
        <f t="shared" ref="CE133:CE196" si="148">$CE$3</f>
        <v>352.52565673897004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7.9272245156572856</v>
      </c>
      <c r="CL133" s="23">
        <f>EXP(-LN(2)/25)*CL132+(1-EXP(-LN(2)/25))/(LN(2)/25)*Calculateur!CG133*Calculateur!CI133*VLOOKUP('Données projet'!$B$12,Paramètres!$A$1:$I$89,3,0)*0.475*44/12</f>
        <v>0.86595823592092447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8.7931827515782093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77.885897614924062</v>
      </c>
      <c r="CZ133" s="62">
        <f t="shared" ref="CZ133:CZ196" si="150">$CZ$3</f>
        <v>401.02460251355296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9.1175745228007212</v>
      </c>
      <c r="DG133" s="23">
        <f>EXP(-LN(2)/25)*DG132+(1-EXP(-LN(2)/25))/(LN(2)/25)*Calculateur!DB133*Calculateur!DD133*VLOOKUP('Données projet'!$B$13,Paramètres!$A$1:$I$89,3,0)*0.475*44/12</f>
        <v>0.9959903032956311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10.113564826096352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79.532301588639172</v>
      </c>
      <c r="DU133" s="62">
        <f t="shared" ref="DU133:DU196" si="152">$DU$3</f>
        <v>409.2657792678549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9.3201872899740685</v>
      </c>
      <c r="EB133" s="23">
        <f>EXP(-LN(2)/25)*EB132+(1-EXP(-LN(2)/25))/(LN(2)/25)*Calculateur!DW133*Calculateur!DY133*VLOOKUP('Données projet'!$B$14,Paramètres!$A$1:$I$89,3,0)*0.475*44/12</f>
        <v>1.018123421146645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10.338310711120714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77.885897614924062</v>
      </c>
      <c r="EP133" s="62">
        <f t="shared" ref="EP133:EP196" si="154">$EP$3</f>
        <v>401.02460251355296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9.1175745228007212</v>
      </c>
      <c r="EW133" s="23">
        <f>EXP(-LN(2)/25)*EW132+(1-EXP(-LN(2)/25))/(LN(2)/25)*Calculateur!ER133*Calculateur!ET133*VLOOKUP('Données projet'!$B$15,Paramètres!$A$1:$I$89,3,0)*0.475*44/12</f>
        <v>0.9959903032956311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10.113564826096352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426.87921482911719</v>
      </c>
      <c r="T134" s="62">
        <f t="shared" si="142"/>
        <v>313.49594674441835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284.07375224310891</v>
      </c>
      <c r="AN134" s="62">
        <f ca="1">AVERAGE(OFFSET($AM$3,0,0,'Données projet'!$E$10+1,1))-AVERAGE(OFFSET($H$3,0,0,'Données projet'!$E$10+1,1))</f>
        <v>462.95686283420531</v>
      </c>
      <c r="AO134" s="62">
        <f t="shared" si="144"/>
        <v>275.54513370838777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6.8212102632969618E-13</v>
      </c>
      <c r="BE134" s="14">
        <f>BD134*VLOOKUP('Données projet'!$B$11,Paramètres!$A$1:$I$89,3,0)*VLOOKUP('Données projet'!$B$11,Paramètres!$A$1:$I$89,5,0)</f>
        <v>4.0790837374515837E-13</v>
      </c>
      <c r="BF134" s="14">
        <f t="shared" si="145"/>
        <v>5.2028966193600884E-12</v>
      </c>
      <c r="BG134" s="22">
        <f t="shared" si="115"/>
        <v>9.7721520296583044E-12</v>
      </c>
      <c r="BH134" s="62">
        <f t="shared" si="116"/>
        <v>284.07375224311551</v>
      </c>
      <c r="BI134" s="62">
        <f ca="1">AVERAGE(OFFSET($BH$3,0,0,'Données projet'!$E$11+1,1))-AVERAGE(OFFSET($H$3,0,0,'Données projet'!$E$11+1,1))</f>
        <v>505.16888119060701</v>
      </c>
      <c r="BJ134" s="62">
        <f t="shared" si="146"/>
        <v>351.15312364640613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9.4480365474645161E-15</v>
      </c>
      <c r="BS134" s="24">
        <f t="shared" si="117"/>
        <v>9.4480365474645161E-15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68.195506926115257</v>
      </c>
      <c r="CE134" s="62">
        <f t="shared" si="148"/>
        <v>352.52565673897004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7.7717764780347718</v>
      </c>
      <c r="CL134" s="23">
        <f>EXP(-LN(2)/25)*CL133+(1-EXP(-LN(2)/25))/(LN(2)/25)*Calculateur!CG134*Calculateur!CI134*VLOOKUP('Données projet'!$B$12,Paramètres!$A$1:$I$89,3,0)*0.475*44/12</f>
        <v>0.84227856242090238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8.6140550404556748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77.885897614924062</v>
      </c>
      <c r="CZ134" s="62">
        <f t="shared" si="150"/>
        <v>401.02460251355296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8.9387844475799376</v>
      </c>
      <c r="DG134" s="23">
        <f>EXP(-LN(2)/25)*DG133+(1-EXP(-LN(2)/25))/(LN(2)/25)*Calculateur!DB134*Calculateur!DD134*VLOOKUP('Données projet'!$B$13,Paramètres!$A$1:$I$89,3,0)*0.475*44/12</f>
        <v>0.96875489607515841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9.9075393436550954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79.532301588639172</v>
      </c>
      <c r="DU134" s="62">
        <f t="shared" si="152"/>
        <v>409.2657792678549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9.137424101970602</v>
      </c>
      <c r="EB134" s="23">
        <f>EXP(-LN(2)/25)*EB133+(1-EXP(-LN(2)/25))/(LN(2)/25)*Calculateur!DW134*Calculateur!DY134*VLOOKUP('Données projet'!$B$14,Paramètres!$A$1:$I$89,3,0)*0.475*44/12</f>
        <v>0.99028278265460623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10.127706884625209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77.885897614924062</v>
      </c>
      <c r="EP134" s="62">
        <f t="shared" si="154"/>
        <v>401.02460251355296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8.9387844475799376</v>
      </c>
      <c r="EW134" s="23">
        <f>EXP(-LN(2)/25)*EW133+(1-EXP(-LN(2)/25))/(LN(2)/25)*Calculateur!ER134*Calculateur!ET134*VLOOKUP('Données projet'!$B$15,Paramètres!$A$1:$I$89,3,0)*0.475*44/12</f>
        <v>0.96875489607515841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9.9075393436550954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426.87921482911719</v>
      </c>
      <c r="T135" s="62">
        <f t="shared" si="142"/>
        <v>313.49594674441835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284.23438527370234</v>
      </c>
      <c r="AN135" s="62">
        <f ca="1">AVERAGE(OFFSET($AM$3,0,0,'Données projet'!$E$10+1,1))-AVERAGE(OFFSET($H$3,0,0,'Données projet'!$E$10+1,1))</f>
        <v>462.95686283420531</v>
      </c>
      <c r="AO135" s="62">
        <f t="shared" si="144"/>
        <v>275.54513370838777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6.8212102632969618E-13</v>
      </c>
      <c r="BE135" s="14">
        <f>BD135*VLOOKUP('Données projet'!$B$11,Paramètres!$A$1:$I$89,3,0)*VLOOKUP('Données projet'!$B$11,Paramètres!$A$1:$I$89,5,0)</f>
        <v>4.0790837374515837E-13</v>
      </c>
      <c r="BF135" s="14">
        <f t="shared" si="145"/>
        <v>5.2028966193600884E-12</v>
      </c>
      <c r="BG135" s="22">
        <f t="shared" si="115"/>
        <v>9.7721520296583044E-12</v>
      </c>
      <c r="BH135" s="62">
        <f t="shared" si="116"/>
        <v>284.23438527370894</v>
      </c>
      <c r="BI135" s="62">
        <f ca="1">AVERAGE(OFFSET($BH$3,0,0,'Données projet'!$E$11+1,1))-AVERAGE(OFFSET($H$3,0,0,'Données projet'!$E$11+1,1))</f>
        <v>505.16888119060701</v>
      </c>
      <c r="BJ135" s="62">
        <f t="shared" si="146"/>
        <v>351.15312364640613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6.6807707116104956E-15</v>
      </c>
      <c r="BS135" s="24">
        <f t="shared" si="117"/>
        <v>6.6807707116104956E-15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68.195506926115257</v>
      </c>
      <c r="CE135" s="62">
        <f t="shared" si="148"/>
        <v>352.52565673897004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7.6193766816160942</v>
      </c>
      <c r="CL135" s="23">
        <f>EXP(-LN(2)/25)*CL134+(1-EXP(-LN(2)/25))/(LN(2)/25)*Calculateur!CG135*Calculateur!CI135*VLOOKUP('Données projet'!$B$12,Paramètres!$A$1:$I$89,3,0)*0.475*44/12</f>
        <v>0.81924641083799821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8.4386230924540921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77.885897614924062</v>
      </c>
      <c r="CZ135" s="62">
        <f t="shared" si="150"/>
        <v>401.02460251355296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8.7635003366830553</v>
      </c>
      <c r="DG135" s="23">
        <f>EXP(-LN(2)/25)*DG134+(1-EXP(-LN(2)/25))/(LN(2)/25)*Calculateur!DB135*Calculateur!DD135*VLOOKUP('Données projet'!$B$13,Paramètres!$A$1:$I$89,3,0)*0.475*44/12</f>
        <v>0.94226424249737739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9.7057645791804319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79.532301588639172</v>
      </c>
      <c r="DU135" s="62">
        <f t="shared" si="152"/>
        <v>409.2657792678549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8.9582447886093455</v>
      </c>
      <c r="EB135" s="23">
        <f>EXP(-LN(2)/25)*EB134+(1-EXP(-LN(2)/25))/(LN(2)/25)*Calculateur!DW135*Calculateur!DY135*VLOOKUP('Données projet'!$B$14,Paramètres!$A$1:$I$89,3,0)*0.475*44/12</f>
        <v>0.96320344788620782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9.9214482364955536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77.885897614924062</v>
      </c>
      <c r="EP135" s="62">
        <f t="shared" si="154"/>
        <v>401.02460251355296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8.7635003366830553</v>
      </c>
      <c r="EW135" s="23">
        <f>EXP(-LN(2)/25)*EW134+(1-EXP(-LN(2)/25))/(LN(2)/25)*Calculateur!ER135*Calculateur!ET135*VLOOKUP('Données projet'!$B$15,Paramètres!$A$1:$I$89,3,0)*0.475*44/12</f>
        <v>0.94226424249737739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9.7057645791804319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426.87921482911719</v>
      </c>
      <c r="T136" s="62">
        <f t="shared" si="142"/>
        <v>313.49594674441835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284.39223168033658</v>
      </c>
      <c r="AN136" s="62">
        <f ca="1">AVERAGE(OFFSET($AM$3,0,0,'Données projet'!$E$10+1,1))-AVERAGE(OFFSET($H$3,0,0,'Données projet'!$E$10+1,1))</f>
        <v>462.95686283420531</v>
      </c>
      <c r="AO136" s="62">
        <f t="shared" si="144"/>
        <v>275.54513370838777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6.8212102632969618E-13</v>
      </c>
      <c r="BE136" s="14">
        <f>BD136*VLOOKUP('Données projet'!$B$11,Paramètres!$A$1:$I$89,3,0)*VLOOKUP('Données projet'!$B$11,Paramètres!$A$1:$I$89,5,0)</f>
        <v>4.0790837374515837E-13</v>
      </c>
      <c r="BF136" s="14">
        <f t="shared" si="145"/>
        <v>5.2028966193600884E-12</v>
      </c>
      <c r="BG136" s="22">
        <f t="shared" si="115"/>
        <v>9.7721520296583044E-12</v>
      </c>
      <c r="BH136" s="62">
        <f t="shared" si="116"/>
        <v>284.39223168034317</v>
      </c>
      <c r="BI136" s="62">
        <f ca="1">AVERAGE(OFFSET($BH$3,0,0,'Données projet'!$E$11+1,1))-AVERAGE(OFFSET($H$3,0,0,'Données projet'!$E$11+1,1))</f>
        <v>505.16888119060701</v>
      </c>
      <c r="BJ136" s="62">
        <f t="shared" si="146"/>
        <v>351.15312364640613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4.724018273732258E-15</v>
      </c>
      <c r="BS136" s="24">
        <f t="shared" si="117"/>
        <v>4.724018273732258E-15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68.195506926115257</v>
      </c>
      <c r="CE136" s="62">
        <f t="shared" si="148"/>
        <v>352.52565673897004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7.4699653522504894</v>
      </c>
      <c r="CL136" s="23">
        <f>EXP(-LN(2)/25)*CL135+(1-EXP(-LN(2)/25))/(LN(2)/25)*Calculateur!CG136*Calculateur!CI136*VLOOKUP('Données projet'!$B$12,Paramètres!$A$1:$I$89,3,0)*0.475*44/12</f>
        <v>0.79684407465133678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8.2668094269018262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77.885897614924062</v>
      </c>
      <c r="CZ136" s="62">
        <f t="shared" si="150"/>
        <v>401.02460251355296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8.5916534402881108</v>
      </c>
      <c r="DG136" s="23">
        <f>EXP(-LN(2)/25)*DG135+(1-EXP(-LN(2)/25))/(LN(2)/25)*Calculateur!DB136*Calculateur!DD136*VLOOKUP('Données projet'!$B$13,Paramètres!$A$1:$I$89,3,0)*0.475*44/12</f>
        <v>0.91649797723476367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9.5081514175228747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79.532301588639172</v>
      </c>
      <c r="DU136" s="62">
        <f t="shared" si="152"/>
        <v>409.2657792678549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8.7825790722945136</v>
      </c>
      <c r="EB136" s="23">
        <f>EXP(-LN(2)/25)*EB135+(1-EXP(-LN(2)/25))/(LN(2)/25)*Calculateur!DW136*Calculateur!DY136*VLOOKUP('Données projet'!$B$14,Paramètres!$A$1:$I$89,3,0)*0.475*44/12</f>
        <v>0.93686459895109153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9.7194436712456049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77.885897614924062</v>
      </c>
      <c r="EP136" s="62">
        <f t="shared" si="154"/>
        <v>401.02460251355296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8.5916534402881108</v>
      </c>
      <c r="EW136" s="23">
        <f>EXP(-LN(2)/25)*EW135+(1-EXP(-LN(2)/25))/(LN(2)/25)*Calculateur!ER136*Calculateur!ET136*VLOOKUP('Données projet'!$B$15,Paramètres!$A$1:$I$89,3,0)*0.475*44/12</f>
        <v>0.91649797723476367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9.5081514175228747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426.87921482911719</v>
      </c>
      <c r="T137" s="62">
        <f t="shared" si="142"/>
        <v>313.49594674441835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284.54733980470746</v>
      </c>
      <c r="AN137" s="62">
        <f ca="1">AVERAGE(OFFSET($AM$3,0,0,'Données projet'!$E$10+1,1))-AVERAGE(OFFSET($H$3,0,0,'Données projet'!$E$10+1,1))</f>
        <v>462.95686283420531</v>
      </c>
      <c r="AO137" s="62">
        <f t="shared" si="144"/>
        <v>275.54513370838777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6.8212102632969618E-13</v>
      </c>
      <c r="BE137" s="14">
        <f>BD137*VLOOKUP('Données projet'!$B$11,Paramètres!$A$1:$I$89,3,0)*VLOOKUP('Données projet'!$B$11,Paramètres!$A$1:$I$89,5,0)</f>
        <v>4.0790837374515837E-13</v>
      </c>
      <c r="BF137" s="14">
        <f t="shared" si="145"/>
        <v>5.2028966193600884E-12</v>
      </c>
      <c r="BG137" s="22">
        <f t="shared" si="115"/>
        <v>9.7721520296583044E-12</v>
      </c>
      <c r="BH137" s="62">
        <f t="shared" si="116"/>
        <v>284.54733980471406</v>
      </c>
      <c r="BI137" s="62">
        <f ca="1">AVERAGE(OFFSET($BH$3,0,0,'Données projet'!$E$11+1,1))-AVERAGE(OFFSET($H$3,0,0,'Données projet'!$E$11+1,1))</f>
        <v>505.16888119060701</v>
      </c>
      <c r="BJ137" s="62">
        <f t="shared" si="146"/>
        <v>351.15312364640613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3.3403853558052478E-15</v>
      </c>
      <c r="BS137" s="24">
        <f t="shared" si="117"/>
        <v>3.3403853558052478E-15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68.195506926115257</v>
      </c>
      <c r="CE137" s="62">
        <f t="shared" si="148"/>
        <v>352.52565673897004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7.3234838879218316</v>
      </c>
      <c r="CL137" s="23">
        <f>EXP(-LN(2)/25)*CL136+(1-EXP(-LN(2)/25))/(LN(2)/25)*Calculateur!CG137*Calculateur!CI137*VLOOKUP('Données projet'!$B$12,Paramètres!$A$1:$I$89,3,0)*0.475*44/12</f>
        <v>0.77505433152578729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8.0985382194476188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77.885897614924062</v>
      </c>
      <c r="CZ137" s="62">
        <f t="shared" si="150"/>
        <v>401.02460251355296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8.4231763567152136</v>
      </c>
      <c r="DG137" s="23">
        <f>EXP(-LN(2)/25)*DG136+(1-EXP(-LN(2)/25))/(LN(2)/25)*Calculateur!DB137*Calculateur!DD137*VLOOKUP('Données projet'!$B$13,Paramètres!$A$1:$I$89,3,0)*0.475*44/12</f>
        <v>0.89143629185074513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9.3146126485659586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79.532301588639172</v>
      </c>
      <c r="DU137" s="62">
        <f t="shared" si="152"/>
        <v>409.2657792678549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8.6103580535311082</v>
      </c>
      <c r="EB137" s="23">
        <f>EXP(-LN(2)/25)*EB136+(1-EXP(-LN(2)/25))/(LN(2)/25)*Calculateur!DW137*Calculateur!DY137*VLOOKUP('Données projet'!$B$14,Paramètres!$A$1:$I$89,3,0)*0.475*44/12</f>
        <v>0.91124598722520589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9.5216040407563138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77.885897614924062</v>
      </c>
      <c r="EP137" s="62">
        <f t="shared" si="154"/>
        <v>401.02460251355296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8.4231763567152136</v>
      </c>
      <c r="EW137" s="23">
        <f>EXP(-LN(2)/25)*EW136+(1-EXP(-LN(2)/25))/(LN(2)/25)*Calculateur!ER137*Calculateur!ET137*VLOOKUP('Données projet'!$B$15,Paramètres!$A$1:$I$89,3,0)*0.475*44/12</f>
        <v>0.89143629185074513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9.3146126485659586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426.87921482911719</v>
      </c>
      <c r="T138" s="62">
        <f t="shared" si="142"/>
        <v>313.49594674441835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284.69975714989033</v>
      </c>
      <c r="AN138" s="62">
        <f ca="1">AVERAGE(OFFSET($AM$3,0,0,'Données projet'!$E$10+1,1))-AVERAGE(OFFSET($H$3,0,0,'Données projet'!$E$10+1,1))</f>
        <v>462.95686283420531</v>
      </c>
      <c r="AO138" s="62">
        <f t="shared" si="144"/>
        <v>275.54513370838777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6.8212102632969618E-13</v>
      </c>
      <c r="BE138" s="14">
        <f>BD138*VLOOKUP('Données projet'!$B$11,Paramètres!$A$1:$I$89,3,0)*VLOOKUP('Données projet'!$B$11,Paramètres!$A$1:$I$89,5,0)</f>
        <v>4.0790837374515837E-13</v>
      </c>
      <c r="BF138" s="14">
        <f t="shared" si="145"/>
        <v>5.2028966193600884E-12</v>
      </c>
      <c r="BG138" s="22">
        <f t="shared" si="115"/>
        <v>9.7721520296583044E-12</v>
      </c>
      <c r="BH138" s="62">
        <f t="shared" si="116"/>
        <v>284.69975714989693</v>
      </c>
      <c r="BI138" s="62">
        <f ca="1">AVERAGE(OFFSET($BH$3,0,0,'Données projet'!$E$11+1,1))-AVERAGE(OFFSET($H$3,0,0,'Données projet'!$E$11+1,1))</f>
        <v>505.16888119060701</v>
      </c>
      <c r="BJ138" s="62">
        <f t="shared" si="146"/>
        <v>351.15312364640613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2.362009136866129E-15</v>
      </c>
      <c r="BS138" s="24">
        <f t="shared" si="117"/>
        <v>2.362009136866129E-15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68.195506926115257</v>
      </c>
      <c r="CE138" s="62">
        <f t="shared" si="148"/>
        <v>352.52565673897004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7.1798748357637878</v>
      </c>
      <c r="CL138" s="23">
        <f>EXP(-LN(2)/25)*CL137+(1-EXP(-LN(2)/25))/(LN(2)/25)*Calculateur!CG138*Calculateur!CI138*VLOOKUP('Données projet'!$B$12,Paramètres!$A$1:$I$89,3,0)*0.475*44/12</f>
        <v>0.75386043007187875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7.9337352658356668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77.885897614924062</v>
      </c>
      <c r="CZ138" s="62">
        <f t="shared" si="150"/>
        <v>401.02460251355296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8.2580030059903073</v>
      </c>
      <c r="DG138" s="23">
        <f>EXP(-LN(2)/25)*DG137+(1-EXP(-LN(2)/25))/(LN(2)/25)*Calculateur!DB138*Calculateur!DD138*VLOOKUP('Données projet'!$B$13,Paramètres!$A$1:$I$89,3,0)*0.475*44/12</f>
        <v>0.86705991957148931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9.1250629255617959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79.532301588639172</v>
      </c>
      <c r="DU138" s="62">
        <f t="shared" si="152"/>
        <v>409.2657792678549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8.4415141839012033</v>
      </c>
      <c r="EB138" s="23">
        <f>EXP(-LN(2)/25)*EB137+(1-EXP(-LN(2)/25))/(LN(2)/25)*Calculateur!DW138*Calculateur!DY138*VLOOKUP('Données projet'!$B$14,Paramètres!$A$1:$I$89,3,0)*0.475*44/12</f>
        <v>0.88632791778418885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9.327842101685393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77.885897614924062</v>
      </c>
      <c r="EP138" s="62">
        <f t="shared" si="154"/>
        <v>401.02460251355296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8.2580030059903073</v>
      </c>
      <c r="EW138" s="23">
        <f>EXP(-LN(2)/25)*EW137+(1-EXP(-LN(2)/25))/(LN(2)/25)*Calculateur!ER138*Calculateur!ET138*VLOOKUP('Données projet'!$B$15,Paramètres!$A$1:$I$89,3,0)*0.475*44/12</f>
        <v>0.86705991957148931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9.1250629255617959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426.87921482911719</v>
      </c>
      <c r="T139" s="62">
        <f t="shared" si="142"/>
        <v>313.49594674441835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284.8495303948884</v>
      </c>
      <c r="AN139" s="62">
        <f ca="1">AVERAGE(OFFSET($AM$3,0,0,'Données projet'!$E$10+1,1))-AVERAGE(OFFSET($H$3,0,0,'Données projet'!$E$10+1,1))</f>
        <v>462.95686283420531</v>
      </c>
      <c r="AO139" s="62">
        <f t="shared" si="144"/>
        <v>275.54513370838777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6.8212102632969618E-13</v>
      </c>
      <c r="BE139" s="14">
        <f>BD139*VLOOKUP('Données projet'!$B$11,Paramètres!$A$1:$I$89,3,0)*VLOOKUP('Données projet'!$B$11,Paramètres!$A$1:$I$89,5,0)</f>
        <v>4.0790837374515837E-13</v>
      </c>
      <c r="BF139" s="14">
        <f t="shared" si="145"/>
        <v>5.2028966193600884E-12</v>
      </c>
      <c r="BG139" s="22">
        <f t="shared" si="115"/>
        <v>9.7721520296583044E-12</v>
      </c>
      <c r="BH139" s="62">
        <f t="shared" si="116"/>
        <v>284.849530394895</v>
      </c>
      <c r="BI139" s="62">
        <f ca="1">AVERAGE(OFFSET($BH$3,0,0,'Données projet'!$E$11+1,1))-AVERAGE(OFFSET($H$3,0,0,'Données projet'!$E$11+1,1))</f>
        <v>505.16888119060701</v>
      </c>
      <c r="BJ139" s="62">
        <f t="shared" si="146"/>
        <v>351.15312364640613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1.6701926779026239E-15</v>
      </c>
      <c r="BS139" s="24">
        <f t="shared" si="117"/>
        <v>1.6701926779026239E-15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68.195506926115257</v>
      </c>
      <c r="CE139" s="62">
        <f t="shared" si="148"/>
        <v>352.52565673897004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7.0390818695256909</v>
      </c>
      <c r="CL139" s="23">
        <f>EXP(-LN(2)/25)*CL138+(1-EXP(-LN(2)/25))/(LN(2)/25)*Calculateur!CG139*Calculateur!CI139*VLOOKUP('Données projet'!$B$12,Paramètres!$A$1:$I$89,3,0)*0.475*44/12</f>
        <v>0.73324607696776622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7.7723279464934567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77.885897614924062</v>
      </c>
      <c r="CZ139" s="62">
        <f t="shared" si="150"/>
        <v>401.02460251355296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8.0960686039273195</v>
      </c>
      <c r="DG139" s="23">
        <f>EXP(-LN(2)/25)*DG138+(1-EXP(-LN(2)/25))/(LN(2)/25)*Calculateur!DB139*Calculateur!DD139*VLOOKUP('Données projet'!$B$13,Paramètres!$A$1:$I$89,3,0)*0.475*44/12</f>
        <v>0.84335012047410751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8.9394187244014276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79.532301588639172</v>
      </c>
      <c r="DU139" s="62">
        <f t="shared" si="152"/>
        <v>409.2657792678549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8.2759812395701502</v>
      </c>
      <c r="EB139" s="23">
        <f>EXP(-LN(2)/25)*EB138+(1-EXP(-LN(2)/25))/(LN(2)/25)*Calculateur!DW139*Calculateur!DY139*VLOOKUP('Données projet'!$B$14,Paramètres!$A$1:$I$89,3,0)*0.475*44/12</f>
        <v>0.86209123426242074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9.1380724738325707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77.885897614924062</v>
      </c>
      <c r="EP139" s="62">
        <f t="shared" si="154"/>
        <v>401.02460251355296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8.0960686039273195</v>
      </c>
      <c r="EW139" s="23">
        <f>EXP(-LN(2)/25)*EW138+(1-EXP(-LN(2)/25))/(LN(2)/25)*Calculateur!ER139*Calculateur!ET139*VLOOKUP('Données projet'!$B$15,Paramètres!$A$1:$I$89,3,0)*0.475*44/12</f>
        <v>0.84335012047410751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8.9394187244014276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426.87921482911719</v>
      </c>
      <c r="T140" s="62">
        <f t="shared" si="142"/>
        <v>313.49594674441835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284.99670540892856</v>
      </c>
      <c r="AN140" s="62">
        <f ca="1">AVERAGE(OFFSET($AM$3,0,0,'Données projet'!$E$10+1,1))-AVERAGE(OFFSET($H$3,0,0,'Données projet'!$E$10+1,1))</f>
        <v>462.95686283420531</v>
      </c>
      <c r="AO140" s="62">
        <f t="shared" si="144"/>
        <v>275.54513370838777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6.8212102632969618E-13</v>
      </c>
      <c r="BE140" s="14">
        <f>BD140*VLOOKUP('Données projet'!$B$11,Paramètres!$A$1:$I$89,3,0)*VLOOKUP('Données projet'!$B$11,Paramètres!$A$1:$I$89,5,0)</f>
        <v>4.0790837374515837E-13</v>
      </c>
      <c r="BF140" s="14">
        <f t="shared" si="145"/>
        <v>5.2028966193600884E-12</v>
      </c>
      <c r="BG140" s="22">
        <f t="shared" si="115"/>
        <v>9.7721520296583044E-12</v>
      </c>
      <c r="BH140" s="62">
        <f t="shared" si="116"/>
        <v>284.99670540893516</v>
      </c>
      <c r="BI140" s="62">
        <f ca="1">AVERAGE(OFFSET($BH$3,0,0,'Données projet'!$E$11+1,1))-AVERAGE(OFFSET($H$3,0,0,'Données projet'!$E$11+1,1))</f>
        <v>505.16888119060701</v>
      </c>
      <c r="BJ140" s="62">
        <f t="shared" si="146"/>
        <v>351.15312364640613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1.1810045684330645E-15</v>
      </c>
      <c r="BS140" s="24">
        <f t="shared" si="117"/>
        <v>1.1810045684330645E-15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68.195506926115257</v>
      </c>
      <c r="CE140" s="62">
        <f t="shared" si="148"/>
        <v>352.52565673897004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6.9010497674802931</v>
      </c>
      <c r="CL140" s="23">
        <f>EXP(-LN(2)/25)*CL139+(1-EXP(-LN(2)/25))/(LN(2)/25)*Calculateur!CG140*Calculateur!CI140*VLOOKUP('Données projet'!$B$12,Paramètres!$A$1:$I$89,3,0)*0.475*44/12</f>
        <v>0.71319542443334738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7.6142451919136409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77.885897614924062</v>
      </c>
      <c r="CZ140" s="62">
        <f t="shared" si="150"/>
        <v>401.02460251355296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7.9373096367185552</v>
      </c>
      <c r="DG140" s="23">
        <f>EXP(-LN(2)/25)*DG139+(1-EXP(-LN(2)/25))/(LN(2)/25)*Calculateur!DB140*Calculateur!DD140*VLOOKUP('Données projet'!$B$13,Paramètres!$A$1:$I$89,3,0)*0.475*44/12</f>
        <v>0.82028866707988768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8.7575983037984422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79.532301588639172</v>
      </c>
      <c r="DU140" s="62">
        <f t="shared" si="152"/>
        <v>409.2657792678549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8.1136942953123015</v>
      </c>
      <c r="EB140" s="23">
        <f>EXP(-LN(2)/25)*EB139+(1-EXP(-LN(2)/25))/(LN(2)/25)*Calculateur!DW140*Calculateur!DY140*VLOOKUP('Données projet'!$B$14,Paramètres!$A$1:$I$89,3,0)*0.475*44/12</f>
        <v>0.83851730412610714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8.9522115994384084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77.885897614924062</v>
      </c>
      <c r="EP140" s="62">
        <f t="shared" si="154"/>
        <v>401.02460251355296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7.9373096367185552</v>
      </c>
      <c r="EW140" s="23">
        <f>EXP(-LN(2)/25)*EW139+(1-EXP(-LN(2)/25))/(LN(2)/25)*Calculateur!ER140*Calculateur!ET140*VLOOKUP('Données projet'!$B$15,Paramètres!$A$1:$I$89,3,0)*0.475*44/12</f>
        <v>0.82028866707988768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8.7575983037984422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426.87921482911719</v>
      </c>
      <c r="T141" s="62">
        <f t="shared" si="142"/>
        <v>313.49594674441835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285.14132726550912</v>
      </c>
      <c r="AN141" s="62">
        <f ca="1">AVERAGE(OFFSET($AM$3,0,0,'Données projet'!$E$10+1,1))-AVERAGE(OFFSET($H$3,0,0,'Données projet'!$E$10+1,1))</f>
        <v>462.95686283420531</v>
      </c>
      <c r="AO141" s="62">
        <f t="shared" si="144"/>
        <v>275.54513370838777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6.8212102632969618E-13</v>
      </c>
      <c r="BE141" s="14">
        <f>BD141*VLOOKUP('Données projet'!$B$11,Paramètres!$A$1:$I$89,3,0)*VLOOKUP('Données projet'!$B$11,Paramètres!$A$1:$I$89,5,0)</f>
        <v>4.0790837374515837E-13</v>
      </c>
      <c r="BF141" s="14">
        <f t="shared" si="145"/>
        <v>5.2028966193600884E-12</v>
      </c>
      <c r="BG141" s="22">
        <f t="shared" si="115"/>
        <v>9.7721520296583044E-12</v>
      </c>
      <c r="BH141" s="62">
        <f t="shared" si="116"/>
        <v>285.14132726551571</v>
      </c>
      <c r="BI141" s="62">
        <f ca="1">AVERAGE(OFFSET($BH$3,0,0,'Données projet'!$E$11+1,1))-AVERAGE(OFFSET($H$3,0,0,'Données projet'!$E$11+1,1))</f>
        <v>505.16888119060701</v>
      </c>
      <c r="BJ141" s="62">
        <f t="shared" si="146"/>
        <v>351.15312364640613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8.3509633895131195E-16</v>
      </c>
      <c r="BS141" s="24">
        <f t="shared" si="117"/>
        <v>8.3509633895131195E-16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68.195506926115257</v>
      </c>
      <c r="CE141" s="62">
        <f t="shared" si="148"/>
        <v>352.52565673897004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6.7657243907647366</v>
      </c>
      <c r="CL141" s="23">
        <f>EXP(-LN(2)/25)*CL140+(1-EXP(-LN(2)/25))/(LN(2)/25)*Calculateur!CG141*Calculateur!CI141*VLOOKUP('Données projet'!$B$12,Paramètres!$A$1:$I$89,3,0)*0.475*44/12</f>
        <v>0.69369305804690018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7.4594174488116369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77.885897614924062</v>
      </c>
      <c r="CZ141" s="62">
        <f t="shared" si="150"/>
        <v>401.02460251355296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7.7816638360233457</v>
      </c>
      <c r="DG141" s="23">
        <f>EXP(-LN(2)/25)*DG140+(1-EXP(-LN(2)/25))/(LN(2)/25)*Calculateur!DB141*Calculateur!DD141*VLOOKUP('Données projet'!$B$13,Paramètres!$A$1:$I$89,3,0)*0.475*44/12</f>
        <v>0.79785783034148194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8.5795216663648279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79.532301588639172</v>
      </c>
      <c r="DU141" s="62">
        <f t="shared" si="152"/>
        <v>409.2657792678549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7.9545896990460871</v>
      </c>
      <c r="EB141" s="23">
        <f>EXP(-LN(2)/25)*EB140+(1-EXP(-LN(2)/25))/(LN(2)/25)*Calculateur!DW141*Calculateur!DY141*VLOOKUP('Données projet'!$B$14,Paramètres!$A$1:$I$89,3,0)*0.475*44/12</f>
        <v>0.81558800434907019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8.7701777033951576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77.885897614924062</v>
      </c>
      <c r="EP141" s="62">
        <f t="shared" si="154"/>
        <v>401.02460251355296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7.7816638360233457</v>
      </c>
      <c r="EW141" s="23">
        <f>EXP(-LN(2)/25)*EW140+(1-EXP(-LN(2)/25))/(LN(2)/25)*Calculateur!ER141*Calculateur!ET141*VLOOKUP('Données projet'!$B$15,Paramètres!$A$1:$I$89,3,0)*0.475*44/12</f>
        <v>0.79785783034148194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8.5795216663648279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426.87921482911719</v>
      </c>
      <c r="T142" s="62">
        <f t="shared" si="142"/>
        <v>313.49594674441835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285.28344025620407</v>
      </c>
      <c r="AN142" s="62">
        <f ca="1">AVERAGE(OFFSET($AM$3,0,0,'Données projet'!$E$10+1,1))-AVERAGE(OFFSET($H$3,0,0,'Données projet'!$E$10+1,1))</f>
        <v>462.95686283420531</v>
      </c>
      <c r="AO142" s="62">
        <f t="shared" si="144"/>
        <v>275.54513370838777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6.8212102632969618E-13</v>
      </c>
      <c r="BE142" s="14">
        <f>BD142*VLOOKUP('Données projet'!$B$11,Paramètres!$A$1:$I$89,3,0)*VLOOKUP('Données projet'!$B$11,Paramètres!$A$1:$I$89,5,0)</f>
        <v>4.0790837374515837E-13</v>
      </c>
      <c r="BF142" s="14">
        <f t="shared" si="145"/>
        <v>5.2028966193600884E-12</v>
      </c>
      <c r="BG142" s="22">
        <f t="shared" si="115"/>
        <v>9.7721520296583044E-12</v>
      </c>
      <c r="BH142" s="62">
        <f t="shared" si="116"/>
        <v>285.28344025621067</v>
      </c>
      <c r="BI142" s="62">
        <f ca="1">AVERAGE(OFFSET($BH$3,0,0,'Données projet'!$E$11+1,1))-AVERAGE(OFFSET($H$3,0,0,'Données projet'!$E$11+1,1))</f>
        <v>505.16888119060701</v>
      </c>
      <c r="BJ142" s="62">
        <f t="shared" si="146"/>
        <v>351.15312364640613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5.9050228421653225E-16</v>
      </c>
      <c r="BS142" s="24">
        <f t="shared" si="117"/>
        <v>5.9050228421653225E-16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68.195506926115257</v>
      </c>
      <c r="CE142" s="62">
        <f t="shared" si="148"/>
        <v>352.52565673897004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6.633052662146242</v>
      </c>
      <c r="CL142" s="23">
        <f>EXP(-LN(2)/25)*CL141+(1-EXP(-LN(2)/25))/(LN(2)/25)*Calculateur!CG142*Calculateur!CI142*VLOOKUP('Données projet'!$B$12,Paramètres!$A$1:$I$89,3,0)*0.475*44/12</f>
        <v>0.67472398489487528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7.3077766470411172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77.885897614924062</v>
      </c>
      <c r="CZ142" s="62">
        <f t="shared" si="150"/>
        <v>401.02460251355296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7.6290701545452047</v>
      </c>
      <c r="DG142" s="23">
        <f>EXP(-LN(2)/25)*DG141+(1-EXP(-LN(2)/25))/(LN(2)/25)*Calculateur!DB142*Calculateur!DD142*VLOOKUP('Données projet'!$B$13,Paramètres!$A$1:$I$89,3,0)*0.475*44/12</f>
        <v>0.77604036601327431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8.4051105205584786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79.532301588639172</v>
      </c>
      <c r="DU142" s="62">
        <f t="shared" si="152"/>
        <v>409.2657792678549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7.798605046868432</v>
      </c>
      <c r="EB142" s="23">
        <f>EXP(-LN(2)/25)*EB141+(1-EXP(-LN(2)/25))/(LN(2)/25)*Calculateur!DW142*Calculateur!DY142*VLOOKUP('Données projet'!$B$14,Paramètres!$A$1:$I$89,3,0)*0.475*44/12</f>
        <v>0.79328570748023575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8.5918907543486682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77.885897614924062</v>
      </c>
      <c r="EP142" s="62">
        <f t="shared" si="154"/>
        <v>401.02460251355296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7.6290701545452047</v>
      </c>
      <c r="EW142" s="23">
        <f>EXP(-LN(2)/25)*EW141+(1-EXP(-LN(2)/25))/(LN(2)/25)*Calculateur!ER142*Calculateur!ET142*VLOOKUP('Données projet'!$B$15,Paramètres!$A$1:$I$89,3,0)*0.475*44/12</f>
        <v>0.77604036601327431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8.4051105205584786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426.87921482911719</v>
      </c>
      <c r="T143" s="62">
        <f t="shared" si="142"/>
        <v>313.49594674441835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285.42308790422754</v>
      </c>
      <c r="AN143" s="62">
        <f ca="1">AVERAGE(OFFSET($AM$3,0,0,'Données projet'!$E$10+1,1))-AVERAGE(OFFSET($H$3,0,0,'Données projet'!$E$10+1,1))</f>
        <v>462.95686283420531</v>
      </c>
      <c r="AO143" s="62">
        <f t="shared" si="144"/>
        <v>275.54513370838777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6.8212102632969618E-13</v>
      </c>
      <c r="BE143" s="14">
        <f>BD143*VLOOKUP('Données projet'!$B$11,Paramètres!$A$1:$I$89,3,0)*VLOOKUP('Données projet'!$B$11,Paramètres!$A$1:$I$89,5,0)</f>
        <v>4.0790837374515837E-13</v>
      </c>
      <c r="BF143" s="14">
        <f t="shared" si="145"/>
        <v>5.2028966193600884E-12</v>
      </c>
      <c r="BG143" s="22">
        <f t="shared" si="115"/>
        <v>9.7721520296583044E-12</v>
      </c>
      <c r="BH143" s="62">
        <f t="shared" si="116"/>
        <v>285.42308790423414</v>
      </c>
      <c r="BI143" s="62">
        <f ca="1">AVERAGE(OFFSET($BH$3,0,0,'Données projet'!$E$11+1,1))-AVERAGE(OFFSET($H$3,0,0,'Données projet'!$E$11+1,1))</f>
        <v>505.16888119060701</v>
      </c>
      <c r="BJ143" s="62">
        <f t="shared" si="146"/>
        <v>351.15312364640613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4.1754816947565597E-16</v>
      </c>
      <c r="BS143" s="24">
        <f t="shared" si="117"/>
        <v>4.1754816947565597E-16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68.195506926115257</v>
      </c>
      <c r="CE143" s="62">
        <f t="shared" si="148"/>
        <v>352.52565673897004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6.5029825452041923</v>
      </c>
      <c r="CL143" s="23">
        <f>EXP(-LN(2)/25)*CL142+(1-EXP(-LN(2)/25))/(LN(2)/25)*Calculateur!CG143*Calculateur!CI143*VLOOKUP('Données projet'!$B$12,Paramètres!$A$1:$I$89,3,0)*0.475*44/12</f>
        <v>0.6562736220457327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7.1592561672499251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77.885897614924062</v>
      </c>
      <c r="CZ143" s="62">
        <f t="shared" si="150"/>
        <v>401.02460251355296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7.4794687420878949</v>
      </c>
      <c r="DG143" s="23">
        <f>EXP(-LN(2)/25)*DG142+(1-EXP(-LN(2)/25))/(LN(2)/25)*Calculateur!DB143*Calculateur!DD143*VLOOKUP('Données projet'!$B$13,Paramètres!$A$1:$I$89,3,0)*0.475*44/12</f>
        <v>0.75481950139445209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8.2342882434823466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79.532301588639172</v>
      </c>
      <c r="DU143" s="62">
        <f t="shared" si="152"/>
        <v>409.2657792678549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7.645679158578738</v>
      </c>
      <c r="EB143" s="23">
        <f>EXP(-LN(2)/25)*EB142+(1-EXP(-LN(2)/25))/(LN(2)/25)*Calculateur!DW143*Calculateur!DY143*VLOOKUP('Données projet'!$B$14,Paramètres!$A$1:$I$89,3,0)*0.475*44/12</f>
        <v>0.77159326809210638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8.417272426670845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77.885897614924062</v>
      </c>
      <c r="EP143" s="62">
        <f t="shared" si="154"/>
        <v>401.02460251355296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7.4794687420878949</v>
      </c>
      <c r="EW143" s="23">
        <f>EXP(-LN(2)/25)*EW142+(1-EXP(-LN(2)/25))/(LN(2)/25)*Calculateur!ER143*Calculateur!ET143*VLOOKUP('Données projet'!$B$15,Paramètres!$A$1:$I$89,3,0)*0.475*44/12</f>
        <v>0.75481950139445209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8.2342882434823466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426.87921482911719</v>
      </c>
      <c r="T144" s="62">
        <f t="shared" si="142"/>
        <v>313.49594674441835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285.5603129777632</v>
      </c>
      <c r="AN144" s="62">
        <f ca="1">AVERAGE(OFFSET($AM$3,0,0,'Données projet'!$E$10+1,1))-AVERAGE(OFFSET($H$3,0,0,'Données projet'!$E$10+1,1))</f>
        <v>462.95686283420531</v>
      </c>
      <c r="AO144" s="62">
        <f t="shared" si="144"/>
        <v>275.54513370838777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6.8212102632969618E-13</v>
      </c>
      <c r="BE144" s="14">
        <f>BD144*VLOOKUP('Données projet'!$B$11,Paramètres!$A$1:$I$89,3,0)*VLOOKUP('Données projet'!$B$11,Paramètres!$A$1:$I$89,5,0)</f>
        <v>4.0790837374515837E-13</v>
      </c>
      <c r="BF144" s="14">
        <f t="shared" si="145"/>
        <v>5.2028966193600884E-12</v>
      </c>
      <c r="BG144" s="22">
        <f t="shared" si="115"/>
        <v>9.7721520296583044E-12</v>
      </c>
      <c r="BH144" s="62">
        <f t="shared" si="116"/>
        <v>285.5603129777698</v>
      </c>
      <c r="BI144" s="62">
        <f ca="1">AVERAGE(OFFSET($BH$3,0,0,'Données projet'!$E$11+1,1))-AVERAGE(OFFSET($H$3,0,0,'Données projet'!$E$11+1,1))</f>
        <v>505.16888119060701</v>
      </c>
      <c r="BJ144" s="62">
        <f t="shared" si="146"/>
        <v>351.15312364640613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2.9525114210826613E-16</v>
      </c>
      <c r="BS144" s="24">
        <f t="shared" si="117"/>
        <v>2.9525114210826613E-16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68.195506926115257</v>
      </c>
      <c r="CE144" s="62">
        <f t="shared" si="148"/>
        <v>352.52565673897004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6.3754630239204388</v>
      </c>
      <c r="CL144" s="23">
        <f>EXP(-LN(2)/25)*CL143+(1-EXP(-LN(2)/25))/(LN(2)/25)*Calculateur!CG144*Calculateur!CI144*VLOOKUP('Données projet'!$B$12,Paramètres!$A$1:$I$89,3,0)*0.475*44/12</f>
        <v>0.63832778533896228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7.013790809259401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77.885897614924062</v>
      </c>
      <c r="CZ144" s="62">
        <f t="shared" si="150"/>
        <v>401.02460251355296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7.3328009220810211</v>
      </c>
      <c r="DG144" s="23">
        <f>EXP(-LN(2)/25)*DG143+(1-EXP(-LN(2)/25))/(LN(2)/25)*Calculateur!DB144*Calculateur!DD144*VLOOKUP('Données projet'!$B$13,Paramètres!$A$1:$I$89,3,0)*0.475*44/12</f>
        <v>0.73417892243458838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8.0669798445156093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79.532301588639172</v>
      </c>
      <c r="DU144" s="62">
        <f t="shared" si="152"/>
        <v>409.2657792678549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7.495752053682823</v>
      </c>
      <c r="EB144" s="23">
        <f>EXP(-LN(2)/25)*EB143+(1-EXP(-LN(2)/25))/(LN(2)/25)*Calculateur!DW144*Calculateur!DY144*VLOOKUP('Données projet'!$B$14,Paramètres!$A$1:$I$89,3,0)*0.475*44/12</f>
        <v>0.75049400959980128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8.2462460632826247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77.885897614924062</v>
      </c>
      <c r="EP144" s="62">
        <f t="shared" si="154"/>
        <v>401.02460251355296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7.3328009220810211</v>
      </c>
      <c r="EW144" s="23">
        <f>EXP(-LN(2)/25)*EW143+(1-EXP(-LN(2)/25))/(LN(2)/25)*Calculateur!ER144*Calculateur!ET144*VLOOKUP('Données projet'!$B$15,Paramètres!$A$1:$I$89,3,0)*0.475*44/12</f>
        <v>0.73417892243458838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8.0669798445156093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426.87921482911719</v>
      </c>
      <c r="T145" s="62">
        <f t="shared" si="142"/>
        <v>313.49594674441835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285.69515750306226</v>
      </c>
      <c r="AN145" s="62">
        <f ca="1">AVERAGE(OFFSET($AM$3,0,0,'Données projet'!$E$10+1,1))-AVERAGE(OFFSET($H$3,0,0,'Données projet'!$E$10+1,1))</f>
        <v>462.95686283420531</v>
      </c>
      <c r="AO145" s="62">
        <f t="shared" si="144"/>
        <v>275.54513370838777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6.8212102632969618E-13</v>
      </c>
      <c r="BE145" s="14">
        <f>BD145*VLOOKUP('Données projet'!$B$11,Paramètres!$A$1:$I$89,3,0)*VLOOKUP('Données projet'!$B$11,Paramètres!$A$1:$I$89,5,0)</f>
        <v>4.0790837374515837E-13</v>
      </c>
      <c r="BF145" s="14">
        <f t="shared" si="145"/>
        <v>5.2028966193600884E-12</v>
      </c>
      <c r="BG145" s="22">
        <f t="shared" si="115"/>
        <v>9.7721520296583044E-12</v>
      </c>
      <c r="BH145" s="62">
        <f t="shared" si="116"/>
        <v>285.69515750306886</v>
      </c>
      <c r="BI145" s="62">
        <f ca="1">AVERAGE(OFFSET($BH$3,0,0,'Données projet'!$E$11+1,1))-AVERAGE(OFFSET($H$3,0,0,'Données projet'!$E$11+1,1))</f>
        <v>505.16888119060701</v>
      </c>
      <c r="BJ145" s="62">
        <f t="shared" si="146"/>
        <v>351.15312364640613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2.0877408473782799E-16</v>
      </c>
      <c r="BS145" s="24">
        <f t="shared" si="117"/>
        <v>2.0877408473782799E-16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68.195506926115257</v>
      </c>
      <c r="CE145" s="62">
        <f t="shared" si="148"/>
        <v>352.52565673897004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6.2504440826698318</v>
      </c>
      <c r="CL145" s="23">
        <f>EXP(-LN(2)/25)*CL144+(1-EXP(-LN(2)/25))/(LN(2)/25)*Calculateur!CG145*Calculateur!CI145*VLOOKUP('Données projet'!$B$12,Paramètres!$A$1:$I$89,3,0)*0.475*44/12</f>
        <v>0.62087267848066907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6.8713167611505011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77.885897614924062</v>
      </c>
      <c r="CZ145" s="62">
        <f t="shared" si="150"/>
        <v>401.02460251355296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7.1890091685659456</v>
      </c>
      <c r="DG145" s="23">
        <f>EXP(-LN(2)/25)*DG144+(1-EXP(-LN(2)/25))/(LN(2)/25)*Calculateur!DB145*Calculateur!DD145*VLOOKUP('Données projet'!$B$13,Paramètres!$A$1:$I$89,3,0)*0.475*44/12</f>
        <v>0.71410276119182303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7.9031119297577686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79.532301588639172</v>
      </c>
      <c r="DU145" s="62">
        <f t="shared" si="152"/>
        <v>409.2657792678549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7.3487649278674123</v>
      </c>
      <c r="EB145" s="23">
        <f>EXP(-LN(2)/25)*EB144+(1-EXP(-LN(2)/25))/(LN(2)/25)*Calculateur!DW145*Calculateur!DY145*VLOOKUP('Données projet'!$B$14,Paramètres!$A$1:$I$89,3,0)*0.475*44/12</f>
        <v>0.72997171144053008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8.0787366393079427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77.885897614924062</v>
      </c>
      <c r="EP145" s="62">
        <f t="shared" si="154"/>
        <v>401.02460251355296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7.1890091685659456</v>
      </c>
      <c r="EW145" s="23">
        <f>EXP(-LN(2)/25)*EW144+(1-EXP(-LN(2)/25))/(LN(2)/25)*Calculateur!ER145*Calculateur!ET145*VLOOKUP('Données projet'!$B$15,Paramètres!$A$1:$I$89,3,0)*0.475*44/12</f>
        <v>0.71410276119182303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7.9031119297577686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426.87921482911719</v>
      </c>
      <c r="T146" s="62">
        <f t="shared" si="142"/>
        <v>313.49594674441835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285.82766277731463</v>
      </c>
      <c r="AN146" s="62">
        <f ca="1">AVERAGE(OFFSET($AM$3,0,0,'Données projet'!$E$10+1,1))-AVERAGE(OFFSET($H$3,0,0,'Données projet'!$E$10+1,1))</f>
        <v>462.95686283420531</v>
      </c>
      <c r="AO146" s="62">
        <f t="shared" si="144"/>
        <v>275.54513370838777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6.8212102632969618E-13</v>
      </c>
      <c r="BE146" s="14">
        <f>BD146*VLOOKUP('Données projet'!$B$11,Paramètres!$A$1:$I$89,3,0)*VLOOKUP('Données projet'!$B$11,Paramètres!$A$1:$I$89,5,0)</f>
        <v>4.0790837374515837E-13</v>
      </c>
      <c r="BF146" s="14">
        <f t="shared" si="145"/>
        <v>5.2028966193600884E-12</v>
      </c>
      <c r="BG146" s="22">
        <f t="shared" si="115"/>
        <v>9.7721520296583044E-12</v>
      </c>
      <c r="BH146" s="62">
        <f t="shared" si="116"/>
        <v>285.82766277732122</v>
      </c>
      <c r="BI146" s="62">
        <f ca="1">AVERAGE(OFFSET($BH$3,0,0,'Données projet'!$E$11+1,1))-AVERAGE(OFFSET($H$3,0,0,'Données projet'!$E$11+1,1))</f>
        <v>505.16888119060701</v>
      </c>
      <c r="BJ146" s="62">
        <f t="shared" si="146"/>
        <v>351.15312364640613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1.4762557105413306E-16</v>
      </c>
      <c r="BS146" s="24">
        <f t="shared" si="117"/>
        <v>1.4762557105413306E-16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68.195506926115257</v>
      </c>
      <c r="CE146" s="62">
        <f t="shared" si="148"/>
        <v>352.52565673897004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6.1278766866031242</v>
      </c>
      <c r="CL146" s="23">
        <f>EXP(-LN(2)/25)*CL145+(1-EXP(-LN(2)/25))/(LN(2)/25)*Calculateur!CG146*Calculateur!CI146*VLOOKUP('Données projet'!$B$12,Paramètres!$A$1:$I$89,3,0)*0.475*44/12</f>
        <v>0.60389488243734002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6.7317715690404647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77.885897614924062</v>
      </c>
      <c r="CZ146" s="62">
        <f t="shared" si="150"/>
        <v>401.02460251355296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7.0480370836329911</v>
      </c>
      <c r="DG146" s="23">
        <f>EXP(-LN(2)/25)*DG145+(1-EXP(-LN(2)/25))/(LN(2)/25)*Calculateur!DB146*Calculateur!DD146*VLOOKUP('Données projet'!$B$13,Paramètres!$A$1:$I$89,3,0)*0.475*44/12</f>
        <v>0.69457558363400052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7.7426126672669913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79.532301588639172</v>
      </c>
      <c r="DU146" s="62">
        <f t="shared" si="152"/>
        <v>409.2657792678549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7.2046601299359478</v>
      </c>
      <c r="EB146" s="23">
        <f>EXP(-LN(2)/25)*EB145+(1-EXP(-LN(2)/25))/(LN(2)/25)*Calculateur!DW146*Calculateur!DY146*VLOOKUP('Données projet'!$B$14,Paramètres!$A$1:$I$89,3,0)*0.475*44/12</f>
        <v>0.71001059660364485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7.914670726539593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77.885897614924062</v>
      </c>
      <c r="EP146" s="62">
        <f t="shared" si="154"/>
        <v>401.02460251355296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7.0480370836329911</v>
      </c>
      <c r="EW146" s="23">
        <f>EXP(-LN(2)/25)*EW145+(1-EXP(-LN(2)/25))/(LN(2)/25)*Calculateur!ER146*Calculateur!ET146*VLOOKUP('Données projet'!$B$15,Paramètres!$A$1:$I$89,3,0)*0.475*44/12</f>
        <v>0.69457558363400052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7.7426126672669913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426.87921482911719</v>
      </c>
      <c r="T147" s="62">
        <f t="shared" si="142"/>
        <v>313.49594674441835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285.95786938129606</v>
      </c>
      <c r="AN147" s="62">
        <f ca="1">AVERAGE(OFFSET($AM$3,0,0,'Données projet'!$E$10+1,1))-AVERAGE(OFFSET($H$3,0,0,'Données projet'!$E$10+1,1))</f>
        <v>462.95686283420531</v>
      </c>
      <c r="AO147" s="62">
        <f t="shared" si="144"/>
        <v>275.54513370838777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6.8212102632969618E-13</v>
      </c>
      <c r="BE147" s="14">
        <f>BD147*VLOOKUP('Données projet'!$B$11,Paramètres!$A$1:$I$89,3,0)*VLOOKUP('Données projet'!$B$11,Paramètres!$A$1:$I$89,5,0)</f>
        <v>4.0790837374515837E-13</v>
      </c>
      <c r="BF147" s="14">
        <f t="shared" si="145"/>
        <v>5.2028966193600884E-12</v>
      </c>
      <c r="BG147" s="22">
        <f t="shared" si="115"/>
        <v>9.7721520296583044E-12</v>
      </c>
      <c r="BH147" s="62">
        <f t="shared" si="116"/>
        <v>285.95786938130266</v>
      </c>
      <c r="BI147" s="62">
        <f ca="1">AVERAGE(OFFSET($BH$3,0,0,'Données projet'!$E$11+1,1))-AVERAGE(OFFSET($H$3,0,0,'Données projet'!$E$11+1,1))</f>
        <v>505.16888119060701</v>
      </c>
      <c r="BJ147" s="62">
        <f t="shared" si="146"/>
        <v>351.15312364640613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1.0438704236891399E-16</v>
      </c>
      <c r="BS147" s="24">
        <f t="shared" si="117"/>
        <v>1.0438704236891399E-16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68.195506926115257</v>
      </c>
      <c r="CE147" s="62">
        <f t="shared" si="148"/>
        <v>352.52565673897004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6.0077127624145552</v>
      </c>
      <c r="CL147" s="23">
        <f>EXP(-LN(2)/25)*CL146+(1-EXP(-LN(2)/25))/(LN(2)/25)*Calculateur!CG147*Calculateur!CI147*VLOOKUP('Données projet'!$B$12,Paramètres!$A$1:$I$89,3,0)*0.475*44/12</f>
        <v>0.58738134511963935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6.5950941075341944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77.885897614924062</v>
      </c>
      <c r="CZ147" s="62">
        <f t="shared" si="150"/>
        <v>401.02460251355296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6.90982937530109</v>
      </c>
      <c r="DG147" s="23">
        <f>EXP(-LN(2)/25)*DG146+(1-EXP(-LN(2)/25))/(LN(2)/25)*Calculateur!DB147*Calculateur!DD147*VLOOKUP('Données projet'!$B$13,Paramètres!$A$1:$I$89,3,0)*0.475*44/12</f>
        <v>0.67558237777338626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7.5854117530744762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79.532301588639172</v>
      </c>
      <c r="DU147" s="62">
        <f t="shared" si="152"/>
        <v>409.2657792678549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7.0633811391966717</v>
      </c>
      <c r="EB147" s="23">
        <f>EXP(-LN(2)/25)*EB146+(1-EXP(-LN(2)/25))/(LN(2)/25)*Calculateur!DW147*Calculateur!DY147*VLOOKUP('Données projet'!$B$14,Paramètres!$A$1:$I$89,3,0)*0.475*44/12</f>
        <v>0.69059531950168362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7.7539764586983555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77.885897614924062</v>
      </c>
      <c r="EP147" s="62">
        <f t="shared" si="154"/>
        <v>401.02460251355296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6.90982937530109</v>
      </c>
      <c r="EW147" s="23">
        <f>EXP(-LN(2)/25)*EW146+(1-EXP(-LN(2)/25))/(LN(2)/25)*Calculateur!ER147*Calculateur!ET147*VLOOKUP('Données projet'!$B$15,Paramètres!$A$1:$I$89,3,0)*0.475*44/12</f>
        <v>0.67558237777338626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7.5854117530744762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426.87921482911719</v>
      </c>
      <c r="T148" s="62">
        <f t="shared" si="142"/>
        <v>313.49594674441835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286.08581719179676</v>
      </c>
      <c r="AN148" s="62">
        <f ca="1">AVERAGE(OFFSET($AM$3,0,0,'Données projet'!$E$10+1,1))-AVERAGE(OFFSET($H$3,0,0,'Données projet'!$E$10+1,1))</f>
        <v>462.95686283420531</v>
      </c>
      <c r="AO148" s="62">
        <f t="shared" si="144"/>
        <v>275.54513370838777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6.8212102632969618E-13</v>
      </c>
      <c r="BE148" s="14">
        <f>BD148*VLOOKUP('Données projet'!$B$11,Paramètres!$A$1:$I$89,3,0)*VLOOKUP('Données projet'!$B$11,Paramètres!$A$1:$I$89,5,0)</f>
        <v>4.0790837374515837E-13</v>
      </c>
      <c r="BF148" s="14">
        <f t="shared" si="145"/>
        <v>5.2028966193600884E-12</v>
      </c>
      <c r="BG148" s="22">
        <f t="shared" si="115"/>
        <v>9.7721520296583044E-12</v>
      </c>
      <c r="BH148" s="62">
        <f t="shared" si="116"/>
        <v>286.08581719180336</v>
      </c>
      <c r="BI148" s="62">
        <f ca="1">AVERAGE(OFFSET($BH$3,0,0,'Données projet'!$E$11+1,1))-AVERAGE(OFFSET($H$3,0,0,'Données projet'!$E$11+1,1))</f>
        <v>505.16888119060701</v>
      </c>
      <c r="BJ148" s="62">
        <f t="shared" si="146"/>
        <v>351.15312364640613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7.3812785527066532E-17</v>
      </c>
      <c r="BS148" s="24">
        <f t="shared" si="117"/>
        <v>7.3812785527066532E-17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68.195506926115257</v>
      </c>
      <c r="CE148" s="62">
        <f t="shared" si="148"/>
        <v>352.52565673897004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5.8899051794865667</v>
      </c>
      <c r="CL148" s="23">
        <f>EXP(-LN(2)/25)*CL147+(1-EXP(-LN(2)/25))/(LN(2)/25)*Calculateur!CG148*Calculateur!CI148*VLOOKUP('Données projet'!$B$12,Paramètres!$A$1:$I$89,3,0)*0.475*44/12</f>
        <v>0.57131937134830035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6.4612245508348671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77.885897614924062</v>
      </c>
      <c r="CZ148" s="62">
        <f t="shared" si="150"/>
        <v>401.02460251355296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6.774331835831199</v>
      </c>
      <c r="DG148" s="23">
        <f>EXP(-LN(2)/25)*DG147+(1-EXP(-LN(2)/25))/(LN(2)/25)*Calculateur!DB148*Calculateur!DD148*VLOOKUP('Données projet'!$B$13,Paramètres!$A$1:$I$89,3,0)*0.475*44/12</f>
        <v>0.6571085421258398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7.4314403779570384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79.532301588639172</v>
      </c>
      <c r="DU148" s="62">
        <f t="shared" si="152"/>
        <v>409.2657792678549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6.9248725432941169</v>
      </c>
      <c r="EB148" s="23">
        <f>EXP(-LN(2)/25)*EB147+(1-EXP(-LN(2)/25))/(LN(2)/25)*Calculateur!DW148*Calculateur!DY148*VLOOKUP('Données projet'!$B$14,Paramètres!$A$1:$I$89,3,0)*0.475*44/12</f>
        <v>0.67171095417308058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7.5965834974671971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77.885897614924062</v>
      </c>
      <c r="EP148" s="62">
        <f t="shared" si="154"/>
        <v>401.02460251355296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6.774331835831199</v>
      </c>
      <c r="EW148" s="23">
        <f>EXP(-LN(2)/25)*EW147+(1-EXP(-LN(2)/25))/(LN(2)/25)*Calculateur!ER148*Calculateur!ET148*VLOOKUP('Données projet'!$B$15,Paramètres!$A$1:$I$89,3,0)*0.475*44/12</f>
        <v>0.6571085421258398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7.4314403779570384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426.87921482911719</v>
      </c>
      <c r="T149" s="62">
        <f t="shared" si="142"/>
        <v>313.49594674441835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286.21154539383383</v>
      </c>
      <c r="AN149" s="62">
        <f ca="1">AVERAGE(OFFSET($AM$3,0,0,'Données projet'!$E$10+1,1))-AVERAGE(OFFSET($H$3,0,0,'Données projet'!$E$10+1,1))</f>
        <v>462.95686283420531</v>
      </c>
      <c r="AO149" s="62">
        <f t="shared" si="144"/>
        <v>275.54513370838777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6.8212102632969618E-13</v>
      </c>
      <c r="BE149" s="14">
        <f>BD149*VLOOKUP('Données projet'!$B$11,Paramètres!$A$1:$I$89,3,0)*VLOOKUP('Données projet'!$B$11,Paramètres!$A$1:$I$89,5,0)</f>
        <v>4.0790837374515837E-13</v>
      </c>
      <c r="BF149" s="14">
        <f t="shared" si="145"/>
        <v>5.2028966193600884E-12</v>
      </c>
      <c r="BG149" s="22">
        <f t="shared" si="115"/>
        <v>9.7721520296583044E-12</v>
      </c>
      <c r="BH149" s="62">
        <f t="shared" si="116"/>
        <v>286.21154539384042</v>
      </c>
      <c r="BI149" s="62">
        <f ca="1">AVERAGE(OFFSET($BH$3,0,0,'Données projet'!$E$11+1,1))-AVERAGE(OFFSET($H$3,0,0,'Données projet'!$E$11+1,1))</f>
        <v>505.16888119060701</v>
      </c>
      <c r="BJ149" s="62">
        <f t="shared" si="146"/>
        <v>351.15312364640613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5.2193521184456997E-17</v>
      </c>
      <c r="BS149" s="24">
        <f t="shared" si="117"/>
        <v>5.2193521184456997E-17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68.195506926115257</v>
      </c>
      <c r="CE149" s="62">
        <f t="shared" si="148"/>
        <v>352.52565673897004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5.7744077314042661</v>
      </c>
      <c r="CL149" s="23">
        <f>EXP(-LN(2)/25)*CL148+(1-EXP(-LN(2)/25))/(LN(2)/25)*Calculateur!CG149*Calculateur!CI149*VLOOKUP('Données projet'!$B$12,Paramètres!$A$1:$I$89,3,0)*0.475*44/12</f>
        <v>0.5556966130944011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6.3301043444986673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77.885897614924062</v>
      </c>
      <c r="CZ149" s="62">
        <f t="shared" si="150"/>
        <v>401.02460251355296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6.6414913204649748</v>
      </c>
      <c r="DG149" s="23">
        <f>EXP(-LN(2)/25)*DG148+(1-EXP(-LN(2)/25))/(LN(2)/25)*Calculateur!DB149*Calculateur!DD149*VLOOKUP('Données projet'!$B$13,Paramètres!$A$1:$I$89,3,0)*0.475*44/12</f>
        <v>0.6391398744855723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7.2806311949505469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79.532301588639172</v>
      </c>
      <c r="DU149" s="62">
        <f t="shared" si="152"/>
        <v>409.2657792678549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6.7890800164753093</v>
      </c>
      <c r="EB149" s="23">
        <f>EXP(-LN(2)/25)*EB148+(1-EXP(-LN(2)/25))/(LN(2)/25)*Calculateur!DW149*Calculateur!DY149*VLOOKUP('Données projet'!$B$14,Paramètres!$A$1:$I$89,3,0)*0.475*44/12</f>
        <v>0.65334298280747383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7.4424229992827833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77.885897614924062</v>
      </c>
      <c r="EP149" s="62">
        <f t="shared" si="154"/>
        <v>401.02460251355296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6.6414913204649748</v>
      </c>
      <c r="EW149" s="23">
        <f>EXP(-LN(2)/25)*EW148+(1-EXP(-LN(2)/25))/(LN(2)/25)*Calculateur!ER149*Calculateur!ET149*VLOOKUP('Données projet'!$B$15,Paramètres!$A$1:$I$89,3,0)*0.475*44/12</f>
        <v>0.6391398744855723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7.2806311949505469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426.87921482911719</v>
      </c>
      <c r="T150" s="62">
        <f t="shared" si="142"/>
        <v>313.49594674441835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286.3350924926516</v>
      </c>
      <c r="AN150" s="62">
        <f ca="1">AVERAGE(OFFSET($AM$3,0,0,'Données projet'!$E$10+1,1))-AVERAGE(OFFSET($H$3,0,0,'Données projet'!$E$10+1,1))</f>
        <v>462.95686283420531</v>
      </c>
      <c r="AO150" s="62">
        <f t="shared" si="144"/>
        <v>275.54513370838777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6.8212102632969618E-13</v>
      </c>
      <c r="BE150" s="14">
        <f>BD150*VLOOKUP('Données projet'!$B$11,Paramètres!$A$1:$I$89,3,0)*VLOOKUP('Données projet'!$B$11,Paramètres!$A$1:$I$89,5,0)</f>
        <v>4.0790837374515837E-13</v>
      </c>
      <c r="BF150" s="14">
        <f t="shared" si="145"/>
        <v>5.2028966193600884E-12</v>
      </c>
      <c r="BG150" s="22">
        <f t="shared" si="115"/>
        <v>9.7721520296583044E-12</v>
      </c>
      <c r="BH150" s="62">
        <f t="shared" si="116"/>
        <v>286.33509249265819</v>
      </c>
      <c r="BI150" s="62">
        <f ca="1">AVERAGE(OFFSET($BH$3,0,0,'Données projet'!$E$11+1,1))-AVERAGE(OFFSET($H$3,0,0,'Données projet'!$E$11+1,1))</f>
        <v>505.16888119060701</v>
      </c>
      <c r="BJ150" s="62">
        <f t="shared" si="146"/>
        <v>351.15312364640613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3.6906392763533266E-17</v>
      </c>
      <c r="BS150" s="24">
        <f t="shared" si="117"/>
        <v>3.6906392763533266E-17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68.195506926115257</v>
      </c>
      <c r="CE150" s="62">
        <f t="shared" si="148"/>
        <v>352.52565673897004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5.6611751178323724</v>
      </c>
      <c r="CL150" s="23">
        <f>EXP(-LN(2)/25)*CL149+(1-EXP(-LN(2)/25))/(LN(2)/25)*Calculateur!CG150*Calculateur!CI150*VLOOKUP('Données projet'!$B$12,Paramètres!$A$1:$I$89,3,0)*0.475*44/12</f>
        <v>0.54050105998651987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6.201676177818892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77.885897614924062</v>
      </c>
      <c r="CZ150" s="62">
        <f t="shared" si="150"/>
        <v>401.02460251355296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6.5112557265803677</v>
      </c>
      <c r="DG150" s="23">
        <f>EXP(-LN(2)/25)*DG149+(1-EXP(-LN(2)/25))/(LN(2)/25)*Calculateur!DB150*Calculateur!DD150*VLOOKUP('Données projet'!$B$13,Paramètres!$A$1:$I$89,3,0)*0.475*44/12</f>
        <v>0.62166256100685913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7.132918287587227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79.532301588639172</v>
      </c>
      <c r="DU150" s="62">
        <f t="shared" si="152"/>
        <v>409.2657792678549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6.6559502982821561</v>
      </c>
      <c r="EB150" s="23">
        <f>EXP(-LN(2)/25)*EB149+(1-EXP(-LN(2)/25))/(LN(2)/25)*Calculateur!DW150*Calculateur!DY150*VLOOKUP('Données projet'!$B$14,Paramètres!$A$1:$I$89,3,0)*0.475*44/12</f>
        <v>0.63547728458478925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7.2914275828669455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77.885897614924062</v>
      </c>
      <c r="EP150" s="62">
        <f t="shared" si="154"/>
        <v>401.02460251355296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6.5112557265803677</v>
      </c>
      <c r="EW150" s="23">
        <f>EXP(-LN(2)/25)*EW149+(1-EXP(-LN(2)/25))/(LN(2)/25)*Calculateur!ER150*Calculateur!ET150*VLOOKUP('Données projet'!$B$15,Paramètres!$A$1:$I$89,3,0)*0.475*44/12</f>
        <v>0.62166256100685913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7.132918287587227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426.87921482911719</v>
      </c>
      <c r="T151" s="62">
        <f t="shared" si="142"/>
        <v>313.49594674441835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286.45649632551488</v>
      </c>
      <c r="AN151" s="62">
        <f ca="1">AVERAGE(OFFSET($AM$3,0,0,'Données projet'!$E$10+1,1))-AVERAGE(OFFSET($H$3,0,0,'Données projet'!$E$10+1,1))</f>
        <v>462.95686283420531</v>
      </c>
      <c r="AO151" s="62">
        <f t="shared" si="144"/>
        <v>275.54513370838777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6.8212102632969618E-13</v>
      </c>
      <c r="BE151" s="14">
        <f>BD151*VLOOKUP('Données projet'!$B$11,Paramètres!$A$1:$I$89,3,0)*VLOOKUP('Données projet'!$B$11,Paramètres!$A$1:$I$89,5,0)</f>
        <v>4.0790837374515837E-13</v>
      </c>
      <c r="BF151" s="14">
        <f t="shared" si="145"/>
        <v>5.2028966193600884E-12</v>
      </c>
      <c r="BG151" s="22">
        <f t="shared" si="115"/>
        <v>9.7721520296583044E-12</v>
      </c>
      <c r="BH151" s="62">
        <f t="shared" si="116"/>
        <v>286.45649632552147</v>
      </c>
      <c r="BI151" s="62">
        <f ca="1">AVERAGE(OFFSET($BH$3,0,0,'Données projet'!$E$11+1,1))-AVERAGE(OFFSET($H$3,0,0,'Données projet'!$E$11+1,1))</f>
        <v>505.16888119060701</v>
      </c>
      <c r="BJ151" s="62">
        <f t="shared" si="146"/>
        <v>351.15312364640613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2.6096760592228498E-17</v>
      </c>
      <c r="BS151" s="24">
        <f t="shared" si="117"/>
        <v>2.6096760592228498E-17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68.195506926115257</v>
      </c>
      <c r="CE151" s="62">
        <f t="shared" si="148"/>
        <v>352.52565673897004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5.5501629267475483</v>
      </c>
      <c r="CL151" s="23">
        <f>EXP(-LN(2)/25)*CL150+(1-EXP(-LN(2)/25))/(LN(2)/25)*Calculateur!CG151*Calculateur!CI151*VLOOKUP('Données projet'!$B$12,Paramètres!$A$1:$I$89,3,0)*0.475*44/12</f>
        <v>0.52572103007747306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6.0758839568250211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77.885897614924062</v>
      </c>
      <c r="CZ151" s="62">
        <f t="shared" si="150"/>
        <v>401.02460251355296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6.3835739732559693</v>
      </c>
      <c r="DG151" s="23">
        <f>EXP(-LN(2)/25)*DG150+(1-EXP(-LN(2)/25))/(LN(2)/25)*Calculateur!DB151*Calculateur!DD151*VLOOKUP('Données projet'!$B$13,Paramètres!$A$1:$I$89,3,0)*0.475*44/12</f>
        <v>0.60466316558431332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6.9882371388402831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79.532301588639172</v>
      </c>
      <c r="DU151" s="62">
        <f t="shared" si="152"/>
        <v>409.2657792678549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6.5254311726616603</v>
      </c>
      <c r="EB151" s="23">
        <f>EXP(-LN(2)/25)*EB150+(1-EXP(-LN(2)/25))/(LN(2)/25)*Calculateur!DW151*Calculateur!DY151*VLOOKUP('Données projet'!$B$14,Paramètres!$A$1:$I$89,3,0)*0.475*44/12</f>
        <v>0.61810012481952015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7.1435312974811804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77.885897614924062</v>
      </c>
      <c r="EP151" s="62">
        <f t="shared" si="154"/>
        <v>401.02460251355296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6.3835739732559693</v>
      </c>
      <c r="EW151" s="23">
        <f>EXP(-LN(2)/25)*EW150+(1-EXP(-LN(2)/25))/(LN(2)/25)*Calculateur!ER151*Calculateur!ET151*VLOOKUP('Données projet'!$B$15,Paramètres!$A$1:$I$89,3,0)*0.475*44/12</f>
        <v>0.60466316558431332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6.9882371388402831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426.87921482911719</v>
      </c>
      <c r="T152" s="62">
        <f t="shared" si="142"/>
        <v>313.49594674441835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286.57579407329627</v>
      </c>
      <c r="AN152" s="62">
        <f ca="1">AVERAGE(OFFSET($AM$3,0,0,'Données projet'!$E$10+1,1))-AVERAGE(OFFSET($H$3,0,0,'Données projet'!$E$10+1,1))</f>
        <v>462.95686283420531</v>
      </c>
      <c r="AO152" s="62">
        <f t="shared" si="144"/>
        <v>275.54513370838777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6.8212102632969618E-13</v>
      </c>
      <c r="BE152" s="14">
        <f>BD152*VLOOKUP('Données projet'!$B$11,Paramètres!$A$1:$I$89,3,0)*VLOOKUP('Données projet'!$B$11,Paramètres!$A$1:$I$89,5,0)</f>
        <v>4.0790837374515837E-13</v>
      </c>
      <c r="BF152" s="14">
        <f t="shared" si="145"/>
        <v>5.2028966193600884E-12</v>
      </c>
      <c r="BG152" s="22">
        <f t="shared" si="115"/>
        <v>9.7721520296583044E-12</v>
      </c>
      <c r="BH152" s="62">
        <f t="shared" si="116"/>
        <v>286.57579407330286</v>
      </c>
      <c r="BI152" s="62">
        <f ca="1">AVERAGE(OFFSET($BH$3,0,0,'Données projet'!$E$11+1,1))-AVERAGE(OFFSET($H$3,0,0,'Données projet'!$E$11+1,1))</f>
        <v>505.16888119060701</v>
      </c>
      <c r="BJ152" s="62">
        <f t="shared" si="146"/>
        <v>351.15312364640613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1.8453196381766633E-17</v>
      </c>
      <c r="BS152" s="24">
        <f t="shared" si="117"/>
        <v>1.8453196381766633E-17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68.195506926115257</v>
      </c>
      <c r="CE152" s="62">
        <f t="shared" si="148"/>
        <v>352.52565673897004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5.4413276170191471</v>
      </c>
      <c r="CL152" s="23">
        <f>EXP(-LN(2)/25)*CL151+(1-EXP(-LN(2)/25))/(LN(2)/25)*Calculateur!CG152*Calculateur!CI152*VLOOKUP('Données projet'!$B$12,Paramètres!$A$1:$I$89,3,0)*0.475*44/12</f>
        <v>0.5113451608635371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5.9526727778826842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77.885897614924062</v>
      </c>
      <c r="CZ152" s="62">
        <f t="shared" si="150"/>
        <v>401.02460251355296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6.2583959812360828</v>
      </c>
      <c r="DG152" s="23">
        <f>EXP(-LN(2)/25)*DG151+(1-EXP(-LN(2)/25))/(LN(2)/25)*Calculateur!DB152*Calculateur!DD152*VLOOKUP('Données projet'!$B$13,Paramètres!$A$1:$I$89,3,0)*0.475*44/12</f>
        <v>0.58812861952355633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6.846524600759639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79.532301588639172</v>
      </c>
      <c r="DU152" s="62">
        <f t="shared" si="152"/>
        <v>409.2657792678549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6.3974714474857759</v>
      </c>
      <c r="EB152" s="23">
        <f>EXP(-LN(2)/25)*EB151+(1-EXP(-LN(2)/25))/(LN(2)/25)*Calculateur!DW152*Calculateur!DY152*VLOOKUP('Données projet'!$B$14,Paramètres!$A$1:$I$89,3,0)*0.475*44/12</f>
        <v>0.60119814440185748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6.9986695918876336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77.885897614924062</v>
      </c>
      <c r="EP152" s="62">
        <f t="shared" si="154"/>
        <v>401.02460251355296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6.2583959812360828</v>
      </c>
      <c r="EW152" s="23">
        <f>EXP(-LN(2)/25)*EW151+(1-EXP(-LN(2)/25))/(LN(2)/25)*Calculateur!ER152*Calculateur!ET152*VLOOKUP('Données projet'!$B$15,Paramètres!$A$1:$I$89,3,0)*0.475*44/12</f>
        <v>0.58812861952355633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6.846524600759639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426.87921482911719</v>
      </c>
      <c r="T153" s="62">
        <f t="shared" si="142"/>
        <v>313.49594674441835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286.69302227186353</v>
      </c>
      <c r="AN153" s="62">
        <f ca="1">AVERAGE(OFFSET($AM$3,0,0,'Données projet'!$E$10+1,1))-AVERAGE(OFFSET($H$3,0,0,'Données projet'!$E$10+1,1))</f>
        <v>462.95686283420531</v>
      </c>
      <c r="AO153" s="62">
        <f t="shared" si="144"/>
        <v>275.54513370838777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6.8212102632969618E-13</v>
      </c>
      <c r="BE153" s="14">
        <f>BD153*VLOOKUP('Données projet'!$B$11,Paramètres!$A$1:$I$89,3,0)*VLOOKUP('Données projet'!$B$11,Paramètres!$A$1:$I$89,5,0)</f>
        <v>4.0790837374515837E-13</v>
      </c>
      <c r="BF153" s="14">
        <f t="shared" si="145"/>
        <v>5.2028966193600884E-12</v>
      </c>
      <c r="BG153" s="22">
        <f t="shared" si="115"/>
        <v>9.7721520296583044E-12</v>
      </c>
      <c r="BH153" s="62">
        <f t="shared" si="116"/>
        <v>286.69302227187012</v>
      </c>
      <c r="BI153" s="62">
        <f ca="1">AVERAGE(OFFSET($BH$3,0,0,'Données projet'!$E$11+1,1))-AVERAGE(OFFSET($H$3,0,0,'Données projet'!$E$11+1,1))</f>
        <v>505.16888119060701</v>
      </c>
      <c r="BJ153" s="62">
        <f t="shared" si="146"/>
        <v>351.15312364640613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1.3048380296114249E-17</v>
      </c>
      <c r="BS153" s="24">
        <f t="shared" si="117"/>
        <v>1.3048380296114249E-17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68.195506926115257</v>
      </c>
      <c r="CE153" s="62">
        <f t="shared" si="148"/>
        <v>352.52565673897004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5.3346265013315355</v>
      </c>
      <c r="CL153" s="23">
        <f>EXP(-LN(2)/25)*CL152+(1-EXP(-LN(2)/25))/(LN(2)/25)*Calculateur!CG153*Calculateur!CI153*VLOOKUP('Données projet'!$B$12,Paramètres!$A$1:$I$89,3,0)*0.475*44/12</f>
        <v>0.49736240054925035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5.831988901880786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77.885897614924062</v>
      </c>
      <c r="CZ153" s="62">
        <f t="shared" si="150"/>
        <v>401.02460251355296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6.1356726532886698</v>
      </c>
      <c r="DG153" s="23">
        <f>EXP(-LN(2)/25)*DG152+(1-EXP(-LN(2)/25))/(LN(2)/25)*Calculateur!DB153*Calculateur!DD153*VLOOKUP('Données projet'!$B$13,Paramètres!$A$1:$I$89,3,0)*0.475*44/12</f>
        <v>0.57204621149434476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6.7077188647830148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79.532301588639172</v>
      </c>
      <c r="DU153" s="62">
        <f t="shared" si="152"/>
        <v>409.2657792678549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6.2720209344728648</v>
      </c>
      <c r="EB153" s="23">
        <f>EXP(-LN(2)/25)*EB152+(1-EXP(-LN(2)/25))/(LN(2)/25)*Calculateur!DW153*Calculateur!DY153*VLOOKUP('Données projet'!$B$14,Paramètres!$A$1:$I$89,3,0)*0.475*44/12</f>
        <v>0.58475834952755235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6.8567792840004174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77.885897614924062</v>
      </c>
      <c r="EP153" s="62">
        <f t="shared" si="154"/>
        <v>401.02460251355296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6.1356726532886698</v>
      </c>
      <c r="EW153" s="23">
        <f>EXP(-LN(2)/25)*EW152+(1-EXP(-LN(2)/25))/(LN(2)/25)*Calculateur!ER153*Calculateur!ET153*VLOOKUP('Données projet'!$B$15,Paramètres!$A$1:$I$89,3,0)*0.475*44/12</f>
        <v>0.57204621149434476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6.7077188647830148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426.87921482911719</v>
      </c>
      <c r="T154" s="62">
        <f t="shared" si="142"/>
        <v>313.49594674441835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286.80821682326854</v>
      </c>
      <c r="AN154" s="62">
        <f ca="1">AVERAGE(OFFSET($AM$3,0,0,'Données projet'!$E$10+1,1))-AVERAGE(OFFSET($H$3,0,0,'Données projet'!$E$10+1,1))</f>
        <v>462.95686283420531</v>
      </c>
      <c r="AO154" s="62">
        <f t="shared" si="144"/>
        <v>275.54513370838777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6.8212102632969618E-13</v>
      </c>
      <c r="BE154" s="14">
        <f>BD154*VLOOKUP('Données projet'!$B$11,Paramètres!$A$1:$I$89,3,0)*VLOOKUP('Données projet'!$B$11,Paramètres!$A$1:$I$89,5,0)</f>
        <v>4.0790837374515837E-13</v>
      </c>
      <c r="BF154" s="14">
        <f t="shared" ref="BF154:BF203" si="167">EXP(-1.0587+0.8836*LN(BE154)+0.284)</f>
        <v>5.2028966193600884E-12</v>
      </c>
      <c r="BG154" s="22">
        <f t="shared" ref="BG154:BG203" si="168">(BE154+BF154)*0.475*44/12</f>
        <v>9.7721520296583044E-12</v>
      </c>
      <c r="BH154" s="62">
        <f t="shared" si="116"/>
        <v>286.80821682327513</v>
      </c>
      <c r="BI154" s="62">
        <f ca="1">AVERAGE(OFFSET($BH$3,0,0,'Données projet'!$E$11+1,1))-AVERAGE(OFFSET($H$3,0,0,'Données projet'!$E$11+1,1))</f>
        <v>505.16888119060701</v>
      </c>
      <c r="BJ154" s="62">
        <f t="shared" si="146"/>
        <v>351.15312364640613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9.2265981908833165E-18</v>
      </c>
      <c r="BS154" s="24">
        <f t="shared" ref="BS154:BS203" si="169">SUM(BP154:BR154)</f>
        <v>9.2265981908833165E-18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68.195506926115257</v>
      </c>
      <c r="CE154" s="62">
        <f t="shared" si="148"/>
        <v>352.52565673897004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5.2300177294413039</v>
      </c>
      <c r="CL154" s="23">
        <f>EXP(-LN(2)/25)*CL153+(1-EXP(-LN(2)/25))/(LN(2)/25)*Calculateur!CG154*Calculateur!CI154*VLOOKUP('Données projet'!$B$12,Paramètres!$A$1:$I$89,3,0)*0.475*44/12</f>
        <v>0.48376199955107918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5.7137797289923835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77.885897614924062</v>
      </c>
      <c r="CZ154" s="62">
        <f t="shared" si="150"/>
        <v>401.02460251355296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6.0153558549484671</v>
      </c>
      <c r="DG154" s="23">
        <f>EXP(-LN(2)/25)*DG153+(1-EXP(-LN(2)/25))/(LN(2)/25)*Calculateur!DB154*Calculateur!DD154*VLOOKUP('Données projet'!$B$13,Paramètres!$A$1:$I$89,3,0)*0.475*44/12</f>
        <v>0.55640357775842908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6.5717594327068962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79.532301588639172</v>
      </c>
      <c r="DU154" s="62">
        <f t="shared" si="152"/>
        <v>409.2657792678549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6.1490304295028801</v>
      </c>
      <c r="EB154" s="23">
        <f>EXP(-LN(2)/25)*EB153+(1-EXP(-LN(2)/25))/(LN(2)/25)*Calculateur!DW154*Calculateur!DY154*VLOOKUP('Données projet'!$B$14,Paramètres!$A$1:$I$89,3,0)*0.475*44/12</f>
        <v>0.56876810170861636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6.7177985312114963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77.885897614924062</v>
      </c>
      <c r="EP154" s="62">
        <f t="shared" si="154"/>
        <v>401.02460251355296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6.0153558549484671</v>
      </c>
      <c r="EW154" s="23">
        <f>EXP(-LN(2)/25)*EW153+(1-EXP(-LN(2)/25))/(LN(2)/25)*Calculateur!ER154*Calculateur!ET154*VLOOKUP('Données projet'!$B$15,Paramètres!$A$1:$I$89,3,0)*0.475*44/12</f>
        <v>0.55640357775842908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6.5717594327068962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426.87921482911719</v>
      </c>
      <c r="T155" s="62">
        <f t="shared" si="142"/>
        <v>313.49594674441835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286.92141300674308</v>
      </c>
      <c r="AN155" s="62">
        <f ca="1">AVERAGE(OFFSET($AM$3,0,0,'Données projet'!$E$10+1,1))-AVERAGE(OFFSET($H$3,0,0,'Données projet'!$E$10+1,1))</f>
        <v>462.95686283420531</v>
      </c>
      <c r="AO155" s="62">
        <f t="shared" si="144"/>
        <v>275.54513370838777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6.8212102632969618E-13</v>
      </c>
      <c r="BE155" s="14">
        <f>BD155*VLOOKUP('Données projet'!$B$11,Paramètres!$A$1:$I$89,3,0)*VLOOKUP('Données projet'!$B$11,Paramètres!$A$1:$I$89,5,0)</f>
        <v>4.0790837374515837E-13</v>
      </c>
      <c r="BF155" s="14">
        <f t="shared" si="167"/>
        <v>5.2028966193600884E-12</v>
      </c>
      <c r="BG155" s="22">
        <f t="shared" si="168"/>
        <v>9.7721520296583044E-12</v>
      </c>
      <c r="BH155" s="62">
        <f t="shared" si="116"/>
        <v>286.92141300674967</v>
      </c>
      <c r="BI155" s="62">
        <f ca="1">AVERAGE(OFFSET($BH$3,0,0,'Données projet'!$E$11+1,1))-AVERAGE(OFFSET($H$3,0,0,'Données projet'!$E$11+1,1))</f>
        <v>505.16888119060701</v>
      </c>
      <c r="BJ155" s="62">
        <f t="shared" si="146"/>
        <v>351.15312364640613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6.5241901480571246E-18</v>
      </c>
      <c r="BS155" s="24">
        <f t="shared" si="169"/>
        <v>6.5241901480571246E-18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68.195506926115257</v>
      </c>
      <c r="CE155" s="62">
        <f t="shared" si="148"/>
        <v>352.52565673897004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5.1274602717627893</v>
      </c>
      <c r="CL155" s="23">
        <f>EXP(-LN(2)/25)*CL154+(1-EXP(-LN(2)/25))/(LN(2)/25)*Calculateur!CG155*Calculateur!CI155*VLOOKUP('Données projet'!$B$12,Paramètres!$A$1:$I$89,3,0)*0.475*44/12</f>
        <v>0.470533502233417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5.5979937739962065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77.885897614924062</v>
      </c>
      <c r="CZ155" s="62">
        <f t="shared" si="150"/>
        <v>401.02460251355296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5.8973983956377154</v>
      </c>
      <c r="DG155" s="23">
        <f>EXP(-LN(2)/25)*DG154+(1-EXP(-LN(2)/25))/(LN(2)/25)*Calculateur!DB155*Calculateur!DD155*VLOOKUP('Données projet'!$B$13,Paramètres!$A$1:$I$89,3,0)*0.475*44/12</f>
        <v>0.54118869266463232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6.4385870883023477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79.532301588639172</v>
      </c>
      <c r="DU155" s="62">
        <f t="shared" si="152"/>
        <v>409.2657792678549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6.0284516933185559</v>
      </c>
      <c r="EB155" s="23">
        <f>EXP(-LN(2)/25)*EB154+(1-EXP(-LN(2)/25))/(LN(2)/25)*Calculateur!DW155*Calculateur!DY155*VLOOKUP('Données projet'!$B$14,Paramètres!$A$1:$I$89,3,0)*0.475*44/12</f>
        <v>0.55321510805717966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6.5816668013757358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77.885897614924062</v>
      </c>
      <c r="EP155" s="62">
        <f t="shared" si="154"/>
        <v>401.02460251355296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5.8973983956377154</v>
      </c>
      <c r="EW155" s="23">
        <f>EXP(-LN(2)/25)*EW154+(1-EXP(-LN(2)/25))/(LN(2)/25)*Calculateur!ER155*Calculateur!ET155*VLOOKUP('Données projet'!$B$15,Paramètres!$A$1:$I$89,3,0)*0.475*44/12</f>
        <v>0.54118869266463232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6.4385870883023477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426.87921482911719</v>
      </c>
      <c r="T156" s="62">
        <f t="shared" si="142"/>
        <v>313.49594674441835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287.03264548950318</v>
      </c>
      <c r="AN156" s="62">
        <f ca="1">AVERAGE(OFFSET($AM$3,0,0,'Données projet'!$E$10+1,1))-AVERAGE(OFFSET($H$3,0,0,'Données projet'!$E$10+1,1))</f>
        <v>462.95686283420531</v>
      </c>
      <c r="AO156" s="62">
        <f t="shared" si="144"/>
        <v>275.54513370838777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6.8212102632969618E-13</v>
      </c>
      <c r="BE156" s="14">
        <f>BD156*VLOOKUP('Données projet'!$B$11,Paramètres!$A$1:$I$89,3,0)*VLOOKUP('Données projet'!$B$11,Paramètres!$A$1:$I$89,5,0)</f>
        <v>4.0790837374515837E-13</v>
      </c>
      <c r="BF156" s="14">
        <f t="shared" si="167"/>
        <v>5.2028966193600884E-12</v>
      </c>
      <c r="BG156" s="22">
        <f t="shared" si="168"/>
        <v>9.7721520296583044E-12</v>
      </c>
      <c r="BH156" s="62">
        <f t="shared" si="116"/>
        <v>287.03264548950978</v>
      </c>
      <c r="BI156" s="62">
        <f ca="1">AVERAGE(OFFSET($BH$3,0,0,'Données projet'!$E$11+1,1))-AVERAGE(OFFSET($H$3,0,0,'Données projet'!$E$11+1,1))</f>
        <v>505.16888119060701</v>
      </c>
      <c r="BJ156" s="62">
        <f t="shared" si="146"/>
        <v>351.15312364640613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4.6132990954416582E-18</v>
      </c>
      <c r="BS156" s="24">
        <f t="shared" si="169"/>
        <v>4.6132990954416582E-18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68.195506926115257</v>
      </c>
      <c r="CE156" s="62">
        <f t="shared" si="148"/>
        <v>352.52565673897004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5.0269139032754779</v>
      </c>
      <c r="CL156" s="23">
        <f>EXP(-LN(2)/25)*CL155+(1-EXP(-LN(2)/25))/(LN(2)/25)*Calculateur!CG156*Calculateur!CI156*VLOOKUP('Données projet'!$B$12,Paramètres!$A$1:$I$89,3,0)*0.475*44/12</f>
        <v>0.45766673887056275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5.4845806421460406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77.885897614924062</v>
      </c>
      <c r="CZ156" s="62">
        <f t="shared" si="150"/>
        <v>401.02460251355296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5.7817540101571012</v>
      </c>
      <c r="DG156" s="23">
        <f>EXP(-LN(2)/25)*DG155+(1-EXP(-LN(2)/25))/(LN(2)/25)*Calculateur!DB156*Calculateur!DD156*VLOOKUP('Données projet'!$B$13,Paramètres!$A$1:$I$89,3,0)*0.475*44/12</f>
        <v>0.52638985940384153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6.3081438695609426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79.532301588639172</v>
      </c>
      <c r="DU156" s="62">
        <f t="shared" si="152"/>
        <v>409.2657792678549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5.9102374326050393</v>
      </c>
      <c r="EB156" s="23">
        <f>EXP(-LN(2)/25)*EB155+(1-EXP(-LN(2)/25))/(LN(2)/25)*Calculateur!DW156*Calculateur!DY156*VLOOKUP('Données projet'!$B$14,Paramètres!$A$1:$I$89,3,0)*0.475*44/12</f>
        <v>0.53808741183503794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6.4483248444400774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77.885897614924062</v>
      </c>
      <c r="EP156" s="62">
        <f t="shared" si="154"/>
        <v>401.02460251355296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5.7817540101571012</v>
      </c>
      <c r="EW156" s="23">
        <f>EXP(-LN(2)/25)*EW155+(1-EXP(-LN(2)/25))/(LN(2)/25)*Calculateur!ER156*Calculateur!ET156*VLOOKUP('Données projet'!$B$15,Paramètres!$A$1:$I$89,3,0)*0.475*44/12</f>
        <v>0.52638985940384153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6.3081438695609426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426.87921482911719</v>
      </c>
      <c r="T157" s="62">
        <f t="shared" si="142"/>
        <v>313.49594674441835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287.14194833736593</v>
      </c>
      <c r="AN157" s="62">
        <f ca="1">AVERAGE(OFFSET($AM$3,0,0,'Données projet'!$E$10+1,1))-AVERAGE(OFFSET($H$3,0,0,'Données projet'!$E$10+1,1))</f>
        <v>462.95686283420531</v>
      </c>
      <c r="AO157" s="62">
        <f t="shared" si="144"/>
        <v>275.54513370838777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6.8212102632969618E-13</v>
      </c>
      <c r="BE157" s="14">
        <f>BD157*VLOOKUP('Données projet'!$B$11,Paramètres!$A$1:$I$89,3,0)*VLOOKUP('Données projet'!$B$11,Paramètres!$A$1:$I$89,5,0)</f>
        <v>4.0790837374515837E-13</v>
      </c>
      <c r="BF157" s="14">
        <f t="shared" si="167"/>
        <v>5.2028966193600884E-12</v>
      </c>
      <c r="BG157" s="22">
        <f t="shared" si="168"/>
        <v>9.7721520296583044E-12</v>
      </c>
      <c r="BH157" s="62">
        <f t="shared" si="116"/>
        <v>287.14194833737253</v>
      </c>
      <c r="BI157" s="62">
        <f ca="1">AVERAGE(OFFSET($BH$3,0,0,'Données projet'!$E$11+1,1))-AVERAGE(OFFSET($H$3,0,0,'Données projet'!$E$11+1,1))</f>
        <v>505.16888119060701</v>
      </c>
      <c r="BJ157" s="62">
        <f t="shared" si="146"/>
        <v>351.15312364640613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3.2620950740285623E-18</v>
      </c>
      <c r="BS157" s="24">
        <f t="shared" si="169"/>
        <v>3.2620950740285623E-18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68.195506926115257</v>
      </c>
      <c r="CE157" s="62">
        <f t="shared" si="148"/>
        <v>352.52565673897004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4.9283391877469729</v>
      </c>
      <c r="CL157" s="23">
        <f>EXP(-LN(2)/25)*CL156+(1-EXP(-LN(2)/25))/(LN(2)/25)*Calculateur!CG157*Calculateur!CI157*VLOOKUP('Données projet'!$B$12,Paramètres!$A$1:$I$89,3,0)*0.475*44/12</f>
        <v>0.44515181782849944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5.3734910055754721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77.885897614924062</v>
      </c>
      <c r="CZ157" s="62">
        <f t="shared" si="150"/>
        <v>401.02460251355296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5.6683773405396511</v>
      </c>
      <c r="DG157" s="23">
        <f>EXP(-LN(2)/25)*DG156+(1-EXP(-LN(2)/25))/(LN(2)/25)*Calculateur!DB157*Calculateur!DD157*VLOOKUP('Données projet'!$B$13,Paramètres!$A$1:$I$89,3,0)*0.475*44/12</f>
        <v>0.51199570101680381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6.1803730415564546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79.532301588639172</v>
      </c>
      <c r="DU157" s="62">
        <f t="shared" si="152"/>
        <v>409.2657792678549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5.7943412814405351</v>
      </c>
      <c r="EB157" s="23">
        <f>EXP(-LN(2)/25)*EB156+(1-EXP(-LN(2)/25))/(LN(2)/25)*Calculateur!DW157*Calculateur!DY157*VLOOKUP('Données projet'!$B$14,Paramètres!$A$1:$I$89,3,0)*0.475*44/12</f>
        <v>0.52337338326162164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6.3177146647021569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77.885897614924062</v>
      </c>
      <c r="EP157" s="62">
        <f t="shared" si="154"/>
        <v>401.02460251355296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5.6683773405396511</v>
      </c>
      <c r="EW157" s="23">
        <f>EXP(-LN(2)/25)*EW156+(1-EXP(-LN(2)/25))/(LN(2)/25)*Calculateur!ER157*Calculateur!ET157*VLOOKUP('Données projet'!$B$15,Paramètres!$A$1:$I$89,3,0)*0.475*44/12</f>
        <v>0.51199570101680381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6.1803730415564546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426.87921482911719</v>
      </c>
      <c r="T158" s="62">
        <f t="shared" si="142"/>
        <v>313.49594674441835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287.24935502518287</v>
      </c>
      <c r="AN158" s="62">
        <f ca="1">AVERAGE(OFFSET($AM$3,0,0,'Données projet'!$E$10+1,1))-AVERAGE(OFFSET($H$3,0,0,'Données projet'!$E$10+1,1))</f>
        <v>462.95686283420531</v>
      </c>
      <c r="AO158" s="62">
        <f t="shared" si="144"/>
        <v>275.54513370838777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6.8212102632969618E-13</v>
      </c>
      <c r="BE158" s="14">
        <f>BD158*VLOOKUP('Données projet'!$B$11,Paramètres!$A$1:$I$89,3,0)*VLOOKUP('Données projet'!$B$11,Paramètres!$A$1:$I$89,5,0)</f>
        <v>4.0790837374515837E-13</v>
      </c>
      <c r="BF158" s="14">
        <f t="shared" si="167"/>
        <v>5.2028966193600884E-12</v>
      </c>
      <c r="BG158" s="22">
        <f t="shared" si="168"/>
        <v>9.7721520296583044E-12</v>
      </c>
      <c r="BH158" s="62">
        <f t="shared" si="116"/>
        <v>287.24935502518946</v>
      </c>
      <c r="BI158" s="62">
        <f ca="1">AVERAGE(OFFSET($BH$3,0,0,'Données projet'!$E$11+1,1))-AVERAGE(OFFSET($H$3,0,0,'Données projet'!$E$11+1,1))</f>
        <v>505.16888119060701</v>
      </c>
      <c r="BJ158" s="62">
        <f t="shared" si="146"/>
        <v>351.15312364640613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2.3066495477208291E-18</v>
      </c>
      <c r="BS158" s="24">
        <f t="shared" si="169"/>
        <v>2.3066495477208291E-18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68.195506926115257</v>
      </c>
      <c r="CE158" s="62">
        <f t="shared" si="148"/>
        <v>352.52565673897004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4.8316974622653426</v>
      </c>
      <c r="CL158" s="23">
        <f>EXP(-LN(2)/25)*CL157+(1-EXP(-LN(2)/25))/(LN(2)/25)*Calculateur!CG158*Calculateur!CI158*VLOOKUP('Données projet'!$B$12,Paramètres!$A$1:$I$89,3,0)*0.475*44/12</f>
        <v>0.43297911796046246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5.2646765802258049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77.885897614924062</v>
      </c>
      <c r="CZ158" s="62">
        <f t="shared" si="150"/>
        <v>401.02460251355296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5.5572239182604593</v>
      </c>
      <c r="DG158" s="23">
        <f>EXP(-LN(2)/25)*DG157+(1-EXP(-LN(2)/25))/(LN(2)/25)*Calculateur!DB158*Calculateur!DD158*VLOOKUP('Données projet'!$B$13,Paramètres!$A$1:$I$89,3,0)*0.475*44/12</f>
        <v>0.49799515164781555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6.0552190699082749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79.532301588639172</v>
      </c>
      <c r="DU158" s="62">
        <f t="shared" si="152"/>
        <v>409.2657792678549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5.680717783110695</v>
      </c>
      <c r="EB158" s="23">
        <f>EXP(-LN(2)/25)*EB157+(1-EXP(-LN(2)/25))/(LN(2)/25)*Calculateur!DW158*Calculateur!DY158*VLOOKUP('Données projet'!$B$14,Paramètres!$A$1:$I$89,3,0)*0.475*44/12</f>
        <v>0.5090617105733225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6.1897794936840178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77.885897614924062</v>
      </c>
      <c r="EP158" s="62">
        <f t="shared" si="154"/>
        <v>401.02460251355296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5.5572239182604593</v>
      </c>
      <c r="EW158" s="23">
        <f>EXP(-LN(2)/25)*EW157+(1-EXP(-LN(2)/25))/(LN(2)/25)*Calculateur!ER158*Calculateur!ET158*VLOOKUP('Données projet'!$B$15,Paramètres!$A$1:$I$89,3,0)*0.475*44/12</f>
        <v>0.49799515164781555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6.0552190699082749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426.87921482911719</v>
      </c>
      <c r="T159" s="62">
        <f t="shared" si="142"/>
        <v>313.49594674441835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287.3548984470915</v>
      </c>
      <c r="AN159" s="62">
        <f ca="1">AVERAGE(OFFSET($AM$3,0,0,'Données projet'!$E$10+1,1))-AVERAGE(OFFSET($H$3,0,0,'Données projet'!$E$10+1,1))</f>
        <v>462.95686283420531</v>
      </c>
      <c r="AO159" s="62">
        <f t="shared" si="144"/>
        <v>275.54513370838777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6.8212102632969618E-13</v>
      </c>
      <c r="BE159" s="14">
        <f>BD159*VLOOKUP('Données projet'!$B$11,Paramètres!$A$1:$I$89,3,0)*VLOOKUP('Données projet'!$B$11,Paramètres!$A$1:$I$89,5,0)</f>
        <v>4.0790837374515837E-13</v>
      </c>
      <c r="BF159" s="14">
        <f t="shared" si="167"/>
        <v>5.2028966193600884E-12</v>
      </c>
      <c r="BG159" s="22">
        <f t="shared" si="168"/>
        <v>9.7721520296583044E-12</v>
      </c>
      <c r="BH159" s="62">
        <f t="shared" si="116"/>
        <v>287.35489844709809</v>
      </c>
      <c r="BI159" s="62">
        <f ca="1">AVERAGE(OFFSET($BH$3,0,0,'Données projet'!$E$11+1,1))-AVERAGE(OFFSET($H$3,0,0,'Données projet'!$E$11+1,1))</f>
        <v>505.16888119060701</v>
      </c>
      <c r="BJ159" s="62">
        <f t="shared" si="146"/>
        <v>351.15312364640613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1.6310475370142811E-18</v>
      </c>
      <c r="BS159" s="24">
        <f t="shared" si="169"/>
        <v>1.6310475370142811E-18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68.195506926115257</v>
      </c>
      <c r="CE159" s="62">
        <f t="shared" si="148"/>
        <v>352.52565673897004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4.7369508220747747</v>
      </c>
      <c r="CL159" s="23">
        <f>EXP(-LN(2)/25)*CL158+(1-EXP(-LN(2)/25))/(LN(2)/25)*Calculateur!CG159*Calculateur!CI159*VLOOKUP('Données projet'!$B$12,Paramètres!$A$1:$I$89,3,0)*0.475*44/12</f>
        <v>0.42113928121045141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5.1580901032852262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77.885897614924062</v>
      </c>
      <c r="CZ159" s="62">
        <f t="shared" si="150"/>
        <v>401.02460251355296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5.4482501467952691</v>
      </c>
      <c r="DG159" s="23">
        <f>EXP(-LN(2)/25)*DG158+(1-EXP(-LN(2)/25))/(LN(2)/25)*Calculateur!DB159*Calculateur!DD159*VLOOKUP('Données projet'!$B$13,Paramètres!$A$1:$I$89,3,0)*0.475*44/12</f>
        <v>0.48437744803757921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5.932627594832848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79.532301588639172</v>
      </c>
      <c r="DU159" s="62">
        <f t="shared" si="152"/>
        <v>409.2657792678549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5.5693223722796121</v>
      </c>
      <c r="EB159" s="23">
        <f>EXP(-LN(2)/25)*EB158+(1-EXP(-LN(2)/25))/(LN(2)/25)*Calculateur!DW159*Calculateur!DY159*VLOOKUP('Données projet'!$B$14,Paramètres!$A$1:$I$89,3,0)*0.475*44/12</f>
        <v>0.49514139132730312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6.0644637636069154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77.885897614924062</v>
      </c>
      <c r="EP159" s="62">
        <f t="shared" si="154"/>
        <v>401.02460251355296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5.4482501467952691</v>
      </c>
      <c r="EW159" s="23">
        <f>EXP(-LN(2)/25)*EW158+(1-EXP(-LN(2)/25))/(LN(2)/25)*Calculateur!ER159*Calculateur!ET159*VLOOKUP('Données projet'!$B$15,Paramètres!$A$1:$I$89,3,0)*0.475*44/12</f>
        <v>0.48437744803757921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5.932627594832848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426.87921482911719</v>
      </c>
      <c r="T160" s="62">
        <f t="shared" si="142"/>
        <v>313.49594674441835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287.45861092658976</v>
      </c>
      <c r="AN160" s="62">
        <f ca="1">AVERAGE(OFFSET($AM$3,0,0,'Données projet'!$E$10+1,1))-AVERAGE(OFFSET($H$3,0,0,'Données projet'!$E$10+1,1))</f>
        <v>462.95686283420531</v>
      </c>
      <c r="AO160" s="62">
        <f t="shared" si="144"/>
        <v>275.54513370838777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6.8212102632969618E-13</v>
      </c>
      <c r="BE160" s="14">
        <f>BD160*VLOOKUP('Données projet'!$B$11,Paramètres!$A$1:$I$89,3,0)*VLOOKUP('Données projet'!$B$11,Paramètres!$A$1:$I$89,5,0)</f>
        <v>4.0790837374515837E-13</v>
      </c>
      <c r="BF160" s="14">
        <f t="shared" si="167"/>
        <v>5.2028966193600884E-12</v>
      </c>
      <c r="BG160" s="22">
        <f t="shared" si="168"/>
        <v>9.7721520296583044E-12</v>
      </c>
      <c r="BH160" s="62">
        <f t="shared" si="116"/>
        <v>287.45861092659635</v>
      </c>
      <c r="BI160" s="62">
        <f ca="1">AVERAGE(OFFSET($BH$3,0,0,'Données projet'!$E$11+1,1))-AVERAGE(OFFSET($H$3,0,0,'Données projet'!$E$11+1,1))</f>
        <v>505.16888119060701</v>
      </c>
      <c r="BJ160" s="62">
        <f t="shared" si="146"/>
        <v>351.15312364640613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1.1533247738604146E-18</v>
      </c>
      <c r="BS160" s="24">
        <f t="shared" si="169"/>
        <v>1.1533247738604146E-18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68.195506926115257</v>
      </c>
      <c r="CE160" s="62">
        <f t="shared" si="148"/>
        <v>352.52565673897004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4.6440621057086</v>
      </c>
      <c r="CL160" s="23">
        <f>EXP(-LN(2)/25)*CL159+(1-EXP(-LN(2)/25))/(LN(2)/25)*Calculateur!CG160*Calculateur!CI160*VLOOKUP('Données projet'!$B$12,Paramètres!$A$1:$I$89,3,0)*0.475*44/12</f>
        <v>0.40962320541899933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5.053685311127599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77.885897614924062</v>
      </c>
      <c r="CZ160" s="62">
        <f t="shared" si="150"/>
        <v>401.02460251355296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5.3414132845210744</v>
      </c>
      <c r="DG160" s="23">
        <f>EXP(-LN(2)/25)*DG159+(1-EXP(-LN(2)/25))/(LN(2)/25)*Calculateur!DB160*Calculateur!DD160*VLOOKUP('Données projet'!$B$13,Paramètres!$A$1:$I$89,3,0)*0.475*44/12</f>
        <v>0.4711321212486887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5.8125454057697628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79.532301588639172</v>
      </c>
      <c r="DU160" s="62">
        <f t="shared" si="152"/>
        <v>409.2657792678549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5.460111357510435</v>
      </c>
      <c r="EB160" s="23">
        <f>EXP(-LN(2)/25)*EB159+(1-EXP(-LN(2)/25))/(LN(2)/25)*Calculateur!DW160*Calculateur!DY160*VLOOKUP('Données projet'!$B$14,Paramètres!$A$1:$I$89,3,0)*0.475*44/12</f>
        <v>0.48160172394310391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5.941713081453539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77.885897614924062</v>
      </c>
      <c r="EP160" s="62">
        <f t="shared" si="154"/>
        <v>401.02460251355296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5.3414132845210744</v>
      </c>
      <c r="EW160" s="23">
        <f>EXP(-LN(2)/25)*EW159+(1-EXP(-LN(2)/25))/(LN(2)/25)*Calculateur!ER160*Calculateur!ET160*VLOOKUP('Données projet'!$B$15,Paramètres!$A$1:$I$89,3,0)*0.475*44/12</f>
        <v>0.4711321212486887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5.8125454057697628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426.87921482911719</v>
      </c>
      <c r="T161" s="62">
        <f t="shared" si="142"/>
        <v>313.49594674441835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287.56052422643518</v>
      </c>
      <c r="AN161" s="62">
        <f ca="1">AVERAGE(OFFSET($AM$3,0,0,'Données projet'!$E$10+1,1))-AVERAGE(OFFSET($H$3,0,0,'Données projet'!$E$10+1,1))</f>
        <v>462.95686283420531</v>
      </c>
      <c r="AO161" s="62">
        <f t="shared" si="144"/>
        <v>275.54513370838777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6.8212102632969618E-13</v>
      </c>
      <c r="BE161" s="14">
        <f>BD161*VLOOKUP('Données projet'!$B$11,Paramètres!$A$1:$I$89,3,0)*VLOOKUP('Données projet'!$B$11,Paramètres!$A$1:$I$89,5,0)</f>
        <v>4.0790837374515837E-13</v>
      </c>
      <c r="BF161" s="14">
        <f t="shared" si="167"/>
        <v>5.2028966193600884E-12</v>
      </c>
      <c r="BG161" s="22">
        <f t="shared" si="168"/>
        <v>9.7721520296583044E-12</v>
      </c>
      <c r="BH161" s="62">
        <f t="shared" si="116"/>
        <v>287.56052422644177</v>
      </c>
      <c r="BI161" s="62">
        <f ca="1">AVERAGE(OFFSET($BH$3,0,0,'Données projet'!$E$11+1,1))-AVERAGE(OFFSET($H$3,0,0,'Données projet'!$E$11+1,1))</f>
        <v>505.16888119060701</v>
      </c>
      <c r="BJ161" s="62">
        <f t="shared" si="146"/>
        <v>351.15312364640613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8.1552376850714057E-19</v>
      </c>
      <c r="BS161" s="24">
        <f t="shared" si="169"/>
        <v>8.1552376850714057E-19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68.195506926115257</v>
      </c>
      <c r="CE161" s="62">
        <f t="shared" si="148"/>
        <v>352.52565673897004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4.5529948804138431</v>
      </c>
      <c r="CL161" s="23">
        <f>EXP(-LN(2)/25)*CL160+(1-EXP(-LN(2)/25))/(LN(2)/25)*Calculateur!CG161*Calculateur!CI161*VLOOKUP('Données projet'!$B$12,Paramètres!$A$1:$I$89,3,0)*0.475*44/12</f>
        <v>0.39842203732566861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4.951416917739512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77.885897614924062</v>
      </c>
      <c r="CZ161" s="62">
        <f t="shared" si="150"/>
        <v>401.02460251355296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5.2366714279520252</v>
      </c>
      <c r="DG161" s="23">
        <f>EXP(-LN(2)/25)*DG160+(1-EXP(-LN(2)/25))/(LN(2)/25)*Calculateur!DB161*Calculateur!DD161*VLOOKUP('Données projet'!$B$13,Paramètres!$A$1:$I$89,3,0)*0.475*44/12</f>
        <v>0.45824898861738184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5.6949204165694072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79.532301588639172</v>
      </c>
      <c r="DU161" s="62">
        <f t="shared" si="152"/>
        <v>409.2657792678549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5.35304190412874</v>
      </c>
      <c r="EB161" s="23">
        <f>EXP(-LN(2)/25)*EB160+(1-EXP(-LN(2)/25))/(LN(2)/25)*Calculateur!DW161*Calculateur!DY161*VLOOKUP('Données projet'!$B$14,Paramètres!$A$1:$I$89,3,0)*0.475*44/12</f>
        <v>0.46843229947554577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5.8214742036042857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77.885897614924062</v>
      </c>
      <c r="EP161" s="62">
        <f t="shared" si="154"/>
        <v>401.02460251355296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5.2366714279520252</v>
      </c>
      <c r="EW161" s="23">
        <f>EXP(-LN(2)/25)*EW160+(1-EXP(-LN(2)/25))/(LN(2)/25)*Calculateur!ER161*Calculateur!ET161*VLOOKUP('Données projet'!$B$15,Paramètres!$A$1:$I$89,3,0)*0.475*44/12</f>
        <v>0.45824898861738184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5.6949204165694072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426.87921482911719</v>
      </c>
      <c r="T162" s="62">
        <f t="shared" si="142"/>
        <v>313.49594674441835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287.66066955837215</v>
      </c>
      <c r="AN162" s="62">
        <f ca="1">AVERAGE(OFFSET($AM$3,0,0,'Données projet'!$E$10+1,1))-AVERAGE(OFFSET($H$3,0,0,'Données projet'!$E$10+1,1))</f>
        <v>462.95686283420531</v>
      </c>
      <c r="AO162" s="62">
        <f t="shared" si="144"/>
        <v>275.54513370838777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6.8212102632969618E-13</v>
      </c>
      <c r="BE162" s="14">
        <f>BD162*VLOOKUP('Données projet'!$B$11,Paramètres!$A$1:$I$89,3,0)*VLOOKUP('Données projet'!$B$11,Paramètres!$A$1:$I$89,5,0)</f>
        <v>4.0790837374515837E-13</v>
      </c>
      <c r="BF162" s="14">
        <f t="shared" si="167"/>
        <v>5.2028966193600884E-12</v>
      </c>
      <c r="BG162" s="22">
        <f t="shared" si="168"/>
        <v>9.7721520296583044E-12</v>
      </c>
      <c r="BH162" s="62">
        <f t="shared" si="116"/>
        <v>287.66066955837874</v>
      </c>
      <c r="BI162" s="62">
        <f ca="1">AVERAGE(OFFSET($BH$3,0,0,'Données projet'!$E$11+1,1))-AVERAGE(OFFSET($H$3,0,0,'Données projet'!$E$11+1,1))</f>
        <v>505.16888119060701</v>
      </c>
      <c r="BJ162" s="62">
        <f t="shared" si="146"/>
        <v>351.15312364640613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5.7666238693020728E-19</v>
      </c>
      <c r="BS162" s="24">
        <f t="shared" si="169"/>
        <v>5.7666238693020728E-19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68.195506926115257</v>
      </c>
      <c r="CE162" s="62">
        <f t="shared" si="148"/>
        <v>352.52565673897004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4.4637134278615935</v>
      </c>
      <c r="CL162" s="23">
        <f>EXP(-LN(2)/25)*CL161+(1-EXP(-LN(2)/25))/(LN(2)/25)*Calculateur!CG162*Calculateur!CI162*VLOOKUP('Données projet'!$B$12,Paramètres!$A$1:$I$89,3,0)*0.475*44/12</f>
        <v>0.38752716576289387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4.8512405936244871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77.885897614924062</v>
      </c>
      <c r="CZ162" s="62">
        <f t="shared" si="150"/>
        <v>401.02460251355296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5.1339834953040704</v>
      </c>
      <c r="DG162" s="23">
        <f>EXP(-LN(2)/25)*DG161+(1-EXP(-LN(2)/25))/(LN(2)/25)*Calculateur!DB162*Calculateur!DD162*VLOOKUP('Données projet'!$B$13,Paramètres!$A$1:$I$89,3,0)*0.475*44/12</f>
        <v>0.44571814592537257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5.5797016412294429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79.532301588639172</v>
      </c>
      <c r="DU162" s="62">
        <f t="shared" si="152"/>
        <v>409.2657792678549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5.2480720174219417</v>
      </c>
      <c r="EB162" s="23">
        <f>EXP(-LN(2)/25)*EB161+(1-EXP(-LN(2)/25))/(LN(2)/25)*Calculateur!DW162*Calculateur!DY162*VLOOKUP('Données projet'!$B$14,Paramètres!$A$1:$I$89,3,0)*0.475*44/12</f>
        <v>0.45562299361260294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5.7036950110345446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77.885897614924062</v>
      </c>
      <c r="EP162" s="62">
        <f t="shared" si="154"/>
        <v>401.02460251355296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5.1339834953040704</v>
      </c>
      <c r="EW162" s="23">
        <f>EXP(-LN(2)/25)*EW161+(1-EXP(-LN(2)/25))/(LN(2)/25)*Calculateur!ER162*Calculateur!ET162*VLOOKUP('Données projet'!$B$15,Paramètres!$A$1:$I$89,3,0)*0.475*44/12</f>
        <v>0.44571814592537257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5.5797016412294429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426.87921482911719</v>
      </c>
      <c r="T163" s="62">
        <f t="shared" si="142"/>
        <v>313.49594674441835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287.75907759269154</v>
      </c>
      <c r="AN163" s="62">
        <f ca="1">AVERAGE(OFFSET($AM$3,0,0,'Données projet'!$E$10+1,1))-AVERAGE(OFFSET($H$3,0,0,'Données projet'!$E$10+1,1))</f>
        <v>462.95686283420531</v>
      </c>
      <c r="AO163" s="62">
        <f t="shared" si="144"/>
        <v>275.54513370838777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6.8212102632969618E-13</v>
      </c>
      <c r="BE163" s="14">
        <f>BD163*VLOOKUP('Données projet'!$B$11,Paramètres!$A$1:$I$89,3,0)*VLOOKUP('Données projet'!$B$11,Paramètres!$A$1:$I$89,5,0)</f>
        <v>4.0790837374515837E-13</v>
      </c>
      <c r="BF163" s="14">
        <f t="shared" si="167"/>
        <v>5.2028966193600884E-12</v>
      </c>
      <c r="BG163" s="22">
        <f t="shared" si="168"/>
        <v>9.7721520296583044E-12</v>
      </c>
      <c r="BH163" s="62">
        <f t="shared" si="116"/>
        <v>287.75907759269813</v>
      </c>
      <c r="BI163" s="62">
        <f ca="1">AVERAGE(OFFSET($BH$3,0,0,'Données projet'!$E$11+1,1))-AVERAGE(OFFSET($H$3,0,0,'Données projet'!$E$11+1,1))</f>
        <v>505.16888119060701</v>
      </c>
      <c r="BJ163" s="62">
        <f t="shared" si="146"/>
        <v>351.15312364640613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4.0776188425357029E-19</v>
      </c>
      <c r="BS163" s="24">
        <f t="shared" si="169"/>
        <v>4.0776188425357029E-19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68.195506926115257</v>
      </c>
      <c r="CE163" s="62">
        <f t="shared" si="148"/>
        <v>352.52565673897004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4.3761827301375842</v>
      </c>
      <c r="CL163" s="23">
        <f>EXP(-LN(2)/25)*CL162+(1-EXP(-LN(2)/25))/(LN(2)/25)*Calculateur!CG163*Calculateur!CI163*VLOOKUP('Données projet'!$B$12,Paramètres!$A$1:$I$89,3,0)*0.475*44/12</f>
        <v>0.3769302150359396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4.7531129451735241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77.885897614924062</v>
      </c>
      <c r="CZ163" s="62">
        <f t="shared" si="150"/>
        <v>401.02460251355296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5.0333092103818879</v>
      </c>
      <c r="DG163" s="23">
        <f>EXP(-LN(2)/25)*DG162+(1-EXP(-LN(2)/25))/(LN(2)/25)*Calculateur!DB163*Calculateur!DD163*VLOOKUP('Données projet'!$B$13,Paramètres!$A$1:$I$89,3,0)*0.475*44/12</f>
        <v>0.43352995978574466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5.4668391701676322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79.532301588639172</v>
      </c>
      <c r="DU163" s="62">
        <f t="shared" si="152"/>
        <v>409.2657792678549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5.145160526168155</v>
      </c>
      <c r="EB163" s="23">
        <f>EXP(-LN(2)/25)*EB162+(1-EXP(-LN(2)/25))/(LN(2)/25)*Calculateur!DW163*Calculateur!DY163*VLOOKUP('Données projet'!$B$14,Paramètres!$A$1:$I$89,3,0)*0.475*44/12</f>
        <v>0.44316395889209442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5.5883244850602498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77.885897614924062</v>
      </c>
      <c r="EP163" s="62">
        <f t="shared" si="154"/>
        <v>401.02460251355296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5.0333092103818879</v>
      </c>
      <c r="EW163" s="23">
        <f>EXP(-LN(2)/25)*EW162+(1-EXP(-LN(2)/25))/(LN(2)/25)*Calculateur!ER163*Calculateur!ET163*VLOOKUP('Données projet'!$B$15,Paramètres!$A$1:$I$89,3,0)*0.475*44/12</f>
        <v>0.43352995978574466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5.4668391701676322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426.87921482911719</v>
      </c>
      <c r="T164" s="62">
        <f t="shared" si="142"/>
        <v>313.49594674441835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287.85577846762288</v>
      </c>
      <c r="AN164" s="62">
        <f ca="1">AVERAGE(OFFSET($AM$3,0,0,'Données projet'!$E$10+1,1))-AVERAGE(OFFSET($H$3,0,0,'Données projet'!$E$10+1,1))</f>
        <v>462.95686283420531</v>
      </c>
      <c r="AO164" s="62">
        <f t="shared" si="144"/>
        <v>275.54513370838777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6.8212102632969618E-13</v>
      </c>
      <c r="BE164" s="14">
        <f>BD164*VLOOKUP('Données projet'!$B$11,Paramètres!$A$1:$I$89,3,0)*VLOOKUP('Données projet'!$B$11,Paramètres!$A$1:$I$89,5,0)</f>
        <v>4.0790837374515837E-13</v>
      </c>
      <c r="BF164" s="14">
        <f t="shared" si="167"/>
        <v>5.2028966193600884E-12</v>
      </c>
      <c r="BG164" s="22">
        <f t="shared" si="168"/>
        <v>9.7721520296583044E-12</v>
      </c>
      <c r="BH164" s="62">
        <f t="shared" si="116"/>
        <v>287.85577846762948</v>
      </c>
      <c r="BI164" s="62">
        <f ca="1">AVERAGE(OFFSET($BH$3,0,0,'Données projet'!$E$11+1,1))-AVERAGE(OFFSET($H$3,0,0,'Données projet'!$E$11+1,1))</f>
        <v>505.16888119060701</v>
      </c>
      <c r="BJ164" s="62">
        <f t="shared" si="146"/>
        <v>351.15312364640613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2.8833119346510364E-19</v>
      </c>
      <c r="BS164" s="24">
        <f t="shared" si="169"/>
        <v>2.8833119346510364E-19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68.195506926115257</v>
      </c>
      <c r="CE164" s="62">
        <f t="shared" si="148"/>
        <v>352.52565673897004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4.2903684560074895</v>
      </c>
      <c r="CL164" s="23">
        <f>EXP(-LN(2)/25)*CL163+(1-EXP(-LN(2)/25))/(LN(2)/25)*Calculateur!CG164*Calculateur!CI164*VLOOKUP('Données projet'!$B$12,Paramètres!$A$1:$I$89,3,0)*0.475*44/12</f>
        <v>0.36662303848388328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4.6569914944913728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77.885897614924062</v>
      </c>
      <c r="CZ164" s="62">
        <f t="shared" si="150"/>
        <v>401.02460251355296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4.9346090867817782</v>
      </c>
      <c r="DG164" s="23">
        <f>EXP(-LN(2)/25)*DG163+(1-EXP(-LN(2)/25))/(LN(2)/25)*Calculateur!DB164*Calculateur!DD164*VLOOKUP('Données projet'!$B$13,Paramètres!$A$1:$I$89,3,0)*0.475*44/12</f>
        <v>0.42167506023705376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5.3562841470188323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79.532301588639172</v>
      </c>
      <c r="DU164" s="62">
        <f t="shared" si="152"/>
        <v>409.2657792678549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5.0442670664880431</v>
      </c>
      <c r="EB164" s="23">
        <f>EXP(-LN(2)/25)*EB163+(1-EXP(-LN(2)/25))/(LN(2)/25)*Calculateur!DW164*Calculateur!DY164*VLOOKUP('Données projet'!$B$14,Paramètres!$A$1:$I$89,3,0)*0.475*44/12</f>
        <v>0.43104561713121037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5.4753126836192534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77.885897614924062</v>
      </c>
      <c r="EP164" s="62">
        <f t="shared" si="154"/>
        <v>401.02460251355296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4.9346090867817782</v>
      </c>
      <c r="EW164" s="23">
        <f>EXP(-LN(2)/25)*EW163+(1-EXP(-LN(2)/25))/(LN(2)/25)*Calculateur!ER164*Calculateur!ET164*VLOOKUP('Données projet'!$B$15,Paramètres!$A$1:$I$89,3,0)*0.475*44/12</f>
        <v>0.42167506023705376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5.3562841470188323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426.87921482911719</v>
      </c>
      <c r="T165" s="62">
        <f t="shared" si="142"/>
        <v>313.49594674441835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287.9508017985649</v>
      </c>
      <c r="AN165" s="62">
        <f ca="1">AVERAGE(OFFSET($AM$3,0,0,'Données projet'!$E$10+1,1))-AVERAGE(OFFSET($H$3,0,0,'Données projet'!$E$10+1,1))</f>
        <v>462.95686283420531</v>
      </c>
      <c r="AO165" s="62">
        <f t="shared" si="144"/>
        <v>275.54513370838777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6.8212102632969618E-13</v>
      </c>
      <c r="BE165" s="14">
        <f>BD165*VLOOKUP('Données projet'!$B$11,Paramètres!$A$1:$I$89,3,0)*VLOOKUP('Données projet'!$B$11,Paramètres!$A$1:$I$89,5,0)</f>
        <v>4.0790837374515837E-13</v>
      </c>
      <c r="BF165" s="14">
        <f t="shared" si="167"/>
        <v>5.2028966193600884E-12</v>
      </c>
      <c r="BG165" s="22">
        <f t="shared" si="168"/>
        <v>9.7721520296583044E-12</v>
      </c>
      <c r="BH165" s="62">
        <f t="shared" si="116"/>
        <v>287.95080179857149</v>
      </c>
      <c r="BI165" s="62">
        <f ca="1">AVERAGE(OFFSET($BH$3,0,0,'Données projet'!$E$11+1,1))-AVERAGE(OFFSET($H$3,0,0,'Données projet'!$E$11+1,1))</f>
        <v>505.16888119060701</v>
      </c>
      <c r="BJ165" s="62">
        <f t="shared" si="146"/>
        <v>351.15312364640613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2.0388094212678514E-19</v>
      </c>
      <c r="BS165" s="24">
        <f t="shared" si="169"/>
        <v>2.0388094212678514E-19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68.195506926115257</v>
      </c>
      <c r="CE165" s="62">
        <f t="shared" si="148"/>
        <v>352.52565673897004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4.2062369474515471</v>
      </c>
      <c r="CL165" s="23">
        <f>EXP(-LN(2)/25)*CL164+(1-EXP(-LN(2)/25))/(LN(2)/25)*Calculateur!CG165*Calculateur!CI165*VLOOKUP('Données projet'!$B$12,Paramètres!$A$1:$I$89,3,0)*0.475*44/12</f>
        <v>0.3565977122166738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4.562834659668221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77.885897614924062</v>
      </c>
      <c r="CZ165" s="62">
        <f t="shared" si="150"/>
        <v>401.02460251355296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4.837844412404336</v>
      </c>
      <c r="DG165" s="23">
        <f>EXP(-LN(2)/25)*DG164+(1-EXP(-LN(2)/25))/(LN(2)/25)*Calculateur!DB165*Calculateur!DD165*VLOOKUP('Données projet'!$B$13,Paramètres!$A$1:$I$89,3,0)*0.475*44/12</f>
        <v>0.41014433353994384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5.24798874594428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79.532301588639172</v>
      </c>
      <c r="DU165" s="62">
        <f t="shared" si="152"/>
        <v>409.2657792678549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4.9453520660133243</v>
      </c>
      <c r="EB165" s="23">
        <f>EXP(-LN(2)/25)*EB164+(1-EXP(-LN(2)/25))/(LN(2)/25)*Calculateur!DW165*Calculateur!DY165*VLOOKUP('Données projet'!$B$14,Paramètres!$A$1:$I$89,3,0)*0.475*44/12</f>
        <v>0.41925865206305357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5.3646107180763778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77.885897614924062</v>
      </c>
      <c r="EP165" s="62">
        <f t="shared" si="154"/>
        <v>401.02460251355296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4.837844412404336</v>
      </c>
      <c r="EW165" s="23">
        <f>EXP(-LN(2)/25)*EW164+(1-EXP(-LN(2)/25))/(LN(2)/25)*Calculateur!ER165*Calculateur!ET165*VLOOKUP('Données projet'!$B$15,Paramètres!$A$1:$I$89,3,0)*0.475*44/12</f>
        <v>0.41014433353994384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5.24798874594428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426.87921482911719</v>
      </c>
      <c r="T166" s="62">
        <f t="shared" si="142"/>
        <v>313.49594674441835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288.04417668715541</v>
      </c>
      <c r="AN166" s="62">
        <f ca="1">AVERAGE(OFFSET($AM$3,0,0,'Données projet'!$E$10+1,1))-AVERAGE(OFFSET($H$3,0,0,'Données projet'!$E$10+1,1))</f>
        <v>462.95686283420531</v>
      </c>
      <c r="AO166" s="62">
        <f t="shared" si="144"/>
        <v>275.54513370838777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6.8212102632969618E-13</v>
      </c>
      <c r="BE166" s="14">
        <f>BD166*VLOOKUP('Données projet'!$B$11,Paramètres!$A$1:$I$89,3,0)*VLOOKUP('Données projet'!$B$11,Paramètres!$A$1:$I$89,5,0)</f>
        <v>4.0790837374515837E-13</v>
      </c>
      <c r="BF166" s="14">
        <f t="shared" si="167"/>
        <v>5.2028966193600884E-12</v>
      </c>
      <c r="BG166" s="22">
        <f t="shared" si="168"/>
        <v>9.7721520296583044E-12</v>
      </c>
      <c r="BH166" s="62">
        <f t="shared" si="116"/>
        <v>288.04417668716201</v>
      </c>
      <c r="BI166" s="62">
        <f ca="1">AVERAGE(OFFSET($BH$3,0,0,'Données projet'!$E$11+1,1))-AVERAGE(OFFSET($H$3,0,0,'Données projet'!$E$11+1,1))</f>
        <v>505.16888119060701</v>
      </c>
      <c r="BJ166" s="62">
        <f t="shared" si="146"/>
        <v>351.15312364640613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1.4416559673255182E-19</v>
      </c>
      <c r="BS166" s="24">
        <f t="shared" si="169"/>
        <v>1.4416559673255182E-19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68.195506926115257</v>
      </c>
      <c r="CE166" s="62">
        <f t="shared" si="148"/>
        <v>352.52565673897004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4.1237552064632332</v>
      </c>
      <c r="CL166" s="23">
        <f>EXP(-LN(2)/25)*CL165+(1-EXP(-LN(2)/25))/(LN(2)/25)*Calculateur!CG166*Calculateur!CI166*VLOOKUP('Données projet'!$B$12,Paramètres!$A$1:$I$89,3,0)*0.475*44/12</f>
        <v>0.3468465290234502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4.4706017354866834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77.885897614924062</v>
      </c>
      <c r="CZ166" s="62">
        <f t="shared" si="150"/>
        <v>401.02460251355296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4.7429772342708123</v>
      </c>
      <c r="DG166" s="23">
        <f>EXP(-LN(2)/25)*DG165+(1-EXP(-LN(2)/25))/(LN(2)/25)*Calculateur!DB166*Calculateur!DD166*VLOOKUP('Données projet'!$B$13,Paramètres!$A$1:$I$89,3,0)*0.475*44/12</f>
        <v>0.39892891517074097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5.141906149441553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79.532301588639172</v>
      </c>
      <c r="DU166" s="62">
        <f t="shared" si="152"/>
        <v>409.2657792678549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4.8483767283657215</v>
      </c>
      <c r="EB166" s="23">
        <f>EXP(-LN(2)/25)*EB165+(1-EXP(-LN(2)/25))/(LN(2)/25)*Calculateur!DW166*Calculateur!DY166*VLOOKUP('Données projet'!$B$14,Paramètres!$A$1:$I$89,3,0)*0.475*44/12</f>
        <v>0.4077940021745351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5.2561707305402567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77.885897614924062</v>
      </c>
      <c r="EP166" s="62">
        <f t="shared" si="154"/>
        <v>401.02460251355296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4.7429772342708123</v>
      </c>
      <c r="EW166" s="23">
        <f>EXP(-LN(2)/25)*EW165+(1-EXP(-LN(2)/25))/(LN(2)/25)*Calculateur!ER166*Calculateur!ET166*VLOOKUP('Données projet'!$B$15,Paramètres!$A$1:$I$89,3,0)*0.475*44/12</f>
        <v>0.39892891517074097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5.141906149441553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426.87921482911719</v>
      </c>
      <c r="T167" s="62">
        <f t="shared" si="142"/>
        <v>313.49594674441835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288.13593173018387</v>
      </c>
      <c r="AN167" s="62">
        <f ca="1">AVERAGE(OFFSET($AM$3,0,0,'Données projet'!$E$10+1,1))-AVERAGE(OFFSET($H$3,0,0,'Données projet'!$E$10+1,1))</f>
        <v>462.95686283420531</v>
      </c>
      <c r="AO167" s="62">
        <f t="shared" si="144"/>
        <v>275.54513370838777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6.8212102632969618E-13</v>
      </c>
      <c r="BE167" s="14">
        <f>BD167*VLOOKUP('Données projet'!$B$11,Paramètres!$A$1:$I$89,3,0)*VLOOKUP('Données projet'!$B$11,Paramètres!$A$1:$I$89,5,0)</f>
        <v>4.0790837374515837E-13</v>
      </c>
      <c r="BF167" s="14">
        <f t="shared" si="167"/>
        <v>5.2028966193600884E-12</v>
      </c>
      <c r="BG167" s="22">
        <f t="shared" si="168"/>
        <v>9.7721520296583044E-12</v>
      </c>
      <c r="BH167" s="62">
        <f t="shared" si="116"/>
        <v>288.13593173019046</v>
      </c>
      <c r="BI167" s="62">
        <f ca="1">AVERAGE(OFFSET($BH$3,0,0,'Données projet'!$E$11+1,1))-AVERAGE(OFFSET($H$3,0,0,'Données projet'!$E$11+1,1))</f>
        <v>505.16888119060701</v>
      </c>
      <c r="BJ167" s="62">
        <f t="shared" si="146"/>
        <v>351.15312364640613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1.0194047106339257E-19</v>
      </c>
      <c r="BS167" s="24">
        <f t="shared" si="169"/>
        <v>1.0194047106339257E-19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68.195506926115257</v>
      </c>
      <c r="CE167" s="62">
        <f t="shared" si="148"/>
        <v>352.52565673897004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4.0428908821068053</v>
      </c>
      <c r="CL167" s="23">
        <f>EXP(-LN(2)/25)*CL166+(1-EXP(-LN(2)/25))/(LN(2)/25)*Calculateur!CG167*Calculateur!CI167*VLOOKUP('Données projet'!$B$12,Paramètres!$A$1:$I$89,3,0)*0.475*44/12</f>
        <v>0.3373619924474377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4.3802528745542428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77.885897614924062</v>
      </c>
      <c r="CZ167" s="62">
        <f t="shared" si="150"/>
        <v>401.02460251355296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4.6499703436372215</v>
      </c>
      <c r="DG167" s="23">
        <f>EXP(-LN(2)/25)*DG166+(1-EXP(-LN(2)/25))/(LN(2)/25)*Calculateur!DB167*Calculateur!DD167*VLOOKUP('Données projet'!$B$13,Paramètres!$A$1:$I$89,3,0)*0.475*44/12</f>
        <v>0.38802018300663715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5.0379905266438589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79.532301588639172</v>
      </c>
      <c r="DU167" s="62">
        <f t="shared" si="152"/>
        <v>409.2657792678549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4.7533030179402731</v>
      </c>
      <c r="EB167" s="23">
        <f>EXP(-LN(2)/25)*EB166+(1-EXP(-LN(2)/25))/(LN(2)/25)*Calculateur!DW167*Calculateur!DY167*VLOOKUP('Données projet'!$B$14,Paramètres!$A$1:$I$89,3,0)*0.475*44/12</f>
        <v>0.39664285374011787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5.1499458716803908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77.885897614924062</v>
      </c>
      <c r="EP167" s="62">
        <f t="shared" si="154"/>
        <v>401.02460251355296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4.6499703436372215</v>
      </c>
      <c r="EW167" s="23">
        <f>EXP(-LN(2)/25)*EW166+(1-EXP(-LN(2)/25))/(LN(2)/25)*Calculateur!ER167*Calculateur!ET167*VLOOKUP('Données projet'!$B$15,Paramètres!$A$1:$I$89,3,0)*0.475*44/12</f>
        <v>0.38802018300663715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5.0379905266438589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426.87921482911719</v>
      </c>
      <c r="T168" s="62">
        <f t="shared" si="142"/>
        <v>313.49594674441835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288.22609502834933</v>
      </c>
      <c r="AN168" s="62">
        <f ca="1">AVERAGE(OFFSET($AM$3,0,0,'Données projet'!$E$10+1,1))-AVERAGE(OFFSET($H$3,0,0,'Données projet'!$E$10+1,1))</f>
        <v>462.95686283420531</v>
      </c>
      <c r="AO168" s="62">
        <f t="shared" si="144"/>
        <v>275.54513370838777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6.8212102632969618E-13</v>
      </c>
      <c r="BE168" s="14">
        <f>BD168*VLOOKUP('Données projet'!$B$11,Paramètres!$A$1:$I$89,3,0)*VLOOKUP('Données projet'!$B$11,Paramètres!$A$1:$I$89,5,0)</f>
        <v>4.0790837374515837E-13</v>
      </c>
      <c r="BF168" s="14">
        <f t="shared" si="167"/>
        <v>5.2028966193600884E-12</v>
      </c>
      <c r="BG168" s="22">
        <f t="shared" si="168"/>
        <v>9.7721520296583044E-12</v>
      </c>
      <c r="BH168" s="62">
        <f t="shared" si="116"/>
        <v>288.22609502835593</v>
      </c>
      <c r="BI168" s="62">
        <f ca="1">AVERAGE(OFFSET($BH$3,0,0,'Données projet'!$E$11+1,1))-AVERAGE(OFFSET($H$3,0,0,'Données projet'!$E$11+1,1))</f>
        <v>505.16888119060701</v>
      </c>
      <c r="BJ168" s="62">
        <f t="shared" si="146"/>
        <v>351.15312364640613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7.208279836627591E-20</v>
      </c>
      <c r="BS168" s="24">
        <f t="shared" si="169"/>
        <v>7.208279836627591E-20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68.195506926115257</v>
      </c>
      <c r="CE168" s="62">
        <f t="shared" si="148"/>
        <v>352.52565673897004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3.9636122578286397</v>
      </c>
      <c r="CL168" s="23">
        <f>EXP(-LN(2)/25)*CL167+(1-EXP(-LN(2)/25))/(LN(2)/25)*Calculateur!CG168*Calculateur!CI168*VLOOKUP('Données projet'!$B$12,Paramètres!$A$1:$I$89,3,0)*0.475*44/12</f>
        <v>0.3281368110228664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4.2917490688515061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77.885897614924062</v>
      </c>
      <c r="CZ168" s="62">
        <f t="shared" si="150"/>
        <v>401.02460251355296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4.5587872614003535</v>
      </c>
      <c r="DG168" s="23">
        <f>EXP(-LN(2)/25)*DG167+(1-EXP(-LN(2)/25))/(LN(2)/25)*Calculateur!DB168*Calculateur!DD168*VLOOKUP('Données projet'!$B$13,Paramètres!$A$1:$I$89,3,0)*0.475*44/12</f>
        <v>0.37740975069722604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4.9361970120975798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79.532301588639172</v>
      </c>
      <c r="DU168" s="62">
        <f t="shared" si="152"/>
        <v>409.2657792678549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4.6600936449870298</v>
      </c>
      <c r="EB168" s="23">
        <f>EXP(-LN(2)/25)*EB167+(1-EXP(-LN(2)/25))/(LN(2)/25)*Calculateur!DW168*Calculateur!DY168*VLOOKUP('Données projet'!$B$14,Paramètres!$A$1:$I$89,3,0)*0.475*44/12</f>
        <v>0.38579663404605319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5.0458902790330828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77.885897614924062</v>
      </c>
      <c r="EP168" s="62">
        <f t="shared" si="154"/>
        <v>401.02460251355296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4.5587872614003535</v>
      </c>
      <c r="EW168" s="23">
        <f>EXP(-LN(2)/25)*EW167+(1-EXP(-LN(2)/25))/(LN(2)/25)*Calculateur!ER168*Calculateur!ET168*VLOOKUP('Données projet'!$B$15,Paramètres!$A$1:$I$89,3,0)*0.475*44/12</f>
        <v>0.37740975069722604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4.9361970120975798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426.87921482911719</v>
      </c>
      <c r="T169" s="62">
        <f t="shared" si="142"/>
        <v>313.49594674441835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288.3146941948666</v>
      </c>
      <c r="AN169" s="62">
        <f ca="1">AVERAGE(OFFSET($AM$3,0,0,'Données projet'!$E$10+1,1))-AVERAGE(OFFSET($H$3,0,0,'Données projet'!$E$10+1,1))</f>
        <v>462.95686283420531</v>
      </c>
      <c r="AO169" s="62">
        <f t="shared" si="144"/>
        <v>275.54513370838777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6.8212102632969618E-13</v>
      </c>
      <c r="BE169" s="14">
        <f>BD169*VLOOKUP('Données projet'!$B$11,Paramètres!$A$1:$I$89,3,0)*VLOOKUP('Données projet'!$B$11,Paramètres!$A$1:$I$89,5,0)</f>
        <v>4.0790837374515837E-13</v>
      </c>
      <c r="BF169" s="14">
        <f t="shared" si="167"/>
        <v>5.2028966193600884E-12</v>
      </c>
      <c r="BG169" s="22">
        <f t="shared" si="168"/>
        <v>9.7721520296583044E-12</v>
      </c>
      <c r="BH169" s="62">
        <f t="shared" si="116"/>
        <v>288.3146941948732</v>
      </c>
      <c r="BI169" s="62">
        <f ca="1">AVERAGE(OFFSET($BH$3,0,0,'Données projet'!$E$11+1,1))-AVERAGE(OFFSET($H$3,0,0,'Données projet'!$E$11+1,1))</f>
        <v>505.16888119060701</v>
      </c>
      <c r="BJ169" s="62">
        <f t="shared" si="146"/>
        <v>351.15312364640613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5.0970235531696286E-20</v>
      </c>
      <c r="BS169" s="24">
        <f t="shared" si="169"/>
        <v>5.0970235531696286E-20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68.195506926115257</v>
      </c>
      <c r="CE169" s="62">
        <f t="shared" si="148"/>
        <v>352.52565673897004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3.8858882390173828</v>
      </c>
      <c r="CL169" s="23">
        <f>EXP(-LN(2)/25)*CL168+(1-EXP(-LN(2)/25))/(LN(2)/25)*Calculateur!CG169*Calculateur!CI169*VLOOKUP('Données projet'!$B$12,Paramètres!$A$1:$I$89,3,0)*0.475*44/12</f>
        <v>0.3191638926694812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4.2050521316868643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77.885897614924062</v>
      </c>
      <c r="CZ169" s="62">
        <f t="shared" si="150"/>
        <v>401.02460251355296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4.4693922237899617</v>
      </c>
      <c r="DG169" s="23">
        <f>EXP(-LN(2)/25)*DG168+(1-EXP(-LN(2)/25))/(LN(2)/25)*Calculateur!DB169*Calculateur!DD169*VLOOKUP('Données projet'!$B$13,Paramètres!$A$1:$I$89,3,0)*0.475*44/12</f>
        <v>0.36708946121729419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4.8364816850072563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79.532301588639172</v>
      </c>
      <c r="DU169" s="62">
        <f t="shared" si="152"/>
        <v>409.2657792678549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4.5687120509852965</v>
      </c>
      <c r="EB169" s="23">
        <f>EXP(-LN(2)/25)*EB168+(1-EXP(-LN(2)/25))/(LN(2)/25)*Calculateur!DW169*Calculateur!DY169*VLOOKUP('Données projet'!$B$14,Paramètres!$A$1:$I$89,3,0)*0.475*44/12</f>
        <v>0.37524700479990064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4.9439590557851973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77.885897614924062</v>
      </c>
      <c r="EP169" s="62">
        <f t="shared" si="154"/>
        <v>401.02460251355296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4.4693922237899617</v>
      </c>
      <c r="EW169" s="23">
        <f>EXP(-LN(2)/25)*EW168+(1-EXP(-LN(2)/25))/(LN(2)/25)*Calculateur!ER169*Calculateur!ET169*VLOOKUP('Données projet'!$B$15,Paramètres!$A$1:$I$89,3,0)*0.475*44/12</f>
        <v>0.36708946121729419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4.8364816850072563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426.87921482911719</v>
      </c>
      <c r="T170" s="62">
        <f t="shared" si="142"/>
        <v>313.49594674441835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288.4017563639228</v>
      </c>
      <c r="AN170" s="62">
        <f ca="1">AVERAGE(OFFSET($AM$3,0,0,'Données projet'!$E$10+1,1))-AVERAGE(OFFSET($H$3,0,0,'Données projet'!$E$10+1,1))</f>
        <v>462.95686283420531</v>
      </c>
      <c r="AO170" s="62">
        <f t="shared" si="144"/>
        <v>275.54513370838777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6.8212102632969618E-13</v>
      </c>
      <c r="BE170" s="14">
        <f>BD170*VLOOKUP('Données projet'!$B$11,Paramètres!$A$1:$I$89,3,0)*VLOOKUP('Données projet'!$B$11,Paramètres!$A$1:$I$89,5,0)</f>
        <v>4.0790837374515837E-13</v>
      </c>
      <c r="BF170" s="14">
        <f t="shared" si="167"/>
        <v>5.2028966193600884E-12</v>
      </c>
      <c r="BG170" s="22">
        <f t="shared" si="168"/>
        <v>9.7721520296583044E-12</v>
      </c>
      <c r="BH170" s="62">
        <f t="shared" si="116"/>
        <v>288.40175636392939</v>
      </c>
      <c r="BI170" s="62">
        <f ca="1">AVERAGE(OFFSET($BH$3,0,0,'Données projet'!$E$11+1,1))-AVERAGE(OFFSET($H$3,0,0,'Données projet'!$E$11+1,1))</f>
        <v>505.16888119060701</v>
      </c>
      <c r="BJ170" s="62">
        <f t="shared" si="146"/>
        <v>351.15312364640613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3.6041399183137955E-20</v>
      </c>
      <c r="BS170" s="24">
        <f t="shared" si="169"/>
        <v>3.6041399183137955E-20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68.195506926115257</v>
      </c>
      <c r="CE170" s="62">
        <f t="shared" si="148"/>
        <v>352.52565673897004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3.809688340808044</v>
      </c>
      <c r="CL170" s="23">
        <f>EXP(-LN(2)/25)*CL169+(1-EXP(-LN(2)/25))/(LN(2)/25)*Calculateur!CG170*Calculateur!CI170*VLOOKUP('Données projet'!$B$12,Paramètres!$A$1:$I$89,3,0)*0.475*44/12</f>
        <v>0.31043633924033459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4.1201246800483782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77.885897614924062</v>
      </c>
      <c r="CZ170" s="62">
        <f t="shared" si="150"/>
        <v>401.02460251355296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4.3817501683415214</v>
      </c>
      <c r="DG170" s="23">
        <f>EXP(-LN(2)/25)*DG169+(1-EXP(-LN(2)/25))/(LN(2)/25)*Calculateur!DB170*Calculateur!DD170*VLOOKUP('Données projet'!$B$13,Paramètres!$A$1:$I$89,3,0)*0.475*44/12</f>
        <v>0.35705138059591152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4.7388015489374329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79.532301588639172</v>
      </c>
      <c r="DU170" s="62">
        <f t="shared" si="152"/>
        <v>409.2657792678549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4.4791223943046683</v>
      </c>
      <c r="EB170" s="23">
        <f>EXP(-LN(2)/25)*EB169+(1-EXP(-LN(2)/25))/(LN(2)/25)*Calculateur!DW170*Calculateur!DY170*VLOOKUP('Données projet'!$B$14,Paramètres!$A$1:$I$89,3,0)*0.475*44/12</f>
        <v>0.36498585572026504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4.8441082500249335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77.885897614924062</v>
      </c>
      <c r="EP170" s="62">
        <f t="shared" si="154"/>
        <v>401.02460251355296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4.3817501683415214</v>
      </c>
      <c r="EW170" s="23">
        <f>EXP(-LN(2)/25)*EW169+(1-EXP(-LN(2)/25))/(LN(2)/25)*Calculateur!ER170*Calculateur!ET170*VLOOKUP('Données projet'!$B$15,Paramètres!$A$1:$I$89,3,0)*0.475*44/12</f>
        <v>0.35705138059591152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4.7388015489374329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426.87921482911719</v>
      </c>
      <c r="T171" s="62">
        <f t="shared" si="142"/>
        <v>313.49594674441835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288.48730819898771</v>
      </c>
      <c r="AN171" s="62">
        <f ca="1">AVERAGE(OFFSET($AM$3,0,0,'Données projet'!$E$10+1,1))-AVERAGE(OFFSET($H$3,0,0,'Données projet'!$E$10+1,1))</f>
        <v>462.95686283420531</v>
      </c>
      <c r="AO171" s="62">
        <f t="shared" si="144"/>
        <v>275.54513370838777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6.8212102632969618E-13</v>
      </c>
      <c r="BE171" s="14">
        <f>BD171*VLOOKUP('Données projet'!$B$11,Paramètres!$A$1:$I$89,3,0)*VLOOKUP('Données projet'!$B$11,Paramètres!$A$1:$I$89,5,0)</f>
        <v>4.0790837374515837E-13</v>
      </c>
      <c r="BF171" s="14">
        <f t="shared" si="167"/>
        <v>5.2028966193600884E-12</v>
      </c>
      <c r="BG171" s="22">
        <f t="shared" si="168"/>
        <v>9.7721520296583044E-12</v>
      </c>
      <c r="BH171" s="62">
        <f t="shared" si="116"/>
        <v>288.4873081989943</v>
      </c>
      <c r="BI171" s="62">
        <f ca="1">AVERAGE(OFFSET($BH$3,0,0,'Données projet'!$E$11+1,1))-AVERAGE(OFFSET($H$3,0,0,'Données projet'!$E$11+1,1))</f>
        <v>505.16888119060701</v>
      </c>
      <c r="BJ171" s="62">
        <f t="shared" si="146"/>
        <v>351.15312364640613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2.5485117765848143E-20</v>
      </c>
      <c r="BS171" s="24">
        <f t="shared" si="169"/>
        <v>2.5485117765848143E-20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68.195506926115257</v>
      </c>
      <c r="CE171" s="62">
        <f t="shared" si="148"/>
        <v>352.52565673897004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3.7349826761252416</v>
      </c>
      <c r="CL171" s="23">
        <f>EXP(-LN(2)/25)*CL170+(1-EXP(-LN(2)/25))/(LN(2)/25)*Calculateur!CG171*Calculateur!CI171*VLOOKUP('Données projet'!$B$12,Paramètres!$A$1:$I$89,3,0)*0.475*44/12</f>
        <v>0.30194744121867007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4.0369301173439114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77.885897614924062</v>
      </c>
      <c r="CZ171" s="62">
        <f t="shared" si="150"/>
        <v>401.02460251355296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4.2958267201440492</v>
      </c>
      <c r="DG171" s="23">
        <f>EXP(-LN(2)/25)*DG170+(1-EXP(-LN(2)/25))/(LN(2)/25)*Calculateur!DB171*Calculateur!DD171*VLOOKUP('Données projet'!$B$13,Paramètres!$A$1:$I$89,3,0)*0.475*44/12</f>
        <v>0.34728779181700026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4.6431145119610493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79.532301588639172</v>
      </c>
      <c r="DU171" s="62">
        <f t="shared" si="152"/>
        <v>409.2657792678549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4.3912895361472524</v>
      </c>
      <c r="EB171" s="23">
        <f>EXP(-LN(2)/25)*EB170+(1-EXP(-LN(2)/25))/(LN(2)/25)*Calculateur!DW171*Calculateur!DY171*VLOOKUP('Données projet'!$B$14,Paramètres!$A$1:$I$89,3,0)*0.475*44/12</f>
        <v>0.35500529830182243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4.746294834449075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77.885897614924062</v>
      </c>
      <c r="EP171" s="62">
        <f t="shared" si="154"/>
        <v>401.02460251355296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4.2958267201440492</v>
      </c>
      <c r="EW171" s="23">
        <f>EXP(-LN(2)/25)*EW170+(1-EXP(-LN(2)/25))/(LN(2)/25)*Calculateur!ER171*Calculateur!ET171*VLOOKUP('Données projet'!$B$15,Paramètres!$A$1:$I$89,3,0)*0.475*44/12</f>
        <v>0.34728779181700026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4.6431145119610493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426.87921482911719</v>
      </c>
      <c r="T172" s="62">
        <f t="shared" si="142"/>
        <v>313.49594674441835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288.5713759009796</v>
      </c>
      <c r="AN172" s="62">
        <f ca="1">AVERAGE(OFFSET($AM$3,0,0,'Données projet'!$E$10+1,1))-AVERAGE(OFFSET($H$3,0,0,'Données projet'!$E$10+1,1))</f>
        <v>462.95686283420531</v>
      </c>
      <c r="AO172" s="62">
        <f t="shared" si="144"/>
        <v>275.54513370838777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6.8212102632969618E-13</v>
      </c>
      <c r="BE172" s="14">
        <f>BD172*VLOOKUP('Données projet'!$B$11,Paramètres!$A$1:$I$89,3,0)*VLOOKUP('Données projet'!$B$11,Paramètres!$A$1:$I$89,5,0)</f>
        <v>4.0790837374515837E-13</v>
      </c>
      <c r="BF172" s="14">
        <f t="shared" si="167"/>
        <v>5.2028966193600884E-12</v>
      </c>
      <c r="BG172" s="22">
        <f t="shared" si="168"/>
        <v>9.7721520296583044E-12</v>
      </c>
      <c r="BH172" s="62">
        <f t="shared" si="116"/>
        <v>288.5713759009862</v>
      </c>
      <c r="BI172" s="62">
        <f ca="1">AVERAGE(OFFSET($BH$3,0,0,'Données projet'!$E$11+1,1))-AVERAGE(OFFSET($H$3,0,0,'Données projet'!$E$11+1,1))</f>
        <v>505.16888119060701</v>
      </c>
      <c r="BJ172" s="62">
        <f t="shared" si="146"/>
        <v>351.15312364640613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1.8020699591568977E-20</v>
      </c>
      <c r="BS172" s="24">
        <f t="shared" si="169"/>
        <v>1.8020699591568977E-20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68.195506926115257</v>
      </c>
      <c r="CE172" s="62">
        <f t="shared" si="148"/>
        <v>352.52565673897004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3.6617419439609131</v>
      </c>
      <c r="CL172" s="23">
        <f>EXP(-LN(2)/25)*CL171+(1-EXP(-LN(2)/25))/(LN(2)/25)*Calculateur!CG172*Calculateur!CI172*VLOOKUP('Données projet'!$B$12,Paramètres!$A$1:$I$89,3,0)*0.475*44/12</f>
        <v>0.29369067255981973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3.9554326165207327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77.885897614924062</v>
      </c>
      <c r="CZ172" s="62">
        <f t="shared" si="150"/>
        <v>401.02460251355296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4.2115881783576006</v>
      </c>
      <c r="DG172" s="23">
        <f>EXP(-LN(2)/25)*DG171+(1-EXP(-LN(2)/25))/(LN(2)/25)*Calculateur!DB172*Calculateur!DD172*VLOOKUP('Données projet'!$B$13,Paramètres!$A$1:$I$89,3,0)*0.475*44/12</f>
        <v>0.33779118888669313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4.5493793672442937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79.532301588639172</v>
      </c>
      <c r="DU172" s="62">
        <f t="shared" si="152"/>
        <v>409.2657792678549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4.3051790267655496</v>
      </c>
      <c r="EB172" s="23">
        <f>EXP(-LN(2)/25)*EB171+(1-EXP(-LN(2)/25))/(LN(2)/25)*Calculateur!DW172*Calculateur!DY172*VLOOKUP('Données projet'!$B$14,Paramètres!$A$1:$I$89,3,0)*0.475*44/12</f>
        <v>0.34529765975084181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4.6504766865163916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77.885897614924062</v>
      </c>
      <c r="EP172" s="62">
        <f t="shared" si="154"/>
        <v>401.02460251355296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4.2115881783576006</v>
      </c>
      <c r="EW172" s="23">
        <f>EXP(-LN(2)/25)*EW171+(1-EXP(-LN(2)/25))/(LN(2)/25)*Calculateur!ER172*Calculateur!ET172*VLOOKUP('Données projet'!$B$15,Paramètres!$A$1:$I$89,3,0)*0.475*44/12</f>
        <v>0.33779118888669313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4.5493793672442937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426.87921482911719</v>
      </c>
      <c r="T173" s="62">
        <f t="shared" si="142"/>
        <v>313.49594674441835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288.65398521628907</v>
      </c>
      <c r="AN173" s="62">
        <f ca="1">AVERAGE(OFFSET($AM$3,0,0,'Données projet'!$E$10+1,1))-AVERAGE(OFFSET($H$3,0,0,'Données projet'!$E$10+1,1))</f>
        <v>462.95686283420531</v>
      </c>
      <c r="AO173" s="62">
        <f t="shared" si="144"/>
        <v>275.54513370838777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6.8212102632969618E-13</v>
      </c>
      <c r="BE173" s="14">
        <f>BD173*VLOOKUP('Données projet'!$B$11,Paramètres!$A$1:$I$89,3,0)*VLOOKUP('Données projet'!$B$11,Paramètres!$A$1:$I$89,5,0)</f>
        <v>4.0790837374515837E-13</v>
      </c>
      <c r="BF173" s="14">
        <f t="shared" si="167"/>
        <v>5.2028966193600884E-12</v>
      </c>
      <c r="BG173" s="22">
        <f t="shared" si="168"/>
        <v>9.7721520296583044E-12</v>
      </c>
      <c r="BH173" s="62">
        <f t="shared" si="116"/>
        <v>288.65398521629567</v>
      </c>
      <c r="BI173" s="62">
        <f ca="1">AVERAGE(OFFSET($BH$3,0,0,'Données projet'!$E$11+1,1))-AVERAGE(OFFSET($H$3,0,0,'Données projet'!$E$11+1,1))</f>
        <v>505.16888119060701</v>
      </c>
      <c r="BJ173" s="62">
        <f t="shared" si="146"/>
        <v>351.15312364640613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1.2742558882924071E-20</v>
      </c>
      <c r="BS173" s="24">
        <f t="shared" si="169"/>
        <v>1.2742558882924071E-20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68.195506926115257</v>
      </c>
      <c r="CE173" s="62">
        <f t="shared" si="148"/>
        <v>352.52565673897004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3.5899374178818912</v>
      </c>
      <c r="CL173" s="23">
        <f>EXP(-LN(2)/25)*CL172+(1-EXP(-LN(2)/25))/(LN(2)/25)*Calculateur!CG173*Calculateur!CI173*VLOOKUP('Données projet'!$B$12,Paramètres!$A$1:$I$89,3,0)*0.475*44/12</f>
        <v>0.28565968567415023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3.8755971035560415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77.885897614924062</v>
      </c>
      <c r="CZ173" s="62">
        <f t="shared" si="150"/>
        <v>401.02460251355296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4.1290015029951475</v>
      </c>
      <c r="DG173" s="23">
        <f>EXP(-LN(2)/25)*DG172+(1-EXP(-LN(2)/25))/(LN(2)/25)*Calculateur!DB173*Calculateur!DD173*VLOOKUP('Données projet'!$B$13,Paramètres!$A$1:$I$89,3,0)*0.475*44/12</f>
        <v>0.3285542710629199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4.4575557740580676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79.532301588639172</v>
      </c>
      <c r="DU173" s="62">
        <f t="shared" si="152"/>
        <v>409.2657792678549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4.2207570919505972</v>
      </c>
      <c r="EB173" s="23">
        <f>EXP(-LN(2)/25)*EB172+(1-EXP(-LN(2)/25))/(LN(2)/25)*Calculateur!DW173*Calculateur!DY173*VLOOKUP('Données projet'!$B$14,Paramètres!$A$1:$I$89,3,0)*0.475*44/12</f>
        <v>0.33585547708654029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4.5566125690371377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77.885897614924062</v>
      </c>
      <c r="EP173" s="62">
        <f t="shared" si="154"/>
        <v>401.02460251355296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4.1290015029951475</v>
      </c>
      <c r="EW173" s="23">
        <f>EXP(-LN(2)/25)*EW172+(1-EXP(-LN(2)/25))/(LN(2)/25)*Calculateur!ER173*Calculateur!ET173*VLOOKUP('Données projet'!$B$15,Paramètres!$A$1:$I$89,3,0)*0.475*44/12</f>
        <v>0.3285542710629199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4.4575557740580676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426.87921482911719</v>
      </c>
      <c r="T174" s="62">
        <f t="shared" si="142"/>
        <v>313.49594674441835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288.7351614446647</v>
      </c>
      <c r="AN174" s="62">
        <f ca="1">AVERAGE(OFFSET($AM$3,0,0,'Données projet'!$E$10+1,1))-AVERAGE(OFFSET($H$3,0,0,'Données projet'!$E$10+1,1))</f>
        <v>462.95686283420531</v>
      </c>
      <c r="AO174" s="62">
        <f t="shared" si="144"/>
        <v>275.54513370838777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6.8212102632969618E-13</v>
      </c>
      <c r="BE174" s="14">
        <f>BD174*VLOOKUP('Données projet'!$B$11,Paramètres!$A$1:$I$89,3,0)*VLOOKUP('Données projet'!$B$11,Paramètres!$A$1:$I$89,5,0)</f>
        <v>4.0790837374515837E-13</v>
      </c>
      <c r="BF174" s="14">
        <f t="shared" si="167"/>
        <v>5.2028966193600884E-12</v>
      </c>
      <c r="BG174" s="22">
        <f t="shared" si="168"/>
        <v>9.7721520296583044E-12</v>
      </c>
      <c r="BH174" s="62">
        <f t="shared" si="116"/>
        <v>288.73516144467129</v>
      </c>
      <c r="BI174" s="62">
        <f ca="1">AVERAGE(OFFSET($BH$3,0,0,'Données projet'!$E$11+1,1))-AVERAGE(OFFSET($H$3,0,0,'Données projet'!$E$11+1,1))</f>
        <v>505.16888119060701</v>
      </c>
      <c r="BJ174" s="62">
        <f t="shared" si="146"/>
        <v>351.15312364640613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9.0103497957844887E-21</v>
      </c>
      <c r="BS174" s="24">
        <f t="shared" si="169"/>
        <v>9.0103497957844887E-21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68.195506926115257</v>
      </c>
      <c r="CE174" s="62">
        <f t="shared" si="148"/>
        <v>352.52565673897004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3.5195409347628428</v>
      </c>
      <c r="CL174" s="23">
        <f>EXP(-LN(2)/25)*CL173+(1-EXP(-LN(2)/25))/(LN(2)/25)*Calculateur!CG174*Calculateur!CI174*VLOOKUP('Données projet'!$B$12,Paramètres!$A$1:$I$89,3,0)*0.475*44/12</f>
        <v>0.27784830654720061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3.7973892413100434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77.885897614924062</v>
      </c>
      <c r="CZ174" s="62">
        <f t="shared" si="150"/>
        <v>401.02460251355296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4.0480343019636535</v>
      </c>
      <c r="DG174" s="23">
        <f>EXP(-LN(2)/25)*DG173+(1-EXP(-LN(2)/25))/(LN(2)/25)*Calculateur!DB174*Calculateur!DD174*VLOOKUP('Données projet'!$B$13,Paramètres!$A$1:$I$89,3,0)*0.475*44/12</f>
        <v>0.31956993724278615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4.3676042392064396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79.532301588639172</v>
      </c>
      <c r="DU174" s="62">
        <f t="shared" si="152"/>
        <v>409.2657792678549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4.1379906197850707</v>
      </c>
      <c r="EB174" s="23">
        <f>EXP(-LN(2)/25)*EB173+(1-EXP(-LN(2)/25))/(LN(2)/25)*Calculateur!DW174*Calculateur!DY174*VLOOKUP('Données projet'!$B$14,Paramètres!$A$1:$I$89,3,0)*0.475*44/12</f>
        <v>0.32667149140373691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4.4646621111888072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77.885897614924062</v>
      </c>
      <c r="EP174" s="62">
        <f t="shared" si="154"/>
        <v>401.02460251355296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4.0480343019636535</v>
      </c>
      <c r="EW174" s="23">
        <f>EXP(-LN(2)/25)*EW173+(1-EXP(-LN(2)/25))/(LN(2)/25)*Calculateur!ER174*Calculateur!ET174*VLOOKUP('Données projet'!$B$15,Paramètres!$A$1:$I$89,3,0)*0.475*44/12</f>
        <v>0.31956993724278615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4.3676042392064396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426.87921482911719</v>
      </c>
      <c r="T175" s="62">
        <f t="shared" si="142"/>
        <v>313.49594674441835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288.81492944696083</v>
      </c>
      <c r="AN175" s="62">
        <f ca="1">AVERAGE(OFFSET($AM$3,0,0,'Données projet'!$E$10+1,1))-AVERAGE(OFFSET($H$3,0,0,'Données projet'!$E$10+1,1))</f>
        <v>462.95686283420531</v>
      </c>
      <c r="AO175" s="62">
        <f t="shared" si="144"/>
        <v>275.54513370838777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6.8212102632969618E-13</v>
      </c>
      <c r="BE175" s="14">
        <f>BD175*VLOOKUP('Données projet'!$B$11,Paramètres!$A$1:$I$89,3,0)*VLOOKUP('Données projet'!$B$11,Paramètres!$A$1:$I$89,5,0)</f>
        <v>4.0790837374515837E-13</v>
      </c>
      <c r="BF175" s="14">
        <f t="shared" si="167"/>
        <v>5.2028966193600884E-12</v>
      </c>
      <c r="BG175" s="22">
        <f t="shared" si="168"/>
        <v>9.7721520296583044E-12</v>
      </c>
      <c r="BH175" s="62">
        <f t="shared" si="116"/>
        <v>288.81492944696743</v>
      </c>
      <c r="BI175" s="62">
        <f ca="1">AVERAGE(OFFSET($BH$3,0,0,'Données projet'!$E$11+1,1))-AVERAGE(OFFSET($H$3,0,0,'Données projet'!$E$11+1,1))</f>
        <v>505.16888119060701</v>
      </c>
      <c r="BJ175" s="62">
        <f t="shared" si="146"/>
        <v>351.15312364640613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6.3712794414620357E-21</v>
      </c>
      <c r="BS175" s="24">
        <f t="shared" si="169"/>
        <v>6.3712794414620357E-21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68.195506926115257</v>
      </c>
      <c r="CE175" s="62">
        <f t="shared" si="148"/>
        <v>352.52565673897004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3.4505248837401439</v>
      </c>
      <c r="CL175" s="23">
        <f>EXP(-LN(2)/25)*CL174+(1-EXP(-LN(2)/25))/(LN(2)/25)*Calculateur!CG175*Calculateur!CI175*VLOOKUP('Données projet'!$B$12,Paramètres!$A$1:$I$89,3,0)*0.475*44/12</f>
        <v>0.27025052999325999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3.7207754137334037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77.885897614924062</v>
      </c>
      <c r="CZ175" s="62">
        <f t="shared" si="150"/>
        <v>401.02460251355296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3.9686548183592714</v>
      </c>
      <c r="DG175" s="23">
        <f>EXP(-LN(2)/25)*DG174+(1-EXP(-LN(2)/25))/(LN(2)/25)*Calculateur!DB175*Calculateur!DD175*VLOOKUP('Données projet'!$B$13,Paramètres!$A$1:$I$89,3,0)*0.475*44/12</f>
        <v>0.31083128050342956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4.2794860988627006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79.532301588639172</v>
      </c>
      <c r="DU175" s="62">
        <f t="shared" si="152"/>
        <v>409.2657792678549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4.0568471476561463</v>
      </c>
      <c r="EB175" s="23">
        <f>EXP(-LN(2)/25)*EB174+(1-EXP(-LN(2)/25))/(LN(2)/25)*Calculateur!DW175*Calculateur!DY175*VLOOKUP('Données projet'!$B$14,Paramètres!$A$1:$I$89,3,0)*0.475*44/12</f>
        <v>0.31773864229239462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4.374585789948541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77.885897614924062</v>
      </c>
      <c r="EP175" s="62">
        <f t="shared" si="154"/>
        <v>401.02460251355296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3.9686548183592714</v>
      </c>
      <c r="EW175" s="23">
        <f>EXP(-LN(2)/25)*EW174+(1-EXP(-LN(2)/25))/(LN(2)/25)*Calculateur!ER175*Calculateur!ET175*VLOOKUP('Données projet'!$B$15,Paramètres!$A$1:$I$89,3,0)*0.475*44/12</f>
        <v>0.31083128050342956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4.2794860988627006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426.87921482911719</v>
      </c>
      <c r="T176" s="62">
        <f t="shared" si="142"/>
        <v>313.49594674441835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288.89331365275166</v>
      </c>
      <c r="AN176" s="62">
        <f ca="1">AVERAGE(OFFSET($AM$3,0,0,'Données projet'!$E$10+1,1))-AVERAGE(OFFSET($H$3,0,0,'Données projet'!$E$10+1,1))</f>
        <v>462.95686283420531</v>
      </c>
      <c r="AO176" s="62">
        <f t="shared" si="144"/>
        <v>275.54513370838777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6.8212102632969618E-13</v>
      </c>
      <c r="BE176" s="14">
        <f>BD176*VLOOKUP('Données projet'!$B$11,Paramètres!$A$1:$I$89,3,0)*VLOOKUP('Données projet'!$B$11,Paramètres!$A$1:$I$89,5,0)</f>
        <v>4.0790837374515837E-13</v>
      </c>
      <c r="BF176" s="14">
        <f t="shared" si="167"/>
        <v>5.2028966193600884E-12</v>
      </c>
      <c r="BG176" s="22">
        <f t="shared" si="168"/>
        <v>9.7721520296583044E-12</v>
      </c>
      <c r="BH176" s="62">
        <f t="shared" si="116"/>
        <v>288.89331365275825</v>
      </c>
      <c r="BI176" s="62">
        <f ca="1">AVERAGE(OFFSET($BH$3,0,0,'Données projet'!$E$11+1,1))-AVERAGE(OFFSET($H$3,0,0,'Données projet'!$E$11+1,1))</f>
        <v>505.16888119060701</v>
      </c>
      <c r="BJ176" s="62">
        <f t="shared" si="146"/>
        <v>351.15312364640613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4.5051748978922444E-21</v>
      </c>
      <c r="BS176" s="24">
        <f t="shared" si="169"/>
        <v>4.5051748978922444E-21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68.195506926115257</v>
      </c>
      <c r="CE176" s="62">
        <f t="shared" si="148"/>
        <v>352.52565673897004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3.3828621953823657</v>
      </c>
      <c r="CL176" s="23">
        <f>EXP(-LN(2)/25)*CL175+(1-EXP(-LN(2)/25))/(LN(2)/25)*Calculateur!CG176*Calculateur!CI176*VLOOKUP('Données projet'!$B$12,Paramètres!$A$1:$I$89,3,0)*0.475*44/12</f>
        <v>0.26286051503873659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3.6457227104211021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77.885897614924062</v>
      </c>
      <c r="CZ176" s="62">
        <f t="shared" si="150"/>
        <v>401.02460251355296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3.8908319180116671</v>
      </c>
      <c r="DG176" s="23">
        <f>EXP(-LN(2)/25)*DG175+(1-EXP(-LN(2)/25))/(LN(2)/25)*Calculateur!DB176*Calculateur!DD176*VLOOKUP('Données projet'!$B$13,Paramètres!$A$1:$I$89,3,0)*0.475*44/12</f>
        <v>0.30233158279215666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4.1931635008038235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79.532301588639172</v>
      </c>
      <c r="DU176" s="62">
        <f t="shared" si="152"/>
        <v>409.2657792678549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3.9772948495230396</v>
      </c>
      <c r="EB176" s="23">
        <f>EXP(-LN(2)/25)*EB175+(1-EXP(-LN(2)/25))/(LN(2)/25)*Calculateur!DW176*Calculateur!DY176*VLOOKUP('Données projet'!$B$14,Paramètres!$A$1:$I$89,3,0)*0.475*44/12</f>
        <v>0.30905006240976007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4.2863449119327992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77.885897614924062</v>
      </c>
      <c r="EP176" s="62">
        <f t="shared" si="154"/>
        <v>401.02460251355296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3.8908319180116671</v>
      </c>
      <c r="EW176" s="23">
        <f>EXP(-LN(2)/25)*EW175+(1-EXP(-LN(2)/25))/(LN(2)/25)*Calculateur!ER176*Calculateur!ET176*VLOOKUP('Données projet'!$B$15,Paramètres!$A$1:$I$89,3,0)*0.475*44/12</f>
        <v>0.30233158279215666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4.1931635008038235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426.87921482911719</v>
      </c>
      <c r="T177" s="62">
        <f t="shared" si="142"/>
        <v>313.49594674441835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288.97033806781292</v>
      </c>
      <c r="AN177" s="62">
        <f ca="1">AVERAGE(OFFSET($AM$3,0,0,'Données projet'!$E$10+1,1))-AVERAGE(OFFSET($H$3,0,0,'Données projet'!$E$10+1,1))</f>
        <v>462.95686283420531</v>
      </c>
      <c r="AO177" s="62">
        <f t="shared" si="144"/>
        <v>275.54513370838777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6.8212102632969618E-13</v>
      </c>
      <c r="BE177" s="14">
        <f>BD177*VLOOKUP('Données projet'!$B$11,Paramètres!$A$1:$I$89,3,0)*VLOOKUP('Données projet'!$B$11,Paramètres!$A$1:$I$89,5,0)</f>
        <v>4.0790837374515837E-13</v>
      </c>
      <c r="BF177" s="14">
        <f t="shared" si="167"/>
        <v>5.2028966193600884E-12</v>
      </c>
      <c r="BG177" s="22">
        <f t="shared" si="168"/>
        <v>9.7721520296583044E-12</v>
      </c>
      <c r="BH177" s="62">
        <f t="shared" si="116"/>
        <v>288.97033806781951</v>
      </c>
      <c r="BI177" s="62">
        <f ca="1">AVERAGE(OFFSET($BH$3,0,0,'Données projet'!$E$11+1,1))-AVERAGE(OFFSET($H$3,0,0,'Données projet'!$E$11+1,1))</f>
        <v>505.16888119060701</v>
      </c>
      <c r="BJ177" s="62">
        <f t="shared" si="146"/>
        <v>351.15312364640613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3.1856397207310179E-21</v>
      </c>
      <c r="BS177" s="24">
        <f t="shared" si="169"/>
        <v>3.1856397207310179E-21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68.195506926115257</v>
      </c>
      <c r="CE177" s="62">
        <f t="shared" si="148"/>
        <v>352.52565673897004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3.3165263310731183</v>
      </c>
      <c r="CL177" s="23">
        <f>EXP(-LN(2)/25)*CL176+(1-EXP(-LN(2)/25))/(LN(2)/25)*Calculateur!CG177*Calculateur!CI177*VLOOKUP('Données projet'!$B$12,Paramètres!$A$1:$I$89,3,0)*0.475*44/12</f>
        <v>0.2556725804317686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3.5721989115048869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77.885897614924062</v>
      </c>
      <c r="CZ177" s="62">
        <f t="shared" si="150"/>
        <v>401.02460251355296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3.814535077272597</v>
      </c>
      <c r="DG177" s="23">
        <f>EXP(-LN(2)/25)*DG176+(1-EXP(-LN(2)/25))/(LN(2)/25)*Calculateur!DB177*Calculateur!DD177*VLOOKUP('Données projet'!$B$13,Paramètres!$A$1:$I$89,3,0)*0.475*44/12</f>
        <v>0.29406430976177816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4.1085993870343751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79.532301588639172</v>
      </c>
      <c r="DU177" s="62">
        <f t="shared" si="152"/>
        <v>409.2657792678549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3.899302523434212</v>
      </c>
      <c r="EB177" s="23">
        <f>EXP(-LN(2)/25)*EB176+(1-EXP(-LN(2)/25))/(LN(2)/25)*Calculateur!DW177*Calculateur!DY177*VLOOKUP('Données projet'!$B$14,Paramètres!$A$1:$I$89,3,0)*0.475*44/12</f>
        <v>0.30059907220092874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4.1999015956351409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77.885897614924062</v>
      </c>
      <c r="EP177" s="62">
        <f t="shared" si="154"/>
        <v>401.02460251355296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3.814535077272597</v>
      </c>
      <c r="EW177" s="23">
        <f>EXP(-LN(2)/25)*EW176+(1-EXP(-LN(2)/25))/(LN(2)/25)*Calculateur!ER177*Calculateur!ET177*VLOOKUP('Données projet'!$B$15,Paramètres!$A$1:$I$89,3,0)*0.475*44/12</f>
        <v>0.29406430976177816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4.1085993870343751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426.87921482911719</v>
      </c>
      <c r="T178" s="62">
        <f t="shared" si="142"/>
        <v>313.49594674441835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289.04602628147359</v>
      </c>
      <c r="AN178" s="62">
        <f ca="1">AVERAGE(OFFSET($AM$3,0,0,'Données projet'!$E$10+1,1))-AVERAGE(OFFSET($H$3,0,0,'Données projet'!$E$10+1,1))</f>
        <v>462.95686283420531</v>
      </c>
      <c r="AO178" s="62">
        <f t="shared" si="144"/>
        <v>275.54513370838777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6.8212102632969618E-13</v>
      </c>
      <c r="BE178" s="14">
        <f>BD178*VLOOKUP('Données projet'!$B$11,Paramètres!$A$1:$I$89,3,0)*VLOOKUP('Données projet'!$B$11,Paramètres!$A$1:$I$89,5,0)</f>
        <v>4.0790837374515837E-13</v>
      </c>
      <c r="BF178" s="14">
        <f t="shared" si="167"/>
        <v>5.2028966193600884E-12</v>
      </c>
      <c r="BG178" s="22">
        <f t="shared" si="168"/>
        <v>9.7721520296583044E-12</v>
      </c>
      <c r="BH178" s="62">
        <f t="shared" si="116"/>
        <v>289.04602628148018</v>
      </c>
      <c r="BI178" s="62">
        <f ca="1">AVERAGE(OFFSET($BH$3,0,0,'Données projet'!$E$11+1,1))-AVERAGE(OFFSET($H$3,0,0,'Données projet'!$E$11+1,1))</f>
        <v>505.16888119060701</v>
      </c>
      <c r="BJ178" s="62">
        <f t="shared" si="146"/>
        <v>351.15312364640613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2.2525874489461222E-21</v>
      </c>
      <c r="BS178" s="24">
        <f t="shared" si="169"/>
        <v>2.2525874489461222E-21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68.195506926115257</v>
      </c>
      <c r="CE178" s="62">
        <f t="shared" si="148"/>
        <v>352.52565673897004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3.2514912726020935</v>
      </c>
      <c r="CL178" s="23">
        <f>EXP(-LN(2)/25)*CL177+(1-EXP(-LN(2)/25))/(LN(2)/25)*Calculateur!CG178*Calculateur!CI178*VLOOKUP('Données projet'!$B$12,Paramètres!$A$1:$I$89,3,0)*0.475*44/12</f>
        <v>0.24868120027462523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3.5001724728767187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77.885897614924062</v>
      </c>
      <c r="CZ178" s="62">
        <f t="shared" si="150"/>
        <v>401.02460251355296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3.7397343710439421</v>
      </c>
      <c r="DG178" s="23">
        <f>EXP(-LN(2)/25)*DG177+(1-EXP(-LN(2)/25))/(LN(2)/25)*Calculateur!DB178*Calculateur!DD178*VLOOKUP('Données projet'!$B$13,Paramètres!$A$1:$I$89,3,0)*0.475*44/12</f>
        <v>0.28602310574717238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4.0257574767911146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79.532301588639172</v>
      </c>
      <c r="DU178" s="62">
        <f t="shared" si="152"/>
        <v>409.2657792678549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3.822839579289365</v>
      </c>
      <c r="EB178" s="23">
        <f>EXP(-LN(2)/25)*EB177+(1-EXP(-LN(2)/25))/(LN(2)/25)*Calculateur!DW178*Calculateur!DY178*VLOOKUP('Données projet'!$B$14,Paramètres!$A$1:$I$89,3,0)*0.475*44/12</f>
        <v>0.29237917476377617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4.1152187540531413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77.885897614924062</v>
      </c>
      <c r="EP178" s="62">
        <f t="shared" si="154"/>
        <v>401.02460251355296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3.7397343710439421</v>
      </c>
      <c r="EW178" s="23">
        <f>EXP(-LN(2)/25)*EW177+(1-EXP(-LN(2)/25))/(LN(2)/25)*Calculateur!ER178*Calculateur!ET178*VLOOKUP('Données projet'!$B$15,Paramètres!$A$1:$I$89,3,0)*0.475*44/12</f>
        <v>0.28602310574717238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4.0257574767911146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426.87921482911719</v>
      </c>
      <c r="T179" s="62">
        <f t="shared" si="142"/>
        <v>313.49594674441835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289.12040147384079</v>
      </c>
      <c r="AN179" s="62">
        <f ca="1">AVERAGE(OFFSET($AM$3,0,0,'Données projet'!$E$10+1,1))-AVERAGE(OFFSET($H$3,0,0,'Données projet'!$E$10+1,1))</f>
        <v>462.95686283420531</v>
      </c>
      <c r="AO179" s="62">
        <f t="shared" si="144"/>
        <v>275.54513370838777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6.8212102632969618E-13</v>
      </c>
      <c r="BE179" s="14">
        <f>BD179*VLOOKUP('Données projet'!$B$11,Paramètres!$A$1:$I$89,3,0)*VLOOKUP('Données projet'!$B$11,Paramètres!$A$1:$I$89,5,0)</f>
        <v>4.0790837374515837E-13</v>
      </c>
      <c r="BF179" s="14">
        <f t="shared" si="167"/>
        <v>5.2028966193600884E-12</v>
      </c>
      <c r="BG179" s="22">
        <f t="shared" si="168"/>
        <v>9.7721520296583044E-12</v>
      </c>
      <c r="BH179" s="62">
        <f t="shared" si="116"/>
        <v>289.12040147384738</v>
      </c>
      <c r="BI179" s="62">
        <f ca="1">AVERAGE(OFFSET($BH$3,0,0,'Données projet'!$E$11+1,1))-AVERAGE(OFFSET($H$3,0,0,'Données projet'!$E$11+1,1))</f>
        <v>505.16888119060701</v>
      </c>
      <c r="BJ179" s="62">
        <f t="shared" si="146"/>
        <v>351.15312364640613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1.5928198603655089E-21</v>
      </c>
      <c r="BS179" s="24">
        <f t="shared" si="169"/>
        <v>1.5928198603655089E-21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68.195506926115257</v>
      </c>
      <c r="CE179" s="62">
        <f t="shared" si="148"/>
        <v>352.52565673897004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3.1877315119602168</v>
      </c>
      <c r="CL179" s="23">
        <f>EXP(-LN(2)/25)*CL178+(1-EXP(-LN(2)/25))/(LN(2)/25)*Calculateur!CG179*Calculateur!CI179*VLOOKUP('Données projet'!$B$12,Paramètres!$A$1:$I$89,3,0)*0.475*44/12</f>
        <v>0.24188099977553965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3.4296125117357565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77.885897614924062</v>
      </c>
      <c r="CZ179" s="62">
        <f t="shared" si="150"/>
        <v>401.02460251355296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3.6664004610405057</v>
      </c>
      <c r="DG179" s="23">
        <f>EXP(-LN(2)/25)*DG178+(1-EXP(-LN(2)/25))/(LN(2)/25)*Calculateur!DB179*Calculateur!DD179*VLOOKUP('Données projet'!$B$13,Paramètres!$A$1:$I$89,3,0)*0.475*44/12</f>
        <v>0.27820178887921454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3.9446022499197202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79.532301588639172</v>
      </c>
      <c r="DU179" s="62">
        <f t="shared" si="152"/>
        <v>409.2657792678549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3.7478760268414075</v>
      </c>
      <c r="EB179" s="23">
        <f>EXP(-LN(2)/25)*EB178+(1-EXP(-LN(2)/25))/(LN(2)/25)*Calculateur!DW179*Calculateur!DY179*VLOOKUP('Données projet'!$B$14,Paramètres!$A$1:$I$89,3,0)*0.475*44/12</f>
        <v>0.28438405085430818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4.0322600776957156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77.885897614924062</v>
      </c>
      <c r="EP179" s="62">
        <f t="shared" si="154"/>
        <v>401.02460251355296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3.6664004610405057</v>
      </c>
      <c r="EW179" s="23">
        <f>EXP(-LN(2)/25)*EW178+(1-EXP(-LN(2)/25))/(LN(2)/25)*Calculateur!ER179*Calculateur!ET179*VLOOKUP('Données projet'!$B$15,Paramètres!$A$1:$I$89,3,0)*0.475*44/12</f>
        <v>0.27820178887921454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3.9446022499197202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426.87921482911719</v>
      </c>
      <c r="T180" s="62">
        <f t="shared" si="142"/>
        <v>313.49594674441835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289.19348642289845</v>
      </c>
      <c r="AN180" s="62">
        <f ca="1">AVERAGE(OFFSET($AM$3,0,0,'Données projet'!$E$10+1,1))-AVERAGE(OFFSET($H$3,0,0,'Données projet'!$E$10+1,1))</f>
        <v>462.95686283420531</v>
      </c>
      <c r="AO180" s="62">
        <f t="shared" si="144"/>
        <v>275.54513370838777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6.8212102632969618E-13</v>
      </c>
      <c r="BE180" s="14">
        <f>BD180*VLOOKUP('Données projet'!$B$11,Paramètres!$A$1:$I$89,3,0)*VLOOKUP('Données projet'!$B$11,Paramètres!$A$1:$I$89,5,0)</f>
        <v>4.0790837374515837E-13</v>
      </c>
      <c r="BF180" s="14">
        <f t="shared" si="167"/>
        <v>5.2028966193600884E-12</v>
      </c>
      <c r="BG180" s="22">
        <f t="shared" si="168"/>
        <v>9.7721520296583044E-12</v>
      </c>
      <c r="BH180" s="62">
        <f t="shared" si="116"/>
        <v>289.19348642290504</v>
      </c>
      <c r="BI180" s="62">
        <f ca="1">AVERAGE(OFFSET($BH$3,0,0,'Données projet'!$E$11+1,1))-AVERAGE(OFFSET($H$3,0,0,'Données projet'!$E$11+1,1))</f>
        <v>505.16888119060701</v>
      </c>
      <c r="BJ180" s="62">
        <f t="shared" si="146"/>
        <v>351.15312364640613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1.1262937244730611E-21</v>
      </c>
      <c r="BS180" s="24">
        <f t="shared" si="169"/>
        <v>1.1262937244730611E-21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68.195506926115257</v>
      </c>
      <c r="CE180" s="62">
        <f t="shared" si="148"/>
        <v>352.52565673897004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3.1252220413349132</v>
      </c>
      <c r="CL180" s="23">
        <f>EXP(-LN(2)/25)*CL179+(1-EXP(-LN(2)/25))/(LN(2)/25)*Calculateur!CG180*Calculateur!CI180*VLOOKUP('Données projet'!$B$12,Paramètres!$A$1:$I$89,3,0)*0.475*44/12</f>
        <v>0.23526675111670856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3.3604887924516218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77.885897614924062</v>
      </c>
      <c r="CZ180" s="62">
        <f t="shared" si="150"/>
        <v>401.02460251355296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3.5945045842829679</v>
      </c>
      <c r="DG180" s="23">
        <f>EXP(-LN(2)/25)*DG179+(1-EXP(-LN(2)/25))/(LN(2)/25)*Calculateur!DB180*Calculateur!DD180*VLOOKUP('Données projet'!$B$13,Paramètres!$A$1:$I$89,3,0)*0.475*44/12</f>
        <v>0.27059434633231616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3.8650989306152841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79.532301588639172</v>
      </c>
      <c r="DU180" s="62">
        <f t="shared" si="152"/>
        <v>409.2657792678549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3.6743824639337022</v>
      </c>
      <c r="EB180" s="23">
        <f>EXP(-LN(2)/25)*EB179+(1-EXP(-LN(2)/25))/(LN(2)/25)*Calculateur!DW180*Calculateur!DY180*VLOOKUP('Données projet'!$B$14,Paramètres!$A$1:$I$89,3,0)*0.475*44/12</f>
        <v>0.27660755402858983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3.9509900179622921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77.885897614924062</v>
      </c>
      <c r="EP180" s="62">
        <f t="shared" si="154"/>
        <v>401.02460251355296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3.5945045842829679</v>
      </c>
      <c r="EW180" s="23">
        <f>EXP(-LN(2)/25)*EW179+(1-EXP(-LN(2)/25))/(LN(2)/25)*Calculateur!ER180*Calculateur!ET180*VLOOKUP('Données projet'!$B$15,Paramètres!$A$1:$I$89,3,0)*0.475*44/12</f>
        <v>0.27059434633231616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3.8650989306152841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426.87921482911719</v>
      </c>
      <c r="T181" s="62">
        <f t="shared" si="142"/>
        <v>313.49594674441835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289.26530351148335</v>
      </c>
      <c r="AN181" s="62">
        <f ca="1">AVERAGE(OFFSET($AM$3,0,0,'Données projet'!$E$10+1,1))-AVERAGE(OFFSET($H$3,0,0,'Données projet'!$E$10+1,1))</f>
        <v>462.95686283420531</v>
      </c>
      <c r="AO181" s="62">
        <f t="shared" si="144"/>
        <v>275.54513370838777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6.8212102632969618E-13</v>
      </c>
      <c r="BE181" s="14">
        <f>BD181*VLOOKUP('Données projet'!$B$11,Paramètres!$A$1:$I$89,3,0)*VLOOKUP('Données projet'!$B$11,Paramètres!$A$1:$I$89,5,0)</f>
        <v>4.0790837374515837E-13</v>
      </c>
      <c r="BF181" s="14">
        <f t="shared" si="167"/>
        <v>5.2028966193600884E-12</v>
      </c>
      <c r="BG181" s="22">
        <f t="shared" si="168"/>
        <v>9.7721520296583044E-12</v>
      </c>
      <c r="BH181" s="62">
        <f t="shared" si="116"/>
        <v>289.26530351148995</v>
      </c>
      <c r="BI181" s="62">
        <f ca="1">AVERAGE(OFFSET($BH$3,0,0,'Données projet'!$E$11+1,1))-AVERAGE(OFFSET($H$3,0,0,'Données projet'!$E$11+1,1))</f>
        <v>505.16888119060701</v>
      </c>
      <c r="BJ181" s="62">
        <f t="shared" si="146"/>
        <v>351.15312364640613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7.9640993018275447E-22</v>
      </c>
      <c r="BS181" s="24">
        <f t="shared" si="169"/>
        <v>7.9640993018275447E-22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68.195506926115257</v>
      </c>
      <c r="CE181" s="62">
        <f t="shared" si="148"/>
        <v>352.52565673897004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3.0639383433015595</v>
      </c>
      <c r="CL181" s="23">
        <f>EXP(-LN(2)/25)*CL180+(1-EXP(-LN(2)/25))/(LN(2)/25)*Calculateur!CG181*Calculateur!CI181*VLOOKUP('Données projet'!$B$12,Paramètres!$A$1:$I$89,3,0)*0.475*44/12</f>
        <v>0.22883336943528143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3.2927717127368408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77.885897614924062</v>
      </c>
      <c r="CZ181" s="62">
        <f t="shared" si="150"/>
        <v>401.02460251355296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3.5240185418164907</v>
      </c>
      <c r="DG181" s="23">
        <f>EXP(-LN(2)/25)*DG180+(1-EXP(-LN(2)/25))/(LN(2)/25)*Calculateur!DB181*Calculateur!DD181*VLOOKUP('Données projet'!$B$13,Paramètres!$A$1:$I$89,3,0)*0.475*44/12</f>
        <v>0.26319492970192077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3.7872134715184114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79.532301588639172</v>
      </c>
      <c r="DU181" s="62">
        <f t="shared" si="152"/>
        <v>409.2657792678549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3.6023300649679699</v>
      </c>
      <c r="EB181" s="23">
        <f>EXP(-LN(2)/25)*EB180+(1-EXP(-LN(2)/25))/(LN(2)/25)*Calculateur!DW181*Calculateur!DY181*VLOOKUP('Données projet'!$B$14,Paramètres!$A$1:$I$89,3,0)*0.475*44/12</f>
        <v>0.26904370591751897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3.871373770885489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77.885897614924062</v>
      </c>
      <c r="EP181" s="62">
        <f t="shared" si="154"/>
        <v>401.02460251355296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3.5240185418164907</v>
      </c>
      <c r="EW181" s="23">
        <f>EXP(-LN(2)/25)*EW180+(1-EXP(-LN(2)/25))/(LN(2)/25)*Calculateur!ER181*Calculateur!ET181*VLOOKUP('Données projet'!$B$15,Paramètres!$A$1:$I$89,3,0)*0.475*44/12</f>
        <v>0.26319492970192077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3.7872134715184114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426.87921482911719</v>
      </c>
      <c r="T182" s="62">
        <f t="shared" si="142"/>
        <v>313.49594674441835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289.3358747341403</v>
      </c>
      <c r="AN182" s="62">
        <f ca="1">AVERAGE(OFFSET($AM$3,0,0,'Données projet'!$E$10+1,1))-AVERAGE(OFFSET($H$3,0,0,'Données projet'!$E$10+1,1))</f>
        <v>462.95686283420531</v>
      </c>
      <c r="AO182" s="62">
        <f t="shared" si="144"/>
        <v>275.54513370838777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6.8212102632969618E-13</v>
      </c>
      <c r="BE182" s="14">
        <f>BD182*VLOOKUP('Données projet'!$B$11,Paramètres!$A$1:$I$89,3,0)*VLOOKUP('Données projet'!$B$11,Paramètres!$A$1:$I$89,5,0)</f>
        <v>4.0790837374515837E-13</v>
      </c>
      <c r="BF182" s="14">
        <f t="shared" si="167"/>
        <v>5.2028966193600884E-12</v>
      </c>
      <c r="BG182" s="22">
        <f t="shared" si="168"/>
        <v>9.7721520296583044E-12</v>
      </c>
      <c r="BH182" s="62">
        <f t="shared" si="116"/>
        <v>289.3358747341469</v>
      </c>
      <c r="BI182" s="62">
        <f ca="1">AVERAGE(OFFSET($BH$3,0,0,'Données projet'!$E$11+1,1))-AVERAGE(OFFSET($H$3,0,0,'Données projet'!$E$11+1,1))</f>
        <v>505.16888119060701</v>
      </c>
      <c r="BJ182" s="62">
        <f t="shared" si="146"/>
        <v>351.15312364640613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5.6314686223653055E-22</v>
      </c>
      <c r="BS182" s="24">
        <f t="shared" si="169"/>
        <v>5.6314686223653055E-22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68.195506926115257</v>
      </c>
      <c r="CE182" s="62">
        <f t="shared" si="148"/>
        <v>352.52565673897004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3.0038563812072749</v>
      </c>
      <c r="CL182" s="23">
        <f>EXP(-LN(2)/25)*CL181+(1-EXP(-LN(2)/25))/(LN(2)/25)*Calculateur!CG182*Calculateur!CI182*VLOOKUP('Données projet'!$B$12,Paramètres!$A$1:$I$89,3,0)*0.475*44/12</f>
        <v>0.22257590891424978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3.2264322901215245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77.885897614924062</v>
      </c>
      <c r="CZ182" s="62">
        <f t="shared" si="150"/>
        <v>401.02460251355296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3.4549146876505401</v>
      </c>
      <c r="DG182" s="23">
        <f>EXP(-LN(2)/25)*DG181+(1-EXP(-LN(2)/25))/(LN(2)/25)*Calculateur!DB182*Calculateur!DD182*VLOOKUP('Données projet'!$B$13,Paramètres!$A$1:$I$89,3,0)*0.475*44/12</f>
        <v>0.2559978505084019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3.7109125381589418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79.532301588639172</v>
      </c>
      <c r="DU182" s="62">
        <f t="shared" si="152"/>
        <v>409.2657792678549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3.5316905695983318</v>
      </c>
      <c r="EB182" s="23">
        <f>EXP(-LN(2)/25)*EB181+(1-EXP(-LN(2)/25))/(LN(2)/25)*Calculateur!DW182*Calculateur!DY182*VLOOKUP('Données projet'!$B$14,Paramètres!$A$1:$I$89,3,0)*0.475*44/12</f>
        <v>0.26168669163081082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3.7933772612291428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77.885897614924062</v>
      </c>
      <c r="EP182" s="62">
        <f t="shared" si="154"/>
        <v>401.02460251355296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3.4549146876505401</v>
      </c>
      <c r="EW182" s="23">
        <f>EXP(-LN(2)/25)*EW181+(1-EXP(-LN(2)/25))/(LN(2)/25)*Calculateur!ER182*Calculateur!ET182*VLOOKUP('Données projet'!$B$15,Paramètres!$A$1:$I$89,3,0)*0.475*44/12</f>
        <v>0.2559978505084019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3.7109125381589418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426.87921482911719</v>
      </c>
      <c r="T183" s="62">
        <f t="shared" si="142"/>
        <v>313.49594674441835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289.40522170385782</v>
      </c>
      <c r="AN183" s="62">
        <f ca="1">AVERAGE(OFFSET($AM$3,0,0,'Données projet'!$E$10+1,1))-AVERAGE(OFFSET($H$3,0,0,'Données projet'!$E$10+1,1))</f>
        <v>462.95686283420531</v>
      </c>
      <c r="AO183" s="62">
        <f t="shared" si="144"/>
        <v>275.54513370838777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6.8212102632969618E-13</v>
      </c>
      <c r="BE183" s="14">
        <f>BD183*VLOOKUP('Données projet'!$B$11,Paramètres!$A$1:$I$89,3,0)*VLOOKUP('Données projet'!$B$11,Paramètres!$A$1:$I$89,5,0)</f>
        <v>4.0790837374515837E-13</v>
      </c>
      <c r="BF183" s="14">
        <f t="shared" si="167"/>
        <v>5.2028966193600884E-12</v>
      </c>
      <c r="BG183" s="22">
        <f t="shared" si="168"/>
        <v>9.7721520296583044E-12</v>
      </c>
      <c r="BH183" s="62">
        <f t="shared" si="116"/>
        <v>289.40522170386441</v>
      </c>
      <c r="BI183" s="62">
        <f ca="1">AVERAGE(OFFSET($BH$3,0,0,'Données projet'!$E$11+1,1))-AVERAGE(OFFSET($H$3,0,0,'Données projet'!$E$11+1,1))</f>
        <v>505.16888119060701</v>
      </c>
      <c r="BJ183" s="62">
        <f t="shared" si="146"/>
        <v>351.15312364640613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3.9820496509137723E-22</v>
      </c>
      <c r="BS183" s="24">
        <f t="shared" si="169"/>
        <v>3.9820496509137723E-22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68.195506926115257</v>
      </c>
      <c r="CE183" s="62">
        <f t="shared" si="148"/>
        <v>352.52565673897004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2.9449525897432811</v>
      </c>
      <c r="CL183" s="23">
        <f>EXP(-LN(2)/25)*CL182+(1-EXP(-LN(2)/25))/(LN(2)/25)*Calculateur!CG183*Calculateur!CI183*VLOOKUP('Données projet'!$B$12,Paramètres!$A$1:$I$89,3,0)*0.475*44/12</f>
        <v>0.21648955898023128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3.1614421487235123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77.885897614924062</v>
      </c>
      <c r="CZ183" s="62">
        <f t="shared" si="150"/>
        <v>401.02460251355296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3.3871659179155951</v>
      </c>
      <c r="DG183" s="23">
        <f>EXP(-LN(2)/25)*DG182+(1-EXP(-LN(2)/25))/(LN(2)/25)*Calculateur!DB183*Calculateur!DD183*VLOOKUP('Données projet'!$B$13,Paramètres!$A$1:$I$89,3,0)*0.475*44/12</f>
        <v>0.24899757582390777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3.6361634937395029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79.532301588639172</v>
      </c>
      <c r="DU183" s="62">
        <f t="shared" si="152"/>
        <v>409.2657792678549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3.4624362716470545</v>
      </c>
      <c r="EB183" s="23">
        <f>EXP(-LN(2)/25)*EB182+(1-EXP(-LN(2)/25))/(LN(2)/25)*Calculateur!DW183*Calculateur!DY183*VLOOKUP('Données projet'!$B$14,Paramètres!$A$1:$I$89,3,0)*0.475*44/12</f>
        <v>0.25453085528666125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3.7169671269337159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77.885897614924062</v>
      </c>
      <c r="EP183" s="62">
        <f t="shared" si="154"/>
        <v>401.02460251355296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3.3871659179155951</v>
      </c>
      <c r="EW183" s="23">
        <f>EXP(-LN(2)/25)*EW182+(1-EXP(-LN(2)/25))/(LN(2)/25)*Calculateur!ER183*Calculateur!ET183*VLOOKUP('Données projet'!$B$15,Paramètres!$A$1:$I$89,3,0)*0.475*44/12</f>
        <v>0.24899757582390777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3.6361634937395029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426.87921482911719</v>
      </c>
      <c r="T184" s="62">
        <f t="shared" si="142"/>
        <v>313.49594674441835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289.47336565868727</v>
      </c>
      <c r="AN184" s="62">
        <f ca="1">AVERAGE(OFFSET($AM$3,0,0,'Données projet'!$E$10+1,1))-AVERAGE(OFFSET($H$3,0,0,'Données projet'!$E$10+1,1))</f>
        <v>462.95686283420531</v>
      </c>
      <c r="AO184" s="62">
        <f t="shared" si="144"/>
        <v>275.54513370838777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6.8212102632969618E-13</v>
      </c>
      <c r="BE184" s="14">
        <f>BD184*VLOOKUP('Données projet'!$B$11,Paramètres!$A$1:$I$89,3,0)*VLOOKUP('Données projet'!$B$11,Paramètres!$A$1:$I$89,5,0)</f>
        <v>4.0790837374515837E-13</v>
      </c>
      <c r="BF184" s="14">
        <f t="shared" si="167"/>
        <v>5.2028966193600884E-12</v>
      </c>
      <c r="BG184" s="22">
        <f t="shared" si="168"/>
        <v>9.7721520296583044E-12</v>
      </c>
      <c r="BH184" s="62">
        <f t="shared" si="116"/>
        <v>289.47336565869387</v>
      </c>
      <c r="BI184" s="62">
        <f ca="1">AVERAGE(OFFSET($BH$3,0,0,'Données projet'!$E$11+1,1))-AVERAGE(OFFSET($H$3,0,0,'Données projet'!$E$11+1,1))</f>
        <v>505.16888119060701</v>
      </c>
      <c r="BJ184" s="62">
        <f t="shared" si="146"/>
        <v>351.15312364640613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2.8157343111826527E-22</v>
      </c>
      <c r="BS184" s="24">
        <f t="shared" si="169"/>
        <v>2.8157343111826527E-22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68.195506926115257</v>
      </c>
      <c r="CE184" s="62">
        <f t="shared" si="148"/>
        <v>352.52565673897004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2.8872038657021308</v>
      </c>
      <c r="CL184" s="23">
        <f>EXP(-LN(2)/25)*CL183+(1-EXP(-LN(2)/25))/(LN(2)/25)*Calculateur!CG184*Calculateur!CI184*VLOOKUP('Données projet'!$B$12,Paramètres!$A$1:$I$89,3,0)*0.475*44/12</f>
        <v>0.21056964060522573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3.0977735063073566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77.885897614924062</v>
      </c>
      <c r="CZ184" s="62">
        <f t="shared" si="150"/>
        <v>401.02460251355296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3.320745660232483</v>
      </c>
      <c r="DG184" s="23">
        <f>EXP(-LN(2)/25)*DG183+(1-EXP(-LN(2)/25))/(LN(2)/25)*Calculateur!DB184*Calculateur!DD184*VLOOKUP('Données projet'!$B$13,Paramètres!$A$1:$I$89,3,0)*0.475*44/12</f>
        <v>0.2421887240187896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3.5629343842512724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79.532301588639172</v>
      </c>
      <c r="DU184" s="62">
        <f t="shared" si="152"/>
        <v>409.2657792678549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3.3945400082376507</v>
      </c>
      <c r="EB184" s="23">
        <f>EXP(-LN(2)/25)*EB183+(1-EXP(-LN(2)/25))/(LN(2)/25)*Calculateur!DW184*Calculateur!DY184*VLOOKUP('Données projet'!$B$14,Paramètres!$A$1:$I$89,3,0)*0.475*44/12</f>
        <v>0.24757069566365156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3.6421107039013023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77.885897614924062</v>
      </c>
      <c r="EP184" s="62">
        <f t="shared" si="154"/>
        <v>401.02460251355296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3.320745660232483</v>
      </c>
      <c r="EW184" s="23">
        <f>EXP(-LN(2)/25)*EW183+(1-EXP(-LN(2)/25))/(LN(2)/25)*Calculateur!ER184*Calculateur!ET184*VLOOKUP('Données projet'!$B$15,Paramètres!$A$1:$I$89,3,0)*0.475*44/12</f>
        <v>0.2421887240187896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3.5629343842512724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426.87921482911719</v>
      </c>
      <c r="T185" s="62">
        <f t="shared" si="142"/>
        <v>313.49594674441835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289.5403274682476</v>
      </c>
      <c r="AN185" s="62">
        <f ca="1">AVERAGE(OFFSET($AM$3,0,0,'Données projet'!$E$10+1,1))-AVERAGE(OFFSET($H$3,0,0,'Données projet'!$E$10+1,1))</f>
        <v>462.95686283420531</v>
      </c>
      <c r="AO185" s="62">
        <f t="shared" si="144"/>
        <v>275.54513370838777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6.8212102632969618E-13</v>
      </c>
      <c r="BE185" s="14">
        <f>BD185*VLOOKUP('Données projet'!$B$11,Paramètres!$A$1:$I$89,3,0)*VLOOKUP('Données projet'!$B$11,Paramètres!$A$1:$I$89,5,0)</f>
        <v>4.0790837374515837E-13</v>
      </c>
      <c r="BF185" s="14">
        <f t="shared" si="167"/>
        <v>5.2028966193600884E-12</v>
      </c>
      <c r="BG185" s="22">
        <f t="shared" si="168"/>
        <v>9.7721520296583044E-12</v>
      </c>
      <c r="BH185" s="62">
        <f t="shared" si="116"/>
        <v>289.54032746825419</v>
      </c>
      <c r="BI185" s="62">
        <f ca="1">AVERAGE(OFFSET($BH$3,0,0,'Données projet'!$E$11+1,1))-AVERAGE(OFFSET($H$3,0,0,'Données projet'!$E$11+1,1))</f>
        <v>505.16888119060701</v>
      </c>
      <c r="BJ185" s="62">
        <f t="shared" si="146"/>
        <v>351.15312364640613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1.9910248254568862E-22</v>
      </c>
      <c r="BS185" s="24">
        <f t="shared" si="169"/>
        <v>1.9910248254568862E-22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68.195506926115257</v>
      </c>
      <c r="CE185" s="62">
        <f t="shared" si="148"/>
        <v>352.52565673897004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2.830587558916184</v>
      </c>
      <c r="CL185" s="23">
        <f>EXP(-LN(2)/25)*CL184+(1-EXP(-LN(2)/25))/(LN(2)/25)*Calculateur!CG185*Calculateur!CI185*VLOOKUP('Données projet'!$B$12,Paramètres!$A$1:$I$89,3,0)*0.475*44/12</f>
        <v>0.20481160270949969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3.0353991616256835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77.885897614924062</v>
      </c>
      <c r="CZ185" s="62">
        <f t="shared" si="150"/>
        <v>401.02460251355296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3.2556278632901798</v>
      </c>
      <c r="DG185" s="23">
        <f>EXP(-LN(2)/25)*DG184+(1-EXP(-LN(2)/25))/(LN(2)/25)*Calculateur!DB185*Calculateur!DD185*VLOOKUP('Données projet'!$B$13,Paramètres!$A$1:$I$89,3,0)*0.475*44/12</f>
        <v>0.23556606062434435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3.491193923914524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79.532301588639172</v>
      </c>
      <c r="DU185" s="62">
        <f t="shared" si="152"/>
        <v>409.2657792678549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3.3279751491410741</v>
      </c>
      <c r="EB185" s="23">
        <f>EXP(-LN(2)/25)*EB184+(1-EXP(-LN(2)/25))/(LN(2)/25)*Calculateur!DW185*Calculateur!DY185*VLOOKUP('Données projet'!$B$14,Paramètres!$A$1:$I$89,3,0)*0.475*44/12</f>
        <v>0.24080086197155195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3.5687760111126261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77.885897614924062</v>
      </c>
      <c r="EP185" s="62">
        <f t="shared" si="154"/>
        <v>401.02460251355296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3.2556278632901798</v>
      </c>
      <c r="EW185" s="23">
        <f>EXP(-LN(2)/25)*EW184+(1-EXP(-LN(2)/25))/(LN(2)/25)*Calculateur!ER185*Calculateur!ET185*VLOOKUP('Données projet'!$B$15,Paramètres!$A$1:$I$89,3,0)*0.475*44/12</f>
        <v>0.23556606062434435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3.491193923914524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426.87921482911719</v>
      </c>
      <c r="T186" s="62">
        <f t="shared" si="142"/>
        <v>313.49594674441835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289.60612764011614</v>
      </c>
      <c r="AN186" s="62">
        <f ca="1">AVERAGE(OFFSET($AM$3,0,0,'Données projet'!$E$10+1,1))-AVERAGE(OFFSET($H$3,0,0,'Données projet'!$E$10+1,1))</f>
        <v>462.95686283420531</v>
      </c>
      <c r="AO186" s="62">
        <f t="shared" si="144"/>
        <v>275.54513370838777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6.8212102632969618E-13</v>
      </c>
      <c r="BE186" s="14">
        <f>BD186*VLOOKUP('Données projet'!$B$11,Paramètres!$A$1:$I$89,3,0)*VLOOKUP('Données projet'!$B$11,Paramètres!$A$1:$I$89,5,0)</f>
        <v>4.0790837374515837E-13</v>
      </c>
      <c r="BF186" s="14">
        <f t="shared" si="167"/>
        <v>5.2028966193600884E-12</v>
      </c>
      <c r="BG186" s="22">
        <f t="shared" si="168"/>
        <v>9.7721520296583044E-12</v>
      </c>
      <c r="BH186" s="62">
        <f t="shared" si="116"/>
        <v>289.60612764012274</v>
      </c>
      <c r="BI186" s="62">
        <f ca="1">AVERAGE(OFFSET($BH$3,0,0,'Données projet'!$E$11+1,1))-AVERAGE(OFFSET($H$3,0,0,'Données projet'!$E$11+1,1))</f>
        <v>505.16888119060701</v>
      </c>
      <c r="BJ186" s="62">
        <f t="shared" si="146"/>
        <v>351.15312364640613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1.4078671555913264E-22</v>
      </c>
      <c r="BS186" s="24">
        <f t="shared" si="169"/>
        <v>1.4078671555913264E-22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68.195506926115257</v>
      </c>
      <c r="CE186" s="62">
        <f t="shared" si="148"/>
        <v>352.52565673897004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2.7750814633737719</v>
      </c>
      <c r="CL186" s="23">
        <f>EXP(-LN(2)/25)*CL185+(1-EXP(-LN(2)/25))/(LN(2)/25)*Calculateur!CG186*Calculateur!CI186*VLOOKUP('Données projet'!$B$12,Paramètres!$A$1:$I$89,3,0)*0.475*44/12</f>
        <v>0.19921101866283433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2.9742924820366063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77.885897614924062</v>
      </c>
      <c r="CZ186" s="62">
        <f t="shared" si="150"/>
        <v>401.02460251355296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3.1917869866279807</v>
      </c>
      <c r="DG186" s="23">
        <f>EXP(-LN(2)/25)*DG185+(1-EXP(-LN(2)/25))/(LN(2)/25)*Calculateur!DB186*Calculateur!DD186*VLOOKUP('Données projet'!$B$13,Paramètres!$A$1:$I$89,3,0)*0.475*44/12</f>
        <v>0.22912449430869092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3.4209114809366716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79.532301588639172</v>
      </c>
      <c r="DU186" s="62">
        <f t="shared" si="152"/>
        <v>409.2657792678549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3.2627155863308261</v>
      </c>
      <c r="EB186" s="23">
        <f>EXP(-LN(2)/25)*EB185+(1-EXP(-LN(2)/25))/(LN(2)/25)*Calculateur!DW186*Calculateur!DY186*VLOOKUP('Données projet'!$B$14,Paramètres!$A$1:$I$89,3,0)*0.475*44/12</f>
        <v>0.23421614973777288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3.496931736068599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77.885897614924062</v>
      </c>
      <c r="EP186" s="62">
        <f t="shared" si="154"/>
        <v>401.02460251355296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3.1917869866279807</v>
      </c>
      <c r="EW186" s="23">
        <f>EXP(-LN(2)/25)*EW185+(1-EXP(-LN(2)/25))/(LN(2)/25)*Calculateur!ER186*Calculateur!ET186*VLOOKUP('Données projet'!$B$15,Paramètres!$A$1:$I$89,3,0)*0.475*44/12</f>
        <v>0.22912449430869092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3.4209114809366716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426.87921482911719</v>
      </c>
      <c r="T187" s="62">
        <f t="shared" si="142"/>
        <v>313.49594674441835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289.67078632610992</v>
      </c>
      <c r="AN187" s="62">
        <f ca="1">AVERAGE(OFFSET($AM$3,0,0,'Données projet'!$E$10+1,1))-AVERAGE(OFFSET($H$3,0,0,'Données projet'!$E$10+1,1))</f>
        <v>462.95686283420531</v>
      </c>
      <c r="AO187" s="62">
        <f t="shared" si="144"/>
        <v>275.54513370838777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6.8212102632969618E-13</v>
      </c>
      <c r="BE187" s="14">
        <f>BD187*VLOOKUP('Données projet'!$B$11,Paramètres!$A$1:$I$89,3,0)*VLOOKUP('Données projet'!$B$11,Paramètres!$A$1:$I$89,5,0)</f>
        <v>4.0790837374515837E-13</v>
      </c>
      <c r="BF187" s="14">
        <f t="shared" si="167"/>
        <v>5.2028966193600884E-12</v>
      </c>
      <c r="BG187" s="22">
        <f t="shared" si="168"/>
        <v>9.7721520296583044E-12</v>
      </c>
      <c r="BH187" s="62">
        <f t="shared" si="116"/>
        <v>289.67078632611651</v>
      </c>
      <c r="BI187" s="62">
        <f ca="1">AVERAGE(OFFSET($BH$3,0,0,'Données projet'!$E$11+1,1))-AVERAGE(OFFSET($H$3,0,0,'Données projet'!$E$11+1,1))</f>
        <v>505.16888119060701</v>
      </c>
      <c r="BJ187" s="62">
        <f t="shared" si="146"/>
        <v>351.15312364640613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9.9551241272844308E-23</v>
      </c>
      <c r="BS187" s="24">
        <f t="shared" si="169"/>
        <v>9.9551241272844308E-23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68.195506926115257</v>
      </c>
      <c r="CE187" s="62">
        <f t="shared" si="148"/>
        <v>352.52565673897004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2.7206638085095713</v>
      </c>
      <c r="CL187" s="23">
        <f>EXP(-LN(2)/25)*CL186+(1-EXP(-LN(2)/25))/(LN(2)/25)*Calculateur!CG187*Calculateur!CI187*VLOOKUP('Données projet'!$B$12,Paramètres!$A$1:$I$89,3,0)*0.475*44/12</f>
        <v>0.19376358288144696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2.9144273913910181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77.885897614924062</v>
      </c>
      <c r="CZ187" s="62">
        <f t="shared" si="150"/>
        <v>401.02460251355296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3.1291979906180374</v>
      </c>
      <c r="DG187" s="23">
        <f>EXP(-LN(2)/25)*DG186+(1-EXP(-LN(2)/25))/(LN(2)/25)*Calculateur!DB187*Calculateur!DD187*VLOOKUP('Données projet'!$B$13,Paramètres!$A$1:$I$89,3,0)*0.475*44/12</f>
        <v>0.22285907296268628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3.3520570635807236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79.532301588639172</v>
      </c>
      <c r="DU187" s="62">
        <f t="shared" si="152"/>
        <v>409.2657792678549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3.1987357237428844</v>
      </c>
      <c r="EB187" s="23">
        <f>EXP(-LN(2)/25)*EB186+(1-EXP(-LN(2)/25))/(LN(2)/25)*Calculateur!DW187*Calculateur!DY187*VLOOKUP('Données projet'!$B$14,Paramètres!$A$1:$I$89,3,0)*0.475*44/12</f>
        <v>0.22781149680630147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3.4265472205491858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77.885897614924062</v>
      </c>
      <c r="EP187" s="62">
        <f t="shared" si="154"/>
        <v>401.02460251355296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3.1291979906180374</v>
      </c>
      <c r="EW187" s="23">
        <f>EXP(-LN(2)/25)*EW186+(1-EXP(-LN(2)/25))/(LN(2)/25)*Calculateur!ER187*Calculateur!ET187*VLOOKUP('Données projet'!$B$15,Paramètres!$A$1:$I$89,3,0)*0.475*44/12</f>
        <v>0.22285907296268628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3.3520570635807236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426.87921482911719</v>
      </c>
      <c r="T188" s="62">
        <f t="shared" si="142"/>
        <v>313.49594674441835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289.73432332845692</v>
      </c>
      <c r="AN188" s="62">
        <f ca="1">AVERAGE(OFFSET($AM$3,0,0,'Données projet'!$E$10+1,1))-AVERAGE(OFFSET($H$3,0,0,'Données projet'!$E$10+1,1))</f>
        <v>462.95686283420531</v>
      </c>
      <c r="AO188" s="62">
        <f t="shared" si="144"/>
        <v>275.54513370838777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6.8212102632969618E-13</v>
      </c>
      <c r="BE188" s="14">
        <f>BD188*VLOOKUP('Données projet'!$B$11,Paramètres!$A$1:$I$89,3,0)*VLOOKUP('Données projet'!$B$11,Paramètres!$A$1:$I$89,5,0)</f>
        <v>4.0790837374515837E-13</v>
      </c>
      <c r="BF188" s="14">
        <f t="shared" si="167"/>
        <v>5.2028966193600884E-12</v>
      </c>
      <c r="BG188" s="22">
        <f t="shared" si="168"/>
        <v>9.7721520296583044E-12</v>
      </c>
      <c r="BH188" s="62">
        <f t="shared" si="116"/>
        <v>289.73432332846352</v>
      </c>
      <c r="BI188" s="62">
        <f ca="1">AVERAGE(OFFSET($BH$3,0,0,'Données projet'!$E$11+1,1))-AVERAGE(OFFSET($H$3,0,0,'Données projet'!$E$11+1,1))</f>
        <v>505.16888119060701</v>
      </c>
      <c r="BJ188" s="62">
        <f t="shared" si="146"/>
        <v>351.15312364640613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7.0393357779566318E-23</v>
      </c>
      <c r="BS188" s="24">
        <f t="shared" si="169"/>
        <v>7.0393357779566318E-23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68.195506926115257</v>
      </c>
      <c r="CE188" s="62">
        <f t="shared" si="148"/>
        <v>352.52565673897004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2.6673132506657655</v>
      </c>
      <c r="CL188" s="23">
        <f>EXP(-LN(2)/25)*CL187+(1-EXP(-LN(2)/25))/(LN(2)/25)*Calculateur!CG188*Calculateur!CI188*VLOOKUP('Données projet'!$B$12,Paramètres!$A$1:$I$89,3,0)*0.475*44/12</f>
        <v>0.18846510751796983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2.8557783581837355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77.885897614924062</v>
      </c>
      <c r="CZ188" s="62">
        <f t="shared" si="150"/>
        <v>401.02460251355296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3.0678363266443314</v>
      </c>
      <c r="DG188" s="23">
        <f>EXP(-LN(2)/25)*DG187+(1-EXP(-LN(2)/25))/(LN(2)/25)*Calculateur!DB188*Calculateur!DD188*VLOOKUP('Données projet'!$B$13,Paramètres!$A$1:$I$89,3,0)*0.475*44/12</f>
        <v>0.21676497989287233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3.2846013065372035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79.532301588639172</v>
      </c>
      <c r="DU188" s="62">
        <f t="shared" si="152"/>
        <v>409.2657792678549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3.1360104672364293</v>
      </c>
      <c r="EB188" s="23">
        <f>EXP(-LN(2)/25)*EB187+(1-EXP(-LN(2)/25))/(LN(2)/25)*Calculateur!DW188*Calculateur!DY188*VLOOKUP('Données projet'!$B$14,Paramètres!$A$1:$I$89,3,0)*0.475*44/12</f>
        <v>0.22158197944604721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3.3575924466824767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77.885897614924062</v>
      </c>
      <c r="EP188" s="62">
        <f t="shared" si="154"/>
        <v>401.02460251355296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3.0678363266443314</v>
      </c>
      <c r="EW188" s="23">
        <f>EXP(-LN(2)/25)*EW187+(1-EXP(-LN(2)/25))/(LN(2)/25)*Calculateur!ER188*Calculateur!ET188*VLOOKUP('Données projet'!$B$15,Paramètres!$A$1:$I$89,3,0)*0.475*44/12</f>
        <v>0.21676497989287233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3.2846013065372035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426.87921482911719</v>
      </c>
      <c r="T189" s="62">
        <f t="shared" si="142"/>
        <v>313.49594674441835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289.79675810586059</v>
      </c>
      <c r="AN189" s="62">
        <f ca="1">AVERAGE(OFFSET($AM$3,0,0,'Données projet'!$E$10+1,1))-AVERAGE(OFFSET($H$3,0,0,'Données projet'!$E$10+1,1))</f>
        <v>462.95686283420531</v>
      </c>
      <c r="AO189" s="62">
        <f t="shared" si="144"/>
        <v>275.54513370838777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6.8212102632969618E-13</v>
      </c>
      <c r="BE189" s="14">
        <f>BD189*VLOOKUP('Données projet'!$B$11,Paramètres!$A$1:$I$89,3,0)*VLOOKUP('Données projet'!$B$11,Paramètres!$A$1:$I$89,5,0)</f>
        <v>4.0790837374515837E-13</v>
      </c>
      <c r="BF189" s="14">
        <f t="shared" si="167"/>
        <v>5.2028966193600884E-12</v>
      </c>
      <c r="BG189" s="22">
        <f t="shared" si="168"/>
        <v>9.7721520296583044E-12</v>
      </c>
      <c r="BH189" s="62">
        <f t="shared" si="116"/>
        <v>289.79675810586718</v>
      </c>
      <c r="BI189" s="62">
        <f ca="1">AVERAGE(OFFSET($BH$3,0,0,'Données projet'!$E$11+1,1))-AVERAGE(OFFSET($H$3,0,0,'Données projet'!$E$11+1,1))</f>
        <v>505.16888119060701</v>
      </c>
      <c r="BJ189" s="62">
        <f t="shared" si="146"/>
        <v>351.15312364640613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4.9775620636422154E-23</v>
      </c>
      <c r="BS189" s="24">
        <f t="shared" si="169"/>
        <v>4.9775620636422154E-23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68.195506926115257</v>
      </c>
      <c r="CE189" s="62">
        <f t="shared" si="148"/>
        <v>352.52565673897004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2.6150088647206498</v>
      </c>
      <c r="CL189" s="23">
        <f>EXP(-LN(2)/25)*CL188+(1-EXP(-LN(2)/25))/(LN(2)/25)*Calculateur!CG189*Calculateur!CI189*VLOOKUP('Données projet'!$B$12,Paramètres!$A$1:$I$89,3,0)*0.475*44/12</f>
        <v>0.18331151924194167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2.7983203839625914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77.885897614924062</v>
      </c>
      <c r="CZ189" s="62">
        <f t="shared" si="150"/>
        <v>401.02460251355296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3.00767792747423</v>
      </c>
      <c r="DG189" s="23">
        <f>EXP(-LN(2)/25)*DG188+(1-EXP(-LN(2)/25))/(LN(2)/25)*Calculateur!DB189*Calculateur!DD189*VLOOKUP('Données projet'!$B$13,Paramètres!$A$1:$I$89,3,0)*0.475*44/12</f>
        <v>0.21083753011852688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3.218515457592757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79.532301588639172</v>
      </c>
      <c r="DU189" s="62">
        <f t="shared" si="152"/>
        <v>409.2657792678549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3.074515214751437</v>
      </c>
      <c r="EB189" s="23">
        <f>EXP(-LN(2)/25)*EB188+(1-EXP(-LN(2)/25))/(LN(2)/25)*Calculateur!DW189*Calculateur!DY189*VLOOKUP('Données projet'!$B$14,Paramètres!$A$1:$I$89,3,0)*0.475*44/12</f>
        <v>0.21552280856560518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3.2900380233170421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77.885897614924062</v>
      </c>
      <c r="EP189" s="62">
        <f t="shared" si="154"/>
        <v>401.02460251355296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3.00767792747423</v>
      </c>
      <c r="EW189" s="23">
        <f>EXP(-LN(2)/25)*EW188+(1-EXP(-LN(2)/25))/(LN(2)/25)*Calculateur!ER189*Calculateur!ET189*VLOOKUP('Données projet'!$B$15,Paramètres!$A$1:$I$89,3,0)*0.475*44/12</f>
        <v>0.21083753011852688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3.218515457592757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426.87921482911719</v>
      </c>
      <c r="T190" s="62">
        <f t="shared" si="142"/>
        <v>313.49594674441835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289.8581097794596</v>
      </c>
      <c r="AN190" s="62">
        <f ca="1">AVERAGE(OFFSET($AM$3,0,0,'Données projet'!$E$10+1,1))-AVERAGE(OFFSET($H$3,0,0,'Données projet'!$E$10+1,1))</f>
        <v>462.95686283420531</v>
      </c>
      <c r="AO190" s="62">
        <f t="shared" si="144"/>
        <v>275.54513370838777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6.8212102632969618E-13</v>
      </c>
      <c r="BE190" s="14">
        <f>BD190*VLOOKUP('Données projet'!$B$11,Paramètres!$A$1:$I$89,3,0)*VLOOKUP('Données projet'!$B$11,Paramètres!$A$1:$I$89,5,0)</f>
        <v>4.0790837374515837E-13</v>
      </c>
      <c r="BF190" s="14">
        <f t="shared" si="167"/>
        <v>5.2028966193600884E-12</v>
      </c>
      <c r="BG190" s="22">
        <f t="shared" si="168"/>
        <v>9.7721520296583044E-12</v>
      </c>
      <c r="BH190" s="62">
        <f t="shared" si="116"/>
        <v>289.85810977946619</v>
      </c>
      <c r="BI190" s="62">
        <f ca="1">AVERAGE(OFFSET($BH$3,0,0,'Données projet'!$E$11+1,1))-AVERAGE(OFFSET($H$3,0,0,'Données projet'!$E$11+1,1))</f>
        <v>505.16888119060701</v>
      </c>
      <c r="BJ190" s="62">
        <f t="shared" si="146"/>
        <v>351.15312364640613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3.5196678889783159E-23</v>
      </c>
      <c r="BS190" s="24">
        <f t="shared" si="169"/>
        <v>3.5196678889783159E-23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68.195506926115257</v>
      </c>
      <c r="CE190" s="62">
        <f t="shared" si="148"/>
        <v>352.52565673897004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2.5637301358813924</v>
      </c>
      <c r="CL190" s="23">
        <f>EXP(-LN(2)/25)*CL189+(1-EXP(-LN(2)/25))/(LN(2)/25)*Calculateur!CG190*Calculateur!CI190*VLOOKUP('Données projet'!$B$12,Paramètres!$A$1:$I$89,3,0)*0.475*44/12</f>
        <v>0.17829885610833693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2.7420289919897294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77.885897614924062</v>
      </c>
      <c r="CZ190" s="62">
        <f t="shared" si="150"/>
        <v>401.02460251355296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2.9486991978188541</v>
      </c>
      <c r="DG190" s="23">
        <f>EXP(-LN(2)/25)*DG189+(1-EXP(-LN(2)/25))/(LN(2)/25)*Calculateur!DB190*Calculateur!DD190*VLOOKUP('Données projet'!$B$13,Paramètres!$A$1:$I$89,3,0)*0.475*44/12</f>
        <v>0.20507216676997192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3.1537713645888261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79.532301588639172</v>
      </c>
      <c r="DU190" s="62">
        <f t="shared" si="152"/>
        <v>409.2657792678549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3.0142258466592748</v>
      </c>
      <c r="EB190" s="23">
        <f>EXP(-LN(2)/25)*EB189+(1-EXP(-LN(2)/25))/(LN(2)/25)*Calculateur!DW190*Calculateur!DY190*VLOOKUP('Données projet'!$B$14,Paramètres!$A$1:$I$89,3,0)*0.475*44/12</f>
        <v>0.20962932603152679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3.2238551726908016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77.885897614924062</v>
      </c>
      <c r="EP190" s="62">
        <f t="shared" si="154"/>
        <v>401.02460251355296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2.9486991978188541</v>
      </c>
      <c r="EW190" s="23">
        <f>EXP(-LN(2)/25)*EW189+(1-EXP(-LN(2)/25))/(LN(2)/25)*Calculateur!ER190*Calculateur!ET190*VLOOKUP('Données projet'!$B$15,Paramètres!$A$1:$I$89,3,0)*0.475*44/12</f>
        <v>0.20507216676997192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3.1537713645888261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426.87921482911719</v>
      </c>
      <c r="T191" s="62">
        <f t="shared" si="142"/>
        <v>313.49594674441835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289.91839713868342</v>
      </c>
      <c r="AN191" s="62">
        <f ca="1">AVERAGE(OFFSET($AM$3,0,0,'Données projet'!$E$10+1,1))-AVERAGE(OFFSET($H$3,0,0,'Données projet'!$E$10+1,1))</f>
        <v>462.95686283420531</v>
      </c>
      <c r="AO191" s="62">
        <f t="shared" si="144"/>
        <v>275.54513370838777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6.8212102632969618E-13</v>
      </c>
      <c r="BE191" s="14">
        <f>BD191*VLOOKUP('Données projet'!$B$11,Paramètres!$A$1:$I$89,3,0)*VLOOKUP('Données projet'!$B$11,Paramètres!$A$1:$I$89,5,0)</f>
        <v>4.0790837374515837E-13</v>
      </c>
      <c r="BF191" s="14">
        <f t="shared" si="167"/>
        <v>5.2028966193600884E-12</v>
      </c>
      <c r="BG191" s="22">
        <f t="shared" si="168"/>
        <v>9.7721520296583044E-12</v>
      </c>
      <c r="BH191" s="62">
        <f t="shared" si="116"/>
        <v>289.91839713869001</v>
      </c>
      <c r="BI191" s="62">
        <f ca="1">AVERAGE(OFFSET($BH$3,0,0,'Données projet'!$E$11+1,1))-AVERAGE(OFFSET($H$3,0,0,'Données projet'!$E$11+1,1))</f>
        <v>505.16888119060701</v>
      </c>
      <c r="BJ191" s="62">
        <f t="shared" si="146"/>
        <v>351.15312364640613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2.4887810318211077E-23</v>
      </c>
      <c r="BS191" s="24">
        <f t="shared" si="169"/>
        <v>2.4887810318211077E-23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68.195506926115257</v>
      </c>
      <c r="CE191" s="62">
        <f t="shared" si="148"/>
        <v>352.52565673897004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2.5134569516377367</v>
      </c>
      <c r="CL191" s="23">
        <f>EXP(-LN(2)/25)*CL190+(1-EXP(-LN(2)/25))/(LN(2)/25)*Calculateur!CG191*Calculateur!CI191*VLOOKUP('Données projet'!$B$12,Paramètres!$A$1:$I$89,3,0)*0.475*44/12</f>
        <v>0.17342326451172513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2.6868802161494618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77.885897614924062</v>
      </c>
      <c r="CZ191" s="62">
        <f t="shared" si="150"/>
        <v>401.02460251355296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2.8908770050785471</v>
      </c>
      <c r="DG191" s="23">
        <f>EXP(-LN(2)/25)*DG190+(1-EXP(-LN(2)/25))/(LN(2)/25)*Calculateur!DB191*Calculateur!DD191*VLOOKUP('Données projet'!$B$13,Paramètres!$A$1:$I$89,3,0)*0.475*44/12</f>
        <v>0.19946445758537049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3.0903414626639174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79.532301588639172</v>
      </c>
      <c r="DU191" s="62">
        <f t="shared" si="152"/>
        <v>409.2657792678549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2.9551187163025165</v>
      </c>
      <c r="EB191" s="23">
        <f>EXP(-LN(2)/25)*EB190+(1-EXP(-LN(2)/25))/(LN(2)/25)*Calculateur!DW191*Calculateur!DY191*VLOOKUP('Données projet'!$B$14,Paramètres!$A$1:$I$89,3,0)*0.475*44/12</f>
        <v>0.20389700108726755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3.1590157173897842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77.885897614924062</v>
      </c>
      <c r="EP191" s="62">
        <f t="shared" si="154"/>
        <v>401.02460251355296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2.8908770050785471</v>
      </c>
      <c r="EW191" s="23">
        <f>EXP(-LN(2)/25)*EW190+(1-EXP(-LN(2)/25))/(LN(2)/25)*Calculateur!ER191*Calculateur!ET191*VLOOKUP('Données projet'!$B$15,Paramètres!$A$1:$I$89,3,0)*0.475*44/12</f>
        <v>0.19946445758537049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3.0903414626639174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426.87921482911719</v>
      </c>
      <c r="T192" s="62">
        <f t="shared" si="142"/>
        <v>313.49594674441835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289.97763864700704</v>
      </c>
      <c r="AN192" s="62">
        <f ca="1">AVERAGE(OFFSET($AM$3,0,0,'Données projet'!$E$10+1,1))-AVERAGE(OFFSET($H$3,0,0,'Données projet'!$E$10+1,1))</f>
        <v>462.95686283420531</v>
      </c>
      <c r="AO192" s="62">
        <f t="shared" si="144"/>
        <v>275.54513370838777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6.8212102632969618E-13</v>
      </c>
      <c r="BE192" s="14">
        <f>BD192*VLOOKUP('Données projet'!$B$11,Paramètres!$A$1:$I$89,3,0)*VLOOKUP('Données projet'!$B$11,Paramètres!$A$1:$I$89,5,0)</f>
        <v>4.0790837374515837E-13</v>
      </c>
      <c r="BF192" s="14">
        <f t="shared" si="167"/>
        <v>5.2028966193600884E-12</v>
      </c>
      <c r="BG192" s="22">
        <f t="shared" si="168"/>
        <v>9.7721520296583044E-12</v>
      </c>
      <c r="BH192" s="62">
        <f t="shared" si="116"/>
        <v>289.97763864701363</v>
      </c>
      <c r="BI192" s="62">
        <f ca="1">AVERAGE(OFFSET($BH$3,0,0,'Données projet'!$E$11+1,1))-AVERAGE(OFFSET($H$3,0,0,'Données projet'!$E$11+1,1))</f>
        <v>505.16888119060701</v>
      </c>
      <c r="BJ192" s="62">
        <f t="shared" si="146"/>
        <v>351.15312364640613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1.759833944489158E-23</v>
      </c>
      <c r="BS192" s="24">
        <f t="shared" si="169"/>
        <v>1.759833944489158E-23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68.195506926115257</v>
      </c>
      <c r="CE192" s="62">
        <f t="shared" si="148"/>
        <v>352.52565673897004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2.4641695938734842</v>
      </c>
      <c r="CL192" s="23">
        <f>EXP(-LN(2)/25)*CL191+(1-EXP(-LN(2)/25))/(LN(2)/25)*Calculateur!CG192*Calculateur!CI192*VLOOKUP('Données projet'!$B$12,Paramètres!$A$1:$I$89,3,0)*0.475*44/12</f>
        <v>0.16868099622371888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2.632850590097203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77.885897614924062</v>
      </c>
      <c r="CZ192" s="62">
        <f t="shared" si="150"/>
        <v>401.02460251355296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2.8341886702698225</v>
      </c>
      <c r="DG192" s="23">
        <f>EXP(-LN(2)/25)*DG191+(1-EXP(-LN(2)/25))/(LN(2)/25)*Calculateur!DB192*Calculateur!DD192*VLOOKUP('Données projet'!$B$13,Paramètres!$A$1:$I$89,3,0)*0.475*44/12</f>
        <v>0.19401009150331858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3.0281987617731412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79.532301588639172</v>
      </c>
      <c r="DU192" s="62">
        <f t="shared" si="152"/>
        <v>409.2657792678549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2.8971706407202644</v>
      </c>
      <c r="EB192" s="23">
        <f>EXP(-LN(2)/25)*EB191+(1-EXP(-LN(2)/25))/(LN(2)/25)*Calculateur!DW192*Calculateur!DY192*VLOOKUP('Données projet'!$B$14,Paramètres!$A$1:$I$89,3,0)*0.475*44/12</f>
        <v>0.19832142687005894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3.0954920675903232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77.885897614924062</v>
      </c>
      <c r="EP192" s="62">
        <f t="shared" si="154"/>
        <v>401.02460251355296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2.8341886702698225</v>
      </c>
      <c r="EW192" s="23">
        <f>EXP(-LN(2)/25)*EW191+(1-EXP(-LN(2)/25))/(LN(2)/25)*Calculateur!ER192*Calculateur!ET192*VLOOKUP('Données projet'!$B$15,Paramètres!$A$1:$I$89,3,0)*0.475*44/12</f>
        <v>0.19401009150331858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3.0281987617731412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426.87921482911719</v>
      </c>
      <c r="T193" s="62">
        <f t="shared" si="142"/>
        <v>313.49594674441835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290.03585244760546</v>
      </c>
      <c r="AN193" s="62">
        <f ca="1">AVERAGE(OFFSET($AM$3,0,0,'Données projet'!$E$10+1,1))-AVERAGE(OFFSET($H$3,0,0,'Données projet'!$E$10+1,1))</f>
        <v>462.95686283420531</v>
      </c>
      <c r="AO193" s="62">
        <f t="shared" si="144"/>
        <v>275.54513370838777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6.8212102632969618E-13</v>
      </c>
      <c r="BE193" s="14">
        <f>BD193*VLOOKUP('Données projet'!$B$11,Paramètres!$A$1:$I$89,3,0)*VLOOKUP('Données projet'!$B$11,Paramètres!$A$1:$I$89,5,0)</f>
        <v>4.0790837374515837E-13</v>
      </c>
      <c r="BF193" s="14">
        <f t="shared" si="167"/>
        <v>5.2028966193600884E-12</v>
      </c>
      <c r="BG193" s="22">
        <f t="shared" si="168"/>
        <v>9.7721520296583044E-12</v>
      </c>
      <c r="BH193" s="62">
        <f t="shared" si="116"/>
        <v>290.03585244761206</v>
      </c>
      <c r="BI193" s="62">
        <f ca="1">AVERAGE(OFFSET($BH$3,0,0,'Données projet'!$E$11+1,1))-AVERAGE(OFFSET($H$3,0,0,'Données projet'!$E$11+1,1))</f>
        <v>505.16888119060701</v>
      </c>
      <c r="BJ193" s="62">
        <f t="shared" si="146"/>
        <v>351.15312364640613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1.2443905159105539E-23</v>
      </c>
      <c r="BS193" s="24">
        <f t="shared" si="169"/>
        <v>1.2443905159105539E-23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68.195506926115257</v>
      </c>
      <c r="CE193" s="62">
        <f t="shared" si="148"/>
        <v>352.52565673897004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2.4158487311326691</v>
      </c>
      <c r="CL193" s="23">
        <f>EXP(-LN(2)/25)*CL192+(1-EXP(-LN(2)/25))/(LN(2)/25)*Calculateur!CG193*Calculateur!CI193*VLOOKUP('Données projet'!$B$12,Paramètres!$A$1:$I$89,3,0)*0.475*44/12</f>
        <v>0.16406840551143323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2.5799171366441023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77.885897614924062</v>
      </c>
      <c r="CZ193" s="62">
        <f t="shared" si="150"/>
        <v>401.02460251355296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2.7786119591302265</v>
      </c>
      <c r="DG193" s="23">
        <f>EXP(-LN(2)/25)*DG192+(1-EXP(-LN(2)/25))/(LN(2)/25)*Calculateur!DB193*Calculateur!DD193*VLOOKUP('Données projet'!$B$13,Paramètres!$A$1:$I$89,3,0)*0.475*44/12</f>
        <v>0.18870487534861302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2.9673168344788396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79.532301588639172</v>
      </c>
      <c r="DU193" s="62">
        <f t="shared" si="152"/>
        <v>409.2657792678549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2.8403588915553444</v>
      </c>
      <c r="EB193" s="23">
        <f>EXP(-LN(2)/25)*EB192+(1-EXP(-LN(2)/25))/(LN(2)/25)*Calculateur!DW193*Calculateur!DY193*VLOOKUP('Données projet'!$B$14,Paramètres!$A$1:$I$89,3,0)*0.475*44/12</f>
        <v>0.19289831702302659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3.0332572085783709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77.885897614924062</v>
      </c>
      <c r="EP193" s="62">
        <f t="shared" si="154"/>
        <v>401.02460251355296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2.7786119591302265</v>
      </c>
      <c r="EW193" s="23">
        <f>EXP(-LN(2)/25)*EW192+(1-EXP(-LN(2)/25))/(LN(2)/25)*Calculateur!ER193*Calculateur!ET193*VLOOKUP('Données projet'!$B$15,Paramètres!$A$1:$I$89,3,0)*0.475*44/12</f>
        <v>0.18870487534861302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2.9673168344788396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426.87921482911719</v>
      </c>
      <c r="T194" s="62">
        <f t="shared" si="142"/>
        <v>313.49594674441835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290.09305636891003</v>
      </c>
      <c r="AN194" s="62">
        <f ca="1">AVERAGE(OFFSET($AM$3,0,0,'Données projet'!$E$10+1,1))-AVERAGE(OFFSET($H$3,0,0,'Données projet'!$E$10+1,1))</f>
        <v>462.95686283420531</v>
      </c>
      <c r="AO194" s="62">
        <f t="shared" si="144"/>
        <v>275.54513370838777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6.8212102632969618E-13</v>
      </c>
      <c r="BE194" s="14">
        <f>BD194*VLOOKUP('Données projet'!$B$11,Paramètres!$A$1:$I$89,3,0)*VLOOKUP('Données projet'!$B$11,Paramètres!$A$1:$I$89,5,0)</f>
        <v>4.0790837374515837E-13</v>
      </c>
      <c r="BF194" s="14">
        <f t="shared" si="167"/>
        <v>5.2028966193600884E-12</v>
      </c>
      <c r="BG194" s="22">
        <f t="shared" si="168"/>
        <v>9.7721520296583044E-12</v>
      </c>
      <c r="BH194" s="62">
        <f t="shared" si="116"/>
        <v>290.09305636891662</v>
      </c>
      <c r="BI194" s="62">
        <f ca="1">AVERAGE(OFFSET($BH$3,0,0,'Données projet'!$E$11+1,1))-AVERAGE(OFFSET($H$3,0,0,'Données projet'!$E$11+1,1))</f>
        <v>505.16888119060701</v>
      </c>
      <c r="BJ194" s="62">
        <f t="shared" si="146"/>
        <v>351.15312364640613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8.7991697224457898E-24</v>
      </c>
      <c r="BS194" s="24">
        <f t="shared" si="169"/>
        <v>8.7991697224457898E-24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68.195506926115257</v>
      </c>
      <c r="CE194" s="62">
        <f t="shared" si="148"/>
        <v>352.52565673897004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2.3684754110373851</v>
      </c>
      <c r="CL194" s="23">
        <f>EXP(-LN(2)/25)*CL193+(1-EXP(-LN(2)/25))/(LN(2)/25)*Calculateur!CG194*Calculateur!CI194*VLOOKUP('Données projet'!$B$12,Paramètres!$A$1:$I$89,3,0)*0.475*44/12</f>
        <v>0.15958194633474063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2.5280573573721257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77.885897614924062</v>
      </c>
      <c r="CZ194" s="62">
        <f t="shared" si="150"/>
        <v>401.02460251355296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2.7241250733976314</v>
      </c>
      <c r="DG194" s="23">
        <f>EXP(-LN(2)/25)*DG193+(1-EXP(-LN(2)/25))/(LN(2)/25)*Calculateur!DB194*Calculateur!DD194*VLOOKUP('Données projet'!$B$13,Paramètres!$A$1:$I$89,3,0)*0.475*44/12</f>
        <v>0.18354473060864709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2.9076698040062787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79.532301588639172</v>
      </c>
      <c r="DU194" s="62">
        <f t="shared" si="152"/>
        <v>409.2657792678549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2.784661186139803</v>
      </c>
      <c r="EB194" s="23">
        <f>EXP(-LN(2)/25)*EB193+(1-EXP(-LN(2)/25))/(LN(2)/25)*Calculateur!DW194*Calculateur!DY194*VLOOKUP('Données projet'!$B$14,Paramètres!$A$1:$I$89,3,0)*0.475*44/12</f>
        <v>0.18762350239995032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2.9722846885397534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77.885897614924062</v>
      </c>
      <c r="EP194" s="62">
        <f t="shared" si="154"/>
        <v>401.02460251355296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2.7241250733976314</v>
      </c>
      <c r="EW194" s="23">
        <f>EXP(-LN(2)/25)*EW193+(1-EXP(-LN(2)/25))/(LN(2)/25)*Calculateur!ER194*Calculateur!ET194*VLOOKUP('Données projet'!$B$15,Paramètres!$A$1:$I$89,3,0)*0.475*44/12</f>
        <v>0.18354473060864709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2.9076698040062787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426.87921482911719</v>
      </c>
      <c r="T195" s="62">
        <f t="shared" si="142"/>
        <v>313.49594674441835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290.14926793006885</v>
      </c>
      <c r="AN195" s="62">
        <f ca="1">AVERAGE(OFFSET($AM$3,0,0,'Données projet'!$E$10+1,1))-AVERAGE(OFFSET($H$3,0,0,'Données projet'!$E$10+1,1))</f>
        <v>462.95686283420531</v>
      </c>
      <c r="AO195" s="62">
        <f t="shared" si="144"/>
        <v>275.54513370838777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6.8212102632969618E-13</v>
      </c>
      <c r="BE195" s="14">
        <f>BD195*VLOOKUP('Données projet'!$B$11,Paramètres!$A$1:$I$89,3,0)*VLOOKUP('Données projet'!$B$11,Paramètres!$A$1:$I$89,5,0)</f>
        <v>4.0790837374515837E-13</v>
      </c>
      <c r="BF195" s="14">
        <f t="shared" si="167"/>
        <v>5.2028966193600884E-12</v>
      </c>
      <c r="BG195" s="22">
        <f t="shared" si="168"/>
        <v>9.7721520296583044E-12</v>
      </c>
      <c r="BH195" s="62">
        <f t="shared" si="116"/>
        <v>290.14926793007544</v>
      </c>
      <c r="BI195" s="62">
        <f ca="1">AVERAGE(OFFSET($BH$3,0,0,'Données projet'!$E$11+1,1))-AVERAGE(OFFSET($H$3,0,0,'Données projet'!$E$11+1,1))</f>
        <v>505.16888119060701</v>
      </c>
      <c r="BJ195" s="62">
        <f t="shared" si="146"/>
        <v>351.15312364640613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6.2219525795527693E-24</v>
      </c>
      <c r="BS195" s="24">
        <f t="shared" si="169"/>
        <v>6.2219525795527693E-24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68.195506926115257</v>
      </c>
      <c r="CE195" s="62">
        <f t="shared" si="148"/>
        <v>352.52565673897004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2.3220310528542978</v>
      </c>
      <c r="CL195" s="23">
        <f>EXP(-LN(2)/25)*CL194+(1-EXP(-LN(2)/25))/(LN(2)/25)*Calculateur!CG195*Calculateur!CI195*VLOOKUP('Données projet'!$B$12,Paramètres!$A$1:$I$89,3,0)*0.475*44/12</f>
        <v>0.15521816962016732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2.4772492224744651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77.885897614924062</v>
      </c>
      <c r="CZ195" s="62">
        <f t="shared" si="150"/>
        <v>401.02460251355296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2.6707066422605341</v>
      </c>
      <c r="DG195" s="23">
        <f>EXP(-LN(2)/25)*DG194+(1-EXP(-LN(2)/25))/(LN(2)/25)*Calculateur!DB195*Calculateur!DD195*VLOOKUP('Données projet'!$B$13,Paramètres!$A$1:$I$89,3,0)*0.475*44/12</f>
        <v>0.17852569029795576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2.8492323325584898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79.532301588639172</v>
      </c>
      <c r="DU195" s="62">
        <f t="shared" si="152"/>
        <v>409.2657792678549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2.7300556787552144</v>
      </c>
      <c r="EB195" s="23">
        <f>EXP(-LN(2)/25)*EB194+(1-EXP(-LN(2)/25))/(LN(2)/25)*Calculateur!DW195*Calculateur!DY195*VLOOKUP('Données projet'!$B$14,Paramètres!$A$1:$I$89,3,0)*0.475*44/12</f>
        <v>0.18249292786013252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2.912548606615347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77.885897614924062</v>
      </c>
      <c r="EP195" s="62">
        <f t="shared" si="154"/>
        <v>401.02460251355296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2.6707066422605341</v>
      </c>
      <c r="EW195" s="23">
        <f>EXP(-LN(2)/25)*EW194+(1-EXP(-LN(2)/25))/(LN(2)/25)*Calculateur!ER195*Calculateur!ET195*VLOOKUP('Données projet'!$B$15,Paramètres!$A$1:$I$89,3,0)*0.475*44/12</f>
        <v>0.17852569029795576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2.8492323325584898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426.87921482911719</v>
      </c>
      <c r="T196" s="62">
        <f t="shared" si="142"/>
        <v>313.49594674441835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290.20450434631169</v>
      </c>
      <c r="AN196" s="62">
        <f ca="1">AVERAGE(OFFSET($AM$3,0,0,'Données projet'!$E$10+1,1))-AVERAGE(OFFSET($H$3,0,0,'Données projet'!$E$10+1,1))</f>
        <v>462.95686283420531</v>
      </c>
      <c r="AO196" s="62">
        <f t="shared" si="144"/>
        <v>275.54513370838777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6.8212102632969618E-13</v>
      </c>
      <c r="BE196" s="14">
        <f>BD196*VLOOKUP('Données projet'!$B$11,Paramètres!$A$1:$I$89,3,0)*VLOOKUP('Données projet'!$B$11,Paramètres!$A$1:$I$89,5,0)</f>
        <v>4.0790837374515837E-13</v>
      </c>
      <c r="BF196" s="14">
        <f t="shared" si="167"/>
        <v>5.2028966193600884E-12</v>
      </c>
      <c r="BG196" s="22">
        <f t="shared" si="168"/>
        <v>9.7721520296583044E-12</v>
      </c>
      <c r="BH196" s="62">
        <f t="shared" ref="BH196:BH203" si="194">BG196+(AY196+AZ196)*44/12</f>
        <v>290.20450434631829</v>
      </c>
      <c r="BI196" s="62">
        <f ca="1">AVERAGE(OFFSET($BH$3,0,0,'Données projet'!$E$11+1,1))-AVERAGE(OFFSET($H$3,0,0,'Données projet'!$E$11+1,1))</f>
        <v>505.16888119060701</v>
      </c>
      <c r="BJ196" s="62">
        <f t="shared" si="146"/>
        <v>351.15312364640613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4.3995848612228949E-24</v>
      </c>
      <c r="BS196" s="24">
        <f t="shared" si="169"/>
        <v>4.3995848612228949E-24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68.195506926115257</v>
      </c>
      <c r="CE196" s="62">
        <f t="shared" si="148"/>
        <v>352.52565673897004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2.2764974402069194</v>
      </c>
      <c r="CL196" s="23">
        <f>EXP(-LN(2)/25)*CL195+(1-EXP(-LN(2)/25))/(LN(2)/25)*Calculateur!CG196*Calculateur!CI196*VLOOKUP('Données projet'!$B$12,Paramètres!$A$1:$I$89,3,0)*0.475*44/12</f>
        <v>0.15097372060933506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2.4274711608162542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77.885897614924062</v>
      </c>
      <c r="CZ196" s="62">
        <f t="shared" si="150"/>
        <v>401.02460251355296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2.6183357139760095</v>
      </c>
      <c r="DG196" s="23">
        <f>EXP(-LN(2)/25)*DG195+(1-EXP(-LN(2)/25))/(LN(2)/25)*Calculateur!DB196*Calculateur!DD196*VLOOKUP('Données projet'!$B$13,Paramètres!$A$1:$I$89,3,0)*0.475*44/12</f>
        <v>0.17364389590850013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2.7919796098845095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79.532301588639172</v>
      </c>
      <c r="DU196" s="62">
        <f t="shared" si="152"/>
        <v>409.2657792678549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2.6765209520643669</v>
      </c>
      <c r="EB196" s="23">
        <f>EXP(-LN(2)/25)*EB195+(1-EXP(-LN(2)/25))/(LN(2)/25)*Calculateur!DW196*Calculateur!DY196*VLOOKUP('Données projet'!$B$14,Paramètres!$A$1:$I$89,3,0)*0.475*44/12</f>
        <v>0.17750264915091121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2.8540236012152782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77.885897614924062</v>
      </c>
      <c r="EP196" s="62">
        <f t="shared" si="154"/>
        <v>401.02460251355296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2.6183357139760095</v>
      </c>
      <c r="EW196" s="23">
        <f>EXP(-LN(2)/25)*EW195+(1-EXP(-LN(2)/25))/(LN(2)/25)*Calculateur!ER196*Calculateur!ET196*VLOOKUP('Données projet'!$B$15,Paramètres!$A$1:$I$89,3,0)*0.475*44/12</f>
        <v>0.17364389590850013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2.7919796098845095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426.87921482911719</v>
      </c>
      <c r="T197" s="62">
        <f t="shared" ref="T197:T203" si="204">$T$3</f>
        <v>313.49594674441835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290.25878253422292</v>
      </c>
      <c r="AN197" s="62">
        <f ca="1">AVERAGE(OFFSET($AM$3,0,0,'Données projet'!$E$10+1,1))-AVERAGE(OFFSET($H$3,0,0,'Données projet'!$E$10+1,1))</f>
        <v>462.95686283420531</v>
      </c>
      <c r="AO197" s="62">
        <f t="shared" ref="AO197:AO203" si="205">$AO$3</f>
        <v>275.54513370838777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6.8212102632969618E-13</v>
      </c>
      <c r="BE197" s="14">
        <f>BD197*VLOOKUP('Données projet'!$B$11,Paramètres!$A$1:$I$89,3,0)*VLOOKUP('Données projet'!$B$11,Paramètres!$A$1:$I$89,5,0)</f>
        <v>4.0790837374515837E-13</v>
      </c>
      <c r="BF197" s="14">
        <f t="shared" si="167"/>
        <v>5.2028966193600884E-12</v>
      </c>
      <c r="BG197" s="22">
        <f t="shared" si="168"/>
        <v>9.7721520296583044E-12</v>
      </c>
      <c r="BH197" s="62">
        <f t="shared" si="194"/>
        <v>290.25878253422951</v>
      </c>
      <c r="BI197" s="62">
        <f ca="1">AVERAGE(OFFSET($BH$3,0,0,'Données projet'!$E$11+1,1))-AVERAGE(OFFSET($H$3,0,0,'Données projet'!$E$11+1,1))</f>
        <v>505.16888119060701</v>
      </c>
      <c r="BJ197" s="62">
        <f t="shared" ref="BJ197:BJ203" si="206">$BJ$3</f>
        <v>351.15312364640613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3.1109762897763846E-24</v>
      </c>
      <c r="BS197" s="24">
        <f t="shared" si="169"/>
        <v>3.1109762897763846E-24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68.195506926115257</v>
      </c>
      <c r="CE197" s="62">
        <f t="shared" ref="CE197:CE203" si="207">$CE$3</f>
        <v>352.52565673897004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2.2318567139307945</v>
      </c>
      <c r="CL197" s="23">
        <f>EXP(-LN(2)/25)*CL196+(1-EXP(-LN(2)/25))/(LN(2)/25)*Calculateur!CG197*Calculateur!CI197*VLOOKUP('Données projet'!$B$12,Paramètres!$A$1:$I$89,3,0)*0.475*44/12</f>
        <v>0.14684533627990989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2.3787020502107046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77.885897614924062</v>
      </c>
      <c r="CZ197" s="62">
        <f t="shared" ref="CZ197:CZ203" si="208">$CZ$3</f>
        <v>401.02460251355296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2.5669917476520321</v>
      </c>
      <c r="DG197" s="23">
        <f>EXP(-LN(2)/25)*DG196+(1-EXP(-LN(2)/25))/(LN(2)/25)*Calculateur!DB197*Calculateur!DD197*VLOOKUP('Données projet'!$B$13,Paramètres!$A$1:$I$89,3,0)*0.475*44/12</f>
        <v>0.16889559444334656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2.7358873420953786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79.532301588639172</v>
      </c>
      <c r="DU197" s="62">
        <f t="shared" ref="DU197:DU203" si="209">$DU$3</f>
        <v>409.2657792678549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2.6240360087109678</v>
      </c>
      <c r="EB197" s="23">
        <f>EXP(-LN(2)/25)*EB196+(1-EXP(-LN(2)/25))/(LN(2)/25)*Calculateur!DW197*Calculateur!DY197*VLOOKUP('Données projet'!$B$14,Paramètres!$A$1:$I$89,3,0)*0.475*44/12</f>
        <v>0.17264882987542091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2.7966848385863887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77.885897614924062</v>
      </c>
      <c r="EP197" s="62">
        <f t="shared" ref="EP197:EP203" si="210">$EP$3</f>
        <v>401.02460251355296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2.5669917476520321</v>
      </c>
      <c r="EW197" s="23">
        <f>EXP(-LN(2)/25)*EW196+(1-EXP(-LN(2)/25))/(LN(2)/25)*Calculateur!ER197*Calculateur!ET197*VLOOKUP('Données projet'!$B$15,Paramètres!$A$1:$I$89,3,0)*0.475*44/12</f>
        <v>0.16889559444334656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2.7358873420953786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426.87921482911719</v>
      </c>
      <c r="T198" s="62">
        <f t="shared" si="204"/>
        <v>313.49594674441835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290.31211911692168</v>
      </c>
      <c r="AN198" s="62">
        <f ca="1">AVERAGE(OFFSET($AM$3,0,0,'Données projet'!$E$10+1,1))-AVERAGE(OFFSET($H$3,0,0,'Données projet'!$E$10+1,1))</f>
        <v>462.95686283420531</v>
      </c>
      <c r="AO198" s="62">
        <f t="shared" si="205"/>
        <v>275.54513370838777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6.8212102632969618E-13</v>
      </c>
      <c r="BE198" s="14">
        <f>BD198*VLOOKUP('Données projet'!$B$11,Paramètres!$A$1:$I$89,3,0)*VLOOKUP('Données projet'!$B$11,Paramètres!$A$1:$I$89,5,0)</f>
        <v>4.0790837374515837E-13</v>
      </c>
      <c r="BF198" s="14">
        <f t="shared" si="167"/>
        <v>5.2028966193600884E-12</v>
      </c>
      <c r="BG198" s="22">
        <f t="shared" si="168"/>
        <v>9.7721520296583044E-12</v>
      </c>
      <c r="BH198" s="62">
        <f t="shared" si="194"/>
        <v>290.31211911692827</v>
      </c>
      <c r="BI198" s="62">
        <f ca="1">AVERAGE(OFFSET($BH$3,0,0,'Données projet'!$E$11+1,1))-AVERAGE(OFFSET($H$3,0,0,'Données projet'!$E$11+1,1))</f>
        <v>505.16888119060701</v>
      </c>
      <c r="BJ198" s="62">
        <f t="shared" si="206"/>
        <v>351.15312364640613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2.1997924306114474E-24</v>
      </c>
      <c r="BS198" s="24">
        <f t="shared" si="169"/>
        <v>2.1997924306114474E-24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68.195506926115257</v>
      </c>
      <c r="CE198" s="62">
        <f t="shared" si="207"/>
        <v>352.52565673897004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2.1880913650687903</v>
      </c>
      <c r="CL198" s="23">
        <f>EXP(-LN(2)/25)*CL197+(1-EXP(-LN(2)/25))/(LN(2)/25)*Calculateur!CG198*Calculateur!CI198*VLOOKUP('Données projet'!$B$12,Paramètres!$A$1:$I$89,3,0)*0.475*44/12</f>
        <v>0.14282984283707514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2.3309212079058654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77.885897614924062</v>
      </c>
      <c r="CZ198" s="62">
        <f t="shared" si="208"/>
        <v>401.02460251355296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2.5166546051909409</v>
      </c>
      <c r="DG198" s="23">
        <f>EXP(-LN(2)/25)*DG197+(1-EXP(-LN(2)/25))/(LN(2)/25)*Calculateur!DB198*Calculateur!DD198*VLOOKUP('Données projet'!$B$13,Paramètres!$A$1:$I$89,3,0)*0.475*44/12</f>
        <v>0.16427713553145995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2.6809317407224009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79.532301588639172</v>
      </c>
      <c r="DU198" s="62">
        <f t="shared" si="209"/>
        <v>409.2657792678549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2.5725802630840744</v>
      </c>
      <c r="EB198" s="23">
        <f>EXP(-LN(2)/25)*EB197+(1-EXP(-LN(2)/25))/(LN(2)/25)*Calculateur!DW198*Calculateur!DY198*VLOOKUP('Données projet'!$B$14,Paramètres!$A$1:$I$89,3,0)*0.475*44/12</f>
        <v>0.16792773854327014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2.7405080016273446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77.885897614924062</v>
      </c>
      <c r="EP198" s="62">
        <f t="shared" si="210"/>
        <v>401.02460251355296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2.5166546051909409</v>
      </c>
      <c r="EW198" s="23">
        <f>EXP(-LN(2)/25)*EW197+(1-EXP(-LN(2)/25))/(LN(2)/25)*Calculateur!ER198*Calculateur!ET198*VLOOKUP('Données projet'!$B$15,Paramètres!$A$1:$I$89,3,0)*0.475*44/12</f>
        <v>0.16427713553145995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2.6809317407224009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426.87921482911719</v>
      </c>
      <c r="T199" s="62">
        <f t="shared" si="204"/>
        <v>313.49594674441835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290.36453042915338</v>
      </c>
      <c r="AN199" s="62">
        <f ca="1">AVERAGE(OFFSET($AM$3,0,0,'Données projet'!$E$10+1,1))-AVERAGE(OFFSET($H$3,0,0,'Données projet'!$E$10+1,1))</f>
        <v>462.95686283420531</v>
      </c>
      <c r="AO199" s="62">
        <f t="shared" si="205"/>
        <v>275.54513370838777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6.8212102632969618E-13</v>
      </c>
      <c r="BE199" s="14">
        <f>BD199*VLOOKUP('Données projet'!$B$11,Paramètres!$A$1:$I$89,3,0)*VLOOKUP('Données projet'!$B$11,Paramètres!$A$1:$I$89,5,0)</f>
        <v>4.0790837374515837E-13</v>
      </c>
      <c r="BF199" s="14">
        <f t="shared" si="167"/>
        <v>5.2028966193600884E-12</v>
      </c>
      <c r="BG199" s="22">
        <f t="shared" si="168"/>
        <v>9.7721520296583044E-12</v>
      </c>
      <c r="BH199" s="62">
        <f t="shared" si="194"/>
        <v>290.36453042915997</v>
      </c>
      <c r="BI199" s="62">
        <f ca="1">AVERAGE(OFFSET($BH$3,0,0,'Données projet'!$E$11+1,1))-AVERAGE(OFFSET($H$3,0,0,'Données projet'!$E$11+1,1))</f>
        <v>505.16888119060701</v>
      </c>
      <c r="BJ199" s="62">
        <f t="shared" si="206"/>
        <v>351.15312364640613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1.5554881448881923E-24</v>
      </c>
      <c r="BS199" s="24">
        <f t="shared" si="169"/>
        <v>1.5554881448881923E-24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68.195506926115257</v>
      </c>
      <c r="CE199" s="62">
        <f t="shared" si="207"/>
        <v>352.52565673897004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2.145184228003743</v>
      </c>
      <c r="CL199" s="23">
        <f>EXP(-LN(2)/25)*CL198+(1-EXP(-LN(2)/25))/(LN(2)/25)*Calculateur!CG199*Calculateur!CI199*VLOOKUP('Données projet'!$B$12,Paramètres!$A$1:$I$89,3,0)*0.475*44/12</f>
        <v>0.13892415327360033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2.2841083812773433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77.885897614924062</v>
      </c>
      <c r="CZ199" s="62">
        <f t="shared" si="208"/>
        <v>401.02460251355296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2.4673045433908865</v>
      </c>
      <c r="DG199" s="23">
        <f>EXP(-LN(2)/25)*DG198+(1-EXP(-LN(2)/25))/(LN(2)/25)*Calculateur!DB199*Calculateur!DD199*VLOOKUP('Données projet'!$B$13,Paramètres!$A$1:$I$89,3,0)*0.475*44/12</f>
        <v>0.15978496862139308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2.6270895120122795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79.532301588639172</v>
      </c>
      <c r="DU199" s="62">
        <f t="shared" si="209"/>
        <v>409.2657792678549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2.5221335332440185</v>
      </c>
      <c r="EB199" s="23">
        <f>EXP(-LN(2)/25)*EB198+(1-EXP(-LN(2)/25))/(LN(2)/25)*Calculateur!DW199*Calculateur!DY199*VLOOKUP('Données projet'!$B$14,Paramètres!$A$1:$I$89,3,0)*0.475*44/12</f>
        <v>0.16333574570186846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2.6854692789458867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77.885897614924062</v>
      </c>
      <c r="EP199" s="62">
        <f t="shared" si="210"/>
        <v>401.02460251355296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2.4673045433908865</v>
      </c>
      <c r="EW199" s="23">
        <f>EXP(-LN(2)/25)*EW198+(1-EXP(-LN(2)/25))/(LN(2)/25)*Calculateur!ER199*Calculateur!ET199*VLOOKUP('Données projet'!$B$15,Paramètres!$A$1:$I$89,3,0)*0.475*44/12</f>
        <v>0.15978496862139308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2.6270895120122795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426.87921482911719</v>
      </c>
      <c r="T200" s="62">
        <f t="shared" si="204"/>
        <v>313.49594674441835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290.41603252229197</v>
      </c>
      <c r="AN200" s="62">
        <f ca="1">AVERAGE(OFFSET($AM$3,0,0,'Données projet'!$E$10+1,1))-AVERAGE(OFFSET($H$3,0,0,'Données projet'!$E$10+1,1))</f>
        <v>462.95686283420531</v>
      </c>
      <c r="AO200" s="62">
        <f t="shared" si="205"/>
        <v>275.54513370838777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6.8212102632969618E-13</v>
      </c>
      <c r="BE200" s="14">
        <f>BD200*VLOOKUP('Données projet'!$B$11,Paramètres!$A$1:$I$89,3,0)*VLOOKUP('Données projet'!$B$11,Paramètres!$A$1:$I$89,5,0)</f>
        <v>4.0790837374515837E-13</v>
      </c>
      <c r="BF200" s="14">
        <f t="shared" si="167"/>
        <v>5.2028966193600884E-12</v>
      </c>
      <c r="BG200" s="22">
        <f t="shared" si="168"/>
        <v>9.7721520296583044E-12</v>
      </c>
      <c r="BH200" s="62">
        <f t="shared" si="194"/>
        <v>290.41603252229856</v>
      </c>
      <c r="BI200" s="62">
        <f ca="1">AVERAGE(OFFSET($BH$3,0,0,'Données projet'!$E$11+1,1))-AVERAGE(OFFSET($H$3,0,0,'Données projet'!$E$11+1,1))</f>
        <v>505.16888119060701</v>
      </c>
      <c r="BJ200" s="62">
        <f t="shared" si="206"/>
        <v>351.15312364640613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1.0998962153057237E-24</v>
      </c>
      <c r="BS200" s="24">
        <f t="shared" si="169"/>
        <v>1.0998962153057237E-24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68.195506926115257</v>
      </c>
      <c r="CE200" s="62">
        <f t="shared" si="207"/>
        <v>352.52565673897004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2.1031184737257718</v>
      </c>
      <c r="CL200" s="23">
        <f>EXP(-LN(2)/25)*CL199+(1-EXP(-LN(2)/25))/(LN(2)/25)*Calculateur!CG200*Calculateur!CI200*VLOOKUP('Données projet'!$B$12,Paramètres!$A$1:$I$89,3,0)*0.475*44/12</f>
        <v>0.13512526499663002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2.2382437387224017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77.885897614924062</v>
      </c>
      <c r="CZ200" s="62">
        <f t="shared" si="208"/>
        <v>401.02460251355296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2.4189222062021654</v>
      </c>
      <c r="DG200" s="23">
        <f>EXP(-LN(2)/25)*DG199+(1-EXP(-LN(2)/25))/(LN(2)/25)*Calculateur!DB200*Calculateur!DD200*VLOOKUP('Données projet'!$B$13,Paramètres!$A$1:$I$89,3,0)*0.475*44/12</f>
        <v>0.15541564025171478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2.5743378464538802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79.532301588639172</v>
      </c>
      <c r="DU200" s="62">
        <f t="shared" si="209"/>
        <v>409.2657792678549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2.4726760330066591</v>
      </c>
      <c r="EB200" s="23">
        <f>EXP(-LN(2)/25)*EB199+(1-EXP(-LN(2)/25))/(LN(2)/25)*Calculateur!DW200*Calculateur!DY200*VLOOKUP('Données projet'!$B$14,Paramètres!$A$1:$I$89,3,0)*0.475*44/12</f>
        <v>0.15886932114619731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2.6315453541528564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77.885897614924062</v>
      </c>
      <c r="EP200" s="62">
        <f t="shared" si="210"/>
        <v>401.02460251355296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2.4189222062021654</v>
      </c>
      <c r="EW200" s="23">
        <f>EXP(-LN(2)/25)*EW199+(1-EXP(-LN(2)/25))/(LN(2)/25)*Calculateur!ER200*Calculateur!ET200*VLOOKUP('Données projet'!$B$15,Paramètres!$A$1:$I$89,3,0)*0.475*44/12</f>
        <v>0.15541564025171478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2.5743378464538802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426.87921482911719</v>
      </c>
      <c r="T201" s="62">
        <f t="shared" si="204"/>
        <v>313.49594674441835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290.46664116925609</v>
      </c>
      <c r="AN201" s="62">
        <f ca="1">AVERAGE(OFFSET($AM$3,0,0,'Données projet'!$E$10+1,1))-AVERAGE(OFFSET($H$3,0,0,'Données projet'!$E$10+1,1))</f>
        <v>462.95686283420531</v>
      </c>
      <c r="AO201" s="62">
        <f t="shared" si="205"/>
        <v>275.54513370838777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6.8212102632969618E-13</v>
      </c>
      <c r="BE201" s="14">
        <f>BD201*VLOOKUP('Données projet'!$B$11,Paramètres!$A$1:$I$89,3,0)*VLOOKUP('Données projet'!$B$11,Paramètres!$A$1:$I$89,5,0)</f>
        <v>4.0790837374515837E-13</v>
      </c>
      <c r="BF201" s="14">
        <f t="shared" si="167"/>
        <v>5.2028966193600884E-12</v>
      </c>
      <c r="BG201" s="22">
        <f t="shared" si="168"/>
        <v>9.7721520296583044E-12</v>
      </c>
      <c r="BH201" s="62">
        <f t="shared" si="194"/>
        <v>290.46664116926269</v>
      </c>
      <c r="BI201" s="62">
        <f ca="1">AVERAGE(OFFSET($BH$3,0,0,'Données projet'!$E$11+1,1))-AVERAGE(OFFSET($H$3,0,0,'Données projet'!$E$11+1,1))</f>
        <v>505.16888119060701</v>
      </c>
      <c r="BJ201" s="62">
        <f t="shared" si="206"/>
        <v>351.15312364640613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7.7774407244409616E-25</v>
      </c>
      <c r="BS201" s="24">
        <f t="shared" si="169"/>
        <v>7.7774407244409616E-25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68.195506926115257</v>
      </c>
      <c r="CE201" s="62">
        <f t="shared" si="207"/>
        <v>352.52565673897004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2.0618776032316148</v>
      </c>
      <c r="CL201" s="23">
        <f>EXP(-LN(2)/25)*CL200+(1-EXP(-LN(2)/25))/(LN(2)/25)*Calculateur!CG201*Calculateur!CI201*VLOOKUP('Données projet'!$B$12,Paramètres!$A$1:$I$89,3,0)*0.475*44/12</f>
        <v>0.13143025751936832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2.1933078607509833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77.885897614924062</v>
      </c>
      <c r="CZ201" s="62">
        <f t="shared" si="208"/>
        <v>401.02460251355296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2.3714886171354035</v>
      </c>
      <c r="DG201" s="23">
        <f>EXP(-LN(2)/25)*DG200+(1-EXP(-LN(2)/25))/(LN(2)/25)*Calculateur!DB201*Calculateur!DD201*VLOOKUP('Données projet'!$B$13,Paramètres!$A$1:$I$89,3,0)*0.475*44/12</f>
        <v>0.15116579139607833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2.5226544085314817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79.532301588639172</v>
      </c>
      <c r="DU201" s="62">
        <f t="shared" si="209"/>
        <v>409.2657792678549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2.4241883641828577</v>
      </c>
      <c r="EB201" s="23">
        <f>EXP(-LN(2)/25)*EB200+(1-EXP(-LN(2)/25))/(LN(2)/25)*Calculateur!DW201*Calculateur!DY201*VLOOKUP('Données projet'!$B$14,Paramètres!$A$1:$I$89,3,0)*0.475*44/12</f>
        <v>0.15452503120488004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2.5787133953877377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77.885897614924062</v>
      </c>
      <c r="EP201" s="62">
        <f t="shared" si="210"/>
        <v>401.02460251355296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2.3714886171354035</v>
      </c>
      <c r="EW201" s="23">
        <f>EXP(-LN(2)/25)*EW200+(1-EXP(-LN(2)/25))/(LN(2)/25)*Calculateur!ER201*Calculateur!ET201*VLOOKUP('Données projet'!$B$15,Paramètres!$A$1:$I$89,3,0)*0.475*44/12</f>
        <v>0.15116579139607833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2.5226544085314817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426.87921482911719</v>
      </c>
      <c r="T202" s="62">
        <f t="shared" si="204"/>
        <v>313.49594674441835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290.51637186933931</v>
      </c>
      <c r="AN202" s="62">
        <f ca="1">AVERAGE(OFFSET($AM$3,0,0,'Données projet'!$E$10+1,1))-AVERAGE(OFFSET($H$3,0,0,'Données projet'!$E$10+1,1))</f>
        <v>462.95686283420531</v>
      </c>
      <c r="AO202" s="62">
        <f t="shared" si="205"/>
        <v>275.54513370838777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6.8212102632969618E-13</v>
      </c>
      <c r="BE202" s="14">
        <f>BD202*VLOOKUP('Données projet'!$B$11,Paramètres!$A$1:$I$89,3,0)*VLOOKUP('Données projet'!$B$11,Paramètres!$A$1:$I$89,5,0)</f>
        <v>4.0790837374515837E-13</v>
      </c>
      <c r="BF202" s="14">
        <f t="shared" si="167"/>
        <v>5.2028966193600884E-12</v>
      </c>
      <c r="BG202" s="22">
        <f t="shared" si="168"/>
        <v>9.7721520296583044E-12</v>
      </c>
      <c r="BH202" s="62">
        <f t="shared" si="194"/>
        <v>290.5163718693459</v>
      </c>
      <c r="BI202" s="62">
        <f ca="1">AVERAGE(OFFSET($BH$3,0,0,'Données projet'!$E$11+1,1))-AVERAGE(OFFSET($H$3,0,0,'Données projet'!$E$11+1,1))</f>
        <v>505.16888119060701</v>
      </c>
      <c r="BJ202" s="62">
        <f t="shared" si="206"/>
        <v>351.15312364640613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5.4994810765286186E-25</v>
      </c>
      <c r="BS202" s="24">
        <f t="shared" si="169"/>
        <v>5.4994810765286186E-25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68.195506926115257</v>
      </c>
      <c r="CE202" s="62">
        <f t="shared" si="207"/>
        <v>352.52565673897004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2.0214454410534008</v>
      </c>
      <c r="CL202" s="23">
        <f>EXP(-LN(2)/25)*CL201+(1-EXP(-LN(2)/25))/(LN(2)/25)*Calculateur!CG202*Calculateur!CI202*VLOOKUP('Données projet'!$B$12,Paramètres!$A$1:$I$89,3,0)*0.475*44/12</f>
        <v>0.12783629021588433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2.1492817312692853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77.885897614924062</v>
      </c>
      <c r="CZ202" s="62">
        <f t="shared" si="208"/>
        <v>401.02460251355296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2.3249851718186081</v>
      </c>
      <c r="DG202" s="23">
        <f>EXP(-LN(2)/25)*DG201+(1-EXP(-LN(2)/25))/(LN(2)/25)*Calculateur!DB202*Calculateur!DD202*VLOOKUP('Données projet'!$B$13,Paramètres!$A$1:$I$89,3,0)*0.475*44/12</f>
        <v>0.14703215488088908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2.4720173266994974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79.532301588639172</v>
      </c>
      <c r="DU202" s="62">
        <f t="shared" si="209"/>
        <v>409.2657792678549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2.3766515089701334</v>
      </c>
      <c r="EB202" s="23">
        <f>EXP(-LN(2)/25)*EB201+(1-EXP(-LN(2)/25))/(LN(2)/25)*Calculateur!DW202*Calculateur!DY202*VLOOKUP('Données projet'!$B$14,Paramètres!$A$1:$I$89,3,0)*0.475*44/12</f>
        <v>0.15029953610046437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2.5269510450705979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77.885897614924062</v>
      </c>
      <c r="EP202" s="62">
        <f t="shared" si="210"/>
        <v>401.02460251355296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2.3249851718186081</v>
      </c>
      <c r="EW202" s="23">
        <f>EXP(-LN(2)/25)*EW201+(1-EXP(-LN(2)/25))/(LN(2)/25)*Calculateur!ER202*Calculateur!ET202*VLOOKUP('Données projet'!$B$15,Paramètres!$A$1:$I$89,3,0)*0.475*44/12</f>
        <v>0.14703215488088908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2.4720173266994974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426.87921482911719</v>
      </c>
      <c r="T203" s="62">
        <f t="shared" si="204"/>
        <v>313.49594674441835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290.56523985295729</v>
      </c>
      <c r="AN203" s="62">
        <f ca="1">AVERAGE(OFFSET($AM$3,0,0,'Données projet'!$E$10+1,1))-AVERAGE(OFFSET($H$3,0,0,'Données projet'!$E$10+1,1))</f>
        <v>462.95686283420531</v>
      </c>
      <c r="AO203" s="62">
        <f t="shared" si="205"/>
        <v>275.54513370838777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6.8212102632969618E-13</v>
      </c>
      <c r="BE203" s="14">
        <f>BD203*VLOOKUP('Données projet'!$B$11,Paramètres!$A$1:$I$89,3,0)*VLOOKUP('Données projet'!$B$11,Paramètres!$A$1:$I$89,5,0)</f>
        <v>4.0790837374515837E-13</v>
      </c>
      <c r="BF203" s="14">
        <f t="shared" si="167"/>
        <v>5.2028966193600884E-12</v>
      </c>
      <c r="BG203" s="22">
        <f t="shared" si="168"/>
        <v>9.7721520296583044E-12</v>
      </c>
      <c r="BH203" s="62">
        <f t="shared" si="194"/>
        <v>290.56523985296388</v>
      </c>
      <c r="BI203" s="62">
        <f ca="1">AVERAGE(OFFSET($BH$3,0,0,'Données projet'!$E$11+1,1))-AVERAGE(OFFSET($H$3,0,0,'Données projet'!$E$11+1,1))</f>
        <v>505.16888119060701</v>
      </c>
      <c r="BJ203" s="62">
        <f t="shared" si="206"/>
        <v>351.15312364640613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3.8887203622204808E-25</v>
      </c>
      <c r="BS203" s="24">
        <f t="shared" si="169"/>
        <v>3.8887203622204808E-25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68.195506926115257</v>
      </c>
      <c r="CE203" s="62">
        <f t="shared" si="207"/>
        <v>352.52565673897004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1.9818061289143181</v>
      </c>
      <c r="CL203" s="23">
        <f>EXP(-LN(2)/25)*CL202+(1-EXP(-LN(2)/25))/(LN(2)/25)*Calculateur!CG203*Calculateur!CI203*VLOOKUP('Données projet'!$B$12,Paramètres!$A$1:$I$89,3,0)*0.475*44/12</f>
        <v>0.12434060013731264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2.1061467290516309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77.885897614924062</v>
      </c>
      <c r="CZ203" s="62">
        <f t="shared" si="208"/>
        <v>401.02460251355296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2.2793936307001741</v>
      </c>
      <c r="DG203" s="23">
        <f>EXP(-LN(2)/25)*DG202+(1-EXP(-LN(2)/25))/(LN(2)/25)*Calculateur!DB203*Calculateur!DD203*VLOOKUP('Données projet'!$B$13,Paramètres!$A$1:$I$89,3,0)*0.475*44/12</f>
        <v>0.14301155287358619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2.4224051835737601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79.532301588639172</v>
      </c>
      <c r="DU203" s="62">
        <f t="shared" si="209"/>
        <v>409.2657792678549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2.3300468224935122</v>
      </c>
      <c r="EB203" s="23">
        <f>EXP(-LN(2)/25)*EB202+(1-EXP(-LN(2)/25))/(LN(2)/25)*Calculateur!DW203*Calculateur!DY203*VLOOKUP('Données projet'!$B$14,Paramètres!$A$1:$I$89,3,0)*0.475*44/12</f>
        <v>0.14618958738188809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2.4762364098754004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77.885897614924062</v>
      </c>
      <c r="EP203" s="62">
        <f t="shared" si="210"/>
        <v>401.02460251355296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2.2793936307001741</v>
      </c>
      <c r="EW203" s="23">
        <f>EXP(-LN(2)/25)*EW202+(1-EXP(-LN(2)/25))/(LN(2)/25)*Calculateur!ER203*Calculateur!ET203*VLOOKUP('Données projet'!$B$15,Paramètres!$A$1:$I$89,3,0)*0.475*44/12</f>
        <v>0.14301155287358619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2.4224051835737601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1.2576543687835404</v>
      </c>
      <c r="BV205" s="88">
        <f>EXP(LN('Données projet'!B114)/'Données projet'!A114)</f>
        <v>1.4658542131107968</v>
      </c>
      <c r="CQ205" s="88">
        <f>EXP(LN('Données projet'!B140)/'Données projet'!A140)</f>
        <v>1.4658542131107968</v>
      </c>
      <c r="DL205" s="88">
        <f>EXP(LN('Données projet'!B166)/'Données projet'!A166)</f>
        <v>1.4658542131107968</v>
      </c>
      <c r="EG205" s="88">
        <f>EXP(LN('Données projet'!B192)/'Données projet'!A192)</f>
        <v>1.4658542131107968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workbookViewId="0">
      <selection activeCell="C62" sqref="C6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3" sqref="L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4.2529200000000005</v>
      </c>
      <c r="C6" s="156">
        <f ca="1">IF(OR('Données projet'!B9="",'Données projet'!C9="",'Données projet'!C9=0%),0,Calculateur!S3)</f>
        <v>426.87921482911719</v>
      </c>
      <c r="D6" s="156">
        <f>IF(OR('Données projet'!B9="",'Données projet'!C9="",'Données projet'!C9=0%),0,Calculateur!T3)</f>
        <v>313.49594674441835</v>
      </c>
      <c r="E6" s="156">
        <f ca="1">MIN(C6,D6)</f>
        <v>313.49594674441835</v>
      </c>
      <c r="F6" s="156">
        <f ca="1">E6*B6</f>
        <v>1333.2731818282718</v>
      </c>
      <c r="G6" s="156">
        <f ca="1">F6*(100%-'Données projet'!$C$24)*(100%-'Données projet'!$C$25)*(100%-'Données projet'!$C$26)*(100%-'Données projet'!$C$27)</f>
        <v>1199.9458636454447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1199.9458636454447</v>
      </c>
      <c r="M6" s="25">
        <f ca="1">L6/B6</f>
        <v>282.1463520699765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1.5628200000000001</v>
      </c>
      <c r="C7" s="156">
        <f ca="1">IF(OR('Données projet'!B10="",'Données projet'!C10="",'Données projet'!C10=0%),0,Calculateur!AN3)</f>
        <v>462.95686283420531</v>
      </c>
      <c r="D7" s="156">
        <f>IF(OR('Données projet'!B10="",'Données projet'!C10="",'Données projet'!C10=0%),0,Calculateur!AO3)</f>
        <v>275.54513370838777</v>
      </c>
      <c r="E7" s="156">
        <f t="shared" ref="E7:E15" ca="1" si="0">MIN(C7,D7)</f>
        <v>275.54513370838777</v>
      </c>
      <c r="F7" s="156">
        <f t="shared" ref="F7:F15" ca="1" si="1">E7*B7</f>
        <v>430.62744586214262</v>
      </c>
      <c r="G7" s="156">
        <f ca="1">F7*(100%-'Données projet'!$C$24)*(100%-'Données projet'!$C$25)*(100%-'Données projet'!$C$26)*(100%-'Données projet'!$C$27)</f>
        <v>387.56470127592837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11.330445000000001</v>
      </c>
      <c r="K7" s="160">
        <f>J7*(100%-'Données projet'!$C$24)*(100%-'Données projet'!$C$25)*(100%-'Données projet'!$C$26)*(100%-'Données projet'!$C$27)</f>
        <v>10.197400500000001</v>
      </c>
      <c r="L7" s="161">
        <f t="shared" ref="L7:L15" ca="1" si="2">G7+I7+K7</f>
        <v>397.76210177592839</v>
      </c>
      <c r="M7" s="25">
        <f ca="1">L7/B7</f>
        <v>254.51562033754902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de Salzmann</v>
      </c>
      <c r="B8" s="163">
        <f>'Données projet'!D11</f>
        <v>0.94794</v>
      </c>
      <c r="C8" s="156">
        <f ca="1">IF(OR('Données projet'!B11="",'Données projet'!C11="",'Données projet'!C11=0%),0,Calculateur!BI3)</f>
        <v>505.16888119060701</v>
      </c>
      <c r="D8" s="156">
        <f>IF(OR('Données projet'!B11="",'Données projet'!C11="",'Données projet'!C11=0%),0,Calculateur!BJ3)</f>
        <v>351.15312364640613</v>
      </c>
      <c r="E8" s="156">
        <f t="shared" ca="1" si="0"/>
        <v>351.15312364640613</v>
      </c>
      <c r="F8" s="156">
        <f t="shared" ca="1" si="1"/>
        <v>332.87209202937424</v>
      </c>
      <c r="G8" s="156">
        <f ca="1">F8*(100%-'Données projet'!$C$24)*(100%-'Données projet'!$C$25)*(100%-'Données projet'!$C$26)*(100%-'Données projet'!$C$27)</f>
        <v>299.58488282643685</v>
      </c>
      <c r="H8" s="164">
        <f>IF(OR('Données projet'!B11="",'Données projet'!C11="",'Données projet'!C11=0%),0,AVERAGE(Calculateur!$BS$3:$BS$33)*B8)</f>
        <v>0.93937267364219879</v>
      </c>
      <c r="I8" s="158">
        <f>H8*(100%-'Données projet'!$C$24)*(100%-'Données projet'!$C$25)*(100%-'Données projet'!$C$26)*(100%-'Données projet'!$C$27)</f>
        <v>0.84543540627797897</v>
      </c>
      <c r="J8" s="159">
        <f>IF(OR('Données projet'!B11="",'Données projet'!C11="",'Données projet'!C11=0%),0,SUM(Calculateur!$BL$3:$BL$33)*VLOOKUP('Données projet'!$B$11,Paramètres!$A$1:$I$89,9,0)*B8)</f>
        <v>11.820811800000001</v>
      </c>
      <c r="K8" s="160">
        <f>J8*(100%-'Données projet'!$C$24)*(100%-'Données projet'!$C$25)*(100%-'Données projet'!$C$26)*(100%-'Données projet'!$C$27)</f>
        <v>10.638730620000002</v>
      </c>
      <c r="L8" s="161">
        <f t="shared" ca="1" si="2"/>
        <v>311.06904885271484</v>
      </c>
      <c r="M8" s="25">
        <f ca="1">L8/B8</f>
        <v>328.15267722927069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Triplo</v>
      </c>
      <c r="B9" s="163">
        <f>'Données projet'!D12</f>
        <v>5.4980520000000004</v>
      </c>
      <c r="C9" s="156">
        <f ca="1">IF(OR('Données projet'!B12="",'Données projet'!C12="",'Données projet'!C12=0%),0,Calculateur!CD3)</f>
        <v>68.195506926115257</v>
      </c>
      <c r="D9" s="156">
        <f>IF(OR('Données projet'!B12="",'Données projet'!C12="",'Données projet'!C12=0%),0,Calculateur!CE3)</f>
        <v>352.52565673897004</v>
      </c>
      <c r="E9" s="156">
        <f t="shared" ca="1" si="0"/>
        <v>68.195506926115257</v>
      </c>
      <c r="F9" s="156">
        <f t="shared" ca="1" si="1"/>
        <v>374.94244324614186</v>
      </c>
      <c r="G9" s="156">
        <f ca="1">F9*(100%-'Données projet'!$C$24)*(100%-'Données projet'!$C$25)*(100%-'Données projet'!$C$26)*(100%-'Données projet'!$C$27)</f>
        <v>337.44819892152771</v>
      </c>
      <c r="H9" s="164">
        <f>IF(OR('Données projet'!B12="",'Données projet'!C12="",'Données projet'!C12=0%),0,AVERAGE(Calculateur!$CN$3:$CN$33)*B9)</f>
        <v>238.68578092223913</v>
      </c>
      <c r="I9" s="158">
        <f>H9*(100%-'Données projet'!$C$24)*(100%-'Données projet'!$C$25)*(100%-'Données projet'!$C$26)*(100%-'Données projet'!$C$27)</f>
        <v>214.81720283001522</v>
      </c>
      <c r="J9" s="159">
        <f>IF(OR('Données projet'!B12="",'Données projet'!C12="",'Données projet'!C12=0%),0,SUM(Calculateur!$CG$3:$CG$33)*VLOOKUP('Données projet'!$B$12,Paramètres!$A$1:$I$89,9,0)*B9)</f>
        <v>1755.5280036000001</v>
      </c>
      <c r="K9" s="160">
        <f>J9*(100%-'Données projet'!$C$24)*(100%-'Données projet'!$C$25)*(100%-'Données projet'!$C$26)*(100%-'Données projet'!$C$27)</f>
        <v>1579.9752032400002</v>
      </c>
      <c r="L9" s="161">
        <f t="shared" ca="1" si="2"/>
        <v>2132.240604991543</v>
      </c>
      <c r="M9" s="25">
        <f ca="1">L9/B9</f>
        <v>387.81746789436386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Peuplier Soligo</v>
      </c>
      <c r="B10" s="163">
        <f>'Données projet'!D13</f>
        <v>4.5885420000000003</v>
      </c>
      <c r="C10" s="156">
        <f ca="1">IF(OR('Données projet'!B13="",'Données projet'!C13="",'Données projet'!C13=0%),0,Calculateur!CY3)</f>
        <v>77.885897614924062</v>
      </c>
      <c r="D10" s="156">
        <f>IF(OR('Données projet'!B13="",'Données projet'!C13="",'Données projet'!C13=0%),0,Calculateur!CZ3)</f>
        <v>401.02460251355296</v>
      </c>
      <c r="E10" s="156">
        <f t="shared" ca="1" si="0"/>
        <v>77.885897614924062</v>
      </c>
      <c r="F10" s="156">
        <f t="shared" ca="1" si="1"/>
        <v>357.3827124137789</v>
      </c>
      <c r="G10" s="156">
        <f ca="1">F10*(100%-'Données projet'!$C$24)*(100%-'Données projet'!$C$25)*(100%-'Données projet'!$C$26)*(100%-'Données projet'!$C$27)</f>
        <v>321.644441172401</v>
      </c>
      <c r="H10" s="164">
        <f>IF(OR('Données projet'!B13="",'Données projet'!C13="",'Données projet'!C13=0%),0,AVERAGE(Calculateur!$DI$3:$DI$33)*B10)</f>
        <v>229.1134469768005</v>
      </c>
      <c r="I10" s="158">
        <f>H10*(100%-'Données projet'!$C$24)*(100%-'Données projet'!$C$25)*(100%-'Données projet'!$C$26)*(100%-'Données projet'!$C$27)</f>
        <v>206.20210227912045</v>
      </c>
      <c r="J10" s="159">
        <f>IF(OR('Données projet'!B13="",'Données projet'!C13="",'Données projet'!C13=0%),0,SUM(Calculateur!$DB$3:$DB$33)*VLOOKUP('Données projet'!$B$13,Paramètres!$A$1:$I$89,9,0)*B10)</f>
        <v>1465.1214606000001</v>
      </c>
      <c r="K10" s="160">
        <f>J10*(100%-'Données projet'!$C$24)*(100%-'Données projet'!$C$25)*(100%-'Données projet'!$C$26)*(100%-'Données projet'!$C$27)</f>
        <v>1318.60931454</v>
      </c>
      <c r="L10" s="161">
        <f t="shared" ca="1" si="2"/>
        <v>1846.4558579915215</v>
      </c>
      <c r="M10" s="25">
        <f ca="1">L10/B10</f>
        <v>402.40578771895764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Peuplier Taro</v>
      </c>
      <c r="B11" s="163">
        <f>'Données projet'!D14</f>
        <v>5.1188760000000002</v>
      </c>
      <c r="C11" s="156">
        <f ca="1">IF(OR('Données projet'!B14="",'Données projet'!C14="",'Données projet'!C14=0%),0,Calculateur!DT3)</f>
        <v>79.532301588639172</v>
      </c>
      <c r="D11" s="156">
        <f>IF(OR('Données projet'!B14="",'Données projet'!C14="",'Données projet'!C14=0%),0,Calculateur!DU3)</f>
        <v>409.2657792678549</v>
      </c>
      <c r="E11" s="156">
        <f t="shared" ca="1" si="0"/>
        <v>79.532301588639172</v>
      </c>
      <c r="F11" s="156">
        <f t="shared" ca="1" si="1"/>
        <v>407.11598982684694</v>
      </c>
      <c r="G11" s="156">
        <f ca="1">F11*(100%-'Données projet'!$C$24)*(100%-'Données projet'!$C$25)*(100%-'Données projet'!$C$26)*(100%-'Données projet'!$C$27)</f>
        <v>366.40439084416226</v>
      </c>
      <c r="H11" s="164">
        <f>IF(OR('Données projet'!B14="",'Données projet'!C14="",'Données projet'!C14=0%),0,AVERAGE(Calculateur!$ED$3:$ED$33)*B11)</f>
        <v>261.27375996952389</v>
      </c>
      <c r="I11" s="158">
        <f>H11*(100%-'Données projet'!$C$24)*(100%-'Données projet'!$C$25)*(100%-'Données projet'!$C$26)*(100%-'Données projet'!$C$27)</f>
        <v>235.1463839725715</v>
      </c>
      <c r="J11" s="159">
        <f>IF(OR('Données projet'!B14="",'Données projet'!C14="",'Données projet'!C14=0%),0,SUM(Calculateur!$DW$3:$DW$33)*VLOOKUP('Données projet'!$B$14,Paramètres!$A$1:$I$89,9,0)*B11)</f>
        <v>1634.4571068</v>
      </c>
      <c r="K11" s="160">
        <f>J11*(100%-'Données projet'!$C$24)*(100%-'Données projet'!$C$25)*(100%-'Données projet'!$C$26)*(100%-'Données projet'!$C$27)</f>
        <v>1471.01139612</v>
      </c>
      <c r="L11" s="161">
        <f t="shared" ca="1" si="2"/>
        <v>2072.5621709367338</v>
      </c>
      <c r="M11" s="25">
        <f ca="1">L11/B11</f>
        <v>404.88618418120183</v>
      </c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Peuplier Soligo</v>
      </c>
      <c r="B12" s="163">
        <f>'Données projet'!D15</f>
        <v>3.648288</v>
      </c>
      <c r="C12" s="156">
        <f ca="1">IF(OR('Données projet'!B15="",'Données projet'!C15="",'Données projet'!C15=0%),0,Calculateur!EO3)</f>
        <v>77.885897614924062</v>
      </c>
      <c r="D12" s="156">
        <f>IF(OR('Données projet'!B15="",'Données projet'!C15="",'Données projet'!C15=0%),0,Calculateur!EP3)</f>
        <v>401.02460251355296</v>
      </c>
      <c r="E12" s="156">
        <f t="shared" ca="1" si="0"/>
        <v>77.885897614924062</v>
      </c>
      <c r="F12" s="156">
        <f t="shared" ca="1" si="1"/>
        <v>284.15018563775607</v>
      </c>
      <c r="G12" s="156">
        <f ca="1">F12*(100%-'Données projet'!$C$24)*(100%-'Données projet'!$C$25)*(100%-'Données projet'!$C$26)*(100%-'Données projet'!$C$27)</f>
        <v>255.73516707398048</v>
      </c>
      <c r="H12" s="164">
        <f>IF(OR('Données projet'!B15="",'Données projet'!C15="",'Données projet'!C15=0%),0,AVERAGE(Calculateur!$EY$3:$EY$33)*B12)</f>
        <v>182.16501870182239</v>
      </c>
      <c r="I12" s="158">
        <f>H12*(100%-'Données projet'!$C$24)*(100%-'Données projet'!$C$25)*(100%-'Données projet'!$C$26)*(100%-'Données projet'!$C$27)</f>
        <v>163.94851683164015</v>
      </c>
      <c r="J12" s="159">
        <f>IF(OR('Données projet'!B15="",'Données projet'!C15="",'Données projet'!C15=0%),0,SUM(Calculateur!$ER$3:$ER$33)*VLOOKUP('Données projet'!$B$15,Paramètres!$A$1:$I$89,9,0)*B12)</f>
        <v>1164.8983584</v>
      </c>
      <c r="K12" s="160">
        <f>J12*(100%-'Données projet'!$C$24)*(100%-'Données projet'!$C$25)*(100%-'Données projet'!$C$26)*(100%-'Données projet'!$C$27)</f>
        <v>1048.4085225599999</v>
      </c>
      <c r="L12" s="161">
        <f t="shared" ca="1" si="2"/>
        <v>1468.0922064656206</v>
      </c>
      <c r="M12" s="25">
        <f ca="1">L12/B12</f>
        <v>402.40578771895764</v>
      </c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3520.3640508443123</v>
      </c>
      <c r="G16" s="175">
        <f t="shared" ca="1" si="3"/>
        <v>3168.3276457598813</v>
      </c>
      <c r="H16" s="176">
        <f t="shared" si="3"/>
        <v>912.17737924402809</v>
      </c>
      <c r="I16" s="176">
        <f t="shared" si="3"/>
        <v>820.95964131962535</v>
      </c>
      <c r="J16" s="177">
        <f t="shared" si="3"/>
        <v>6043.1561861999999</v>
      </c>
      <c r="K16" s="177">
        <f t="shared" si="3"/>
        <v>5438.8405675800004</v>
      </c>
      <c r="L16" s="178">
        <f t="shared" ca="1" si="3"/>
        <v>9428.1278546595058</v>
      </c>
      <c r="M16" s="25">
        <f ca="1">L16/25.62</f>
        <v>367.99874530286905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de Salzmann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Triplo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Peuplier Soligo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Peuplier Taro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Peuplier Soligo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1872.919986714156</v>
      </c>
      <c r="U10" s="190">
        <f>'Données projet'!D9</f>
        <v>4.2529200000000005</v>
      </c>
      <c r="V10" s="189">
        <f>U10*T10</f>
        <v>7965.378869896369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1047.8444131243361</v>
      </c>
      <c r="U11" s="190">
        <f>'Données projet'!D10</f>
        <v>1.5628200000000001</v>
      </c>
      <c r="V11" s="189">
        <f t="shared" ref="V11" si="0">U11*T11</f>
        <v>1637.592205718975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de Salzmann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714.96997971778092</v>
      </c>
      <c r="U12" s="190">
        <f>'Données projet'!D11</f>
        <v>0.94794</v>
      </c>
      <c r="V12" s="189">
        <f t="shared" ref="V12:V19" si="1">U12*T12</f>
        <v>677.74864257367324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Triplo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9611.0002270732839</v>
      </c>
      <c r="U13" s="190">
        <f>'Données projet'!D12</f>
        <v>5.4980520000000004</v>
      </c>
      <c r="V13" s="189">
        <f t="shared" si="1"/>
        <v>52841.77902046073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Soligo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9611.0002270732839</v>
      </c>
      <c r="U14" s="190">
        <f>'Données projet'!D13</f>
        <v>4.5885420000000003</v>
      </c>
      <c r="V14" s="189">
        <f t="shared" si="1"/>
        <v>44100.478203935301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Peuplier Taro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9611.0002270732839</v>
      </c>
      <c r="U15" s="190">
        <f>'Données projet'!D14</f>
        <v>5.1188760000000002</v>
      </c>
      <c r="V15" s="189">
        <f t="shared" si="1"/>
        <v>49197.518398359985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Peuplier Soligo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9611.0002270732839</v>
      </c>
      <c r="U16" s="190">
        <f>'Données projet'!D15</f>
        <v>3.648288</v>
      </c>
      <c r="V16" s="189">
        <f t="shared" si="1"/>
        <v>35063.69679642874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3205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127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387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91899.54990123371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95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150383.58075411175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20</v>
      </c>
      <c r="D25" s="194">
        <f t="shared" si="2"/>
        <v>1760</v>
      </c>
      <c r="E25" s="206"/>
      <c r="F25" s="264"/>
      <c r="G25" s="1"/>
      <c r="H25" s="203">
        <v>5</v>
      </c>
      <c r="I25" s="204">
        <v>34</v>
      </c>
      <c r="K25" s="225"/>
      <c r="L25" s="271" t="s">
        <v>285</v>
      </c>
      <c r="M25" s="271"/>
      <c r="N25" s="271"/>
      <c r="O25" s="271"/>
      <c r="P25" s="205">
        <v>500</v>
      </c>
      <c r="Q25" s="265"/>
      <c r="R25" s="25"/>
      <c r="S25" s="198" t="s">
        <v>266</v>
      </c>
      <c r="T25" s="336">
        <f ca="1">T23-T24</f>
        <v>-58484.030852878044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40</v>
      </c>
      <c r="D27" s="194">
        <f t="shared" si="2"/>
        <v>4080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50</v>
      </c>
      <c r="D28" s="194">
        <f t="shared" si="2"/>
        <v>5650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60</v>
      </c>
      <c r="D29" s="194">
        <f t="shared" si="2"/>
        <v>7440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70</v>
      </c>
      <c r="D30" s="194">
        <f t="shared" si="2"/>
        <v>9450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5869.7728631581476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478.46889952153111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457.86497561869015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438.14830202745469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419.28067179660746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401.22552325034206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383.94786913908342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367.41422884122812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351.59256348442892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336.45221386069755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321.96384101502161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308.09936939236519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294.83193243288542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282.13582050993818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269.98643110998876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258.36022115788398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10</v>
      </c>
      <c r="D54" s="191">
        <f>B54*C54</f>
        <v>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10</v>
      </c>
      <c r="D55" s="191">
        <f t="shared" ref="D55:D73" si="4">B55*C55</f>
        <v>210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20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30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30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40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50</v>
      </c>
      <c r="D62" s="191">
        <f t="shared" si="4"/>
        <v>1050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60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70</v>
      </c>
      <c r="D64" s="191">
        <f t="shared" si="4"/>
        <v>1470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70</v>
      </c>
      <c r="D65" s="191">
        <f t="shared" si="4"/>
        <v>1470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80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80</v>
      </c>
      <c r="D67" s="191">
        <f t="shared" si="4"/>
        <v>1680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90</v>
      </c>
      <c r="D68" s="191">
        <f t="shared" si="4"/>
        <v>1890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90</v>
      </c>
      <c r="D69" s="191">
        <f t="shared" si="4"/>
        <v>1890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100</v>
      </c>
      <c r="D70" s="191">
        <f t="shared" si="4"/>
        <v>2000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100</v>
      </c>
      <c r="D71" s="191">
        <f t="shared" si="4"/>
        <v>1900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110</v>
      </c>
      <c r="D72" s="191">
        <f t="shared" si="4"/>
        <v>1980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305</v>
      </c>
      <c r="C73" s="204">
        <v>200</v>
      </c>
      <c r="D73" s="191">
        <f t="shared" si="4"/>
        <v>61000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de Salzmann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7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22</v>
      </c>
      <c r="C86" s="204">
        <v>10</v>
      </c>
      <c r="D86" s="191">
        <f t="shared" ref="D86:D104" si="6">B86*C86</f>
        <v>220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35</v>
      </c>
      <c r="C87" s="204">
        <v>10</v>
      </c>
      <c r="D87" s="191">
        <f t="shared" si="6"/>
        <v>350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42</v>
      </c>
      <c r="C88" s="204">
        <v>20</v>
      </c>
      <c r="D88" s="191">
        <f t="shared" si="6"/>
        <v>840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42</v>
      </c>
      <c r="C89" s="204">
        <v>20</v>
      </c>
      <c r="D89" s="191">
        <f t="shared" si="6"/>
        <v>840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39</v>
      </c>
      <c r="C90" s="204">
        <v>25</v>
      </c>
      <c r="D90" s="191">
        <f t="shared" si="6"/>
        <v>975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36</v>
      </c>
      <c r="C91" s="204">
        <v>30</v>
      </c>
      <c r="D91" s="191">
        <f t="shared" si="6"/>
        <v>1080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36</v>
      </c>
      <c r="C92" s="204">
        <v>35</v>
      </c>
      <c r="D92" s="191">
        <f t="shared" si="6"/>
        <v>1260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621</v>
      </c>
      <c r="C93" s="204">
        <v>45</v>
      </c>
      <c r="D93" s="191">
        <f t="shared" si="6"/>
        <v>27945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Triplo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310</v>
      </c>
      <c r="C116" s="204">
        <v>60</v>
      </c>
      <c r="D116" s="191">
        <f>B116*C116</f>
        <v>18600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Peuplier Soligo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310</v>
      </c>
      <c r="C147" s="204">
        <v>60</v>
      </c>
      <c r="D147" s="194">
        <f>B147*C147</f>
        <v>18600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Peuplier Taro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310</v>
      </c>
      <c r="C178" s="206">
        <v>60</v>
      </c>
      <c r="D178" s="191">
        <f>B178*C178</f>
        <v>18600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Peuplier Soligo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310</v>
      </c>
      <c r="C209" s="206">
        <v>60</v>
      </c>
      <c r="D209" s="191">
        <f>B209*C209</f>
        <v>18600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5</vt:i4>
      </vt:variant>
    </vt:vector>
  </HeadingPairs>
  <TitlesOfParts>
    <vt:vector size="14" baseType="lpstr">
      <vt:lpstr>Accueil</vt:lpstr>
      <vt:lpstr>Données projet</vt:lpstr>
      <vt:lpstr>Feuil2</vt:lpstr>
      <vt:lpstr>Feuil1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2025-03-28T08:08:15Z</dcterms:modified>
</cp:coreProperties>
</file>