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A.S.O\Tour de France 2025\Juvigny-les-Vallées\"/>
    </mc:Choice>
  </mc:AlternateContent>
  <bookViews>
    <workbookView xWindow="0" yWindow="0" windowWidth="20496" windowHeight="775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4" i="1" l="1"/>
  <c r="B92" i="1"/>
  <c r="D236" i="1"/>
  <c r="B236" i="1"/>
  <c r="B235" i="1"/>
  <c r="D234" i="1"/>
  <c r="B234" i="1"/>
  <c r="B233" i="1"/>
  <c r="D232" i="1"/>
  <c r="B232" i="1"/>
  <c r="B231" i="1"/>
  <c r="D230" i="1"/>
  <c r="B230" i="1"/>
  <c r="B229" i="1"/>
  <c r="D228" i="1"/>
  <c r="B228" i="1"/>
  <c r="B227" i="1"/>
  <c r="D226" i="1"/>
  <c r="B226" i="1"/>
  <c r="B225" i="1"/>
  <c r="D224" i="1"/>
  <c r="B224" i="1"/>
  <c r="B223" i="1"/>
  <c r="D222" i="1"/>
  <c r="B222" i="1"/>
  <c r="B221" i="1"/>
  <c r="B220" i="1"/>
  <c r="B120" i="1"/>
  <c r="D119" i="1"/>
  <c r="B119" i="1"/>
  <c r="B118" i="1"/>
  <c r="D117" i="1"/>
  <c r="B117" i="1"/>
  <c r="B116" i="1"/>
  <c r="B115" i="1"/>
  <c r="B114" i="1"/>
  <c r="B173" i="1" l="1"/>
  <c r="D172" i="1"/>
  <c r="B172" i="1"/>
  <c r="B171" i="1"/>
  <c r="D170" i="1"/>
  <c r="B170" i="1"/>
  <c r="B169" i="1"/>
  <c r="D168" i="1"/>
  <c r="B168" i="1"/>
  <c r="B167" i="1"/>
  <c r="B147" i="1"/>
  <c r="D146" i="1"/>
  <c r="B146" i="1"/>
  <c r="B145" i="1"/>
  <c r="D144" i="1"/>
  <c r="B144" i="1"/>
  <c r="B143" i="1"/>
  <c r="D142" i="1"/>
  <c r="B142" i="1"/>
  <c r="B141" i="1"/>
  <c r="B69" i="1"/>
  <c r="D68" i="1"/>
  <c r="B68" i="1"/>
  <c r="B67" i="1"/>
  <c r="D66" i="1"/>
  <c r="B66" i="1"/>
  <c r="B65" i="1"/>
  <c r="D64" i="1"/>
  <c r="B64" i="1"/>
  <c r="B63" i="1"/>
  <c r="D205" i="1" l="1"/>
  <c r="B205" i="1"/>
  <c r="D203" i="1"/>
  <c r="B203" i="1"/>
  <c r="D201" i="1"/>
  <c r="B201" i="1"/>
  <c r="D199" i="1"/>
  <c r="B199" i="1"/>
  <c r="D197" i="1"/>
  <c r="B197" i="1"/>
  <c r="D195" i="1"/>
  <c r="B195" i="1"/>
  <c r="D102" i="1" l="1"/>
  <c r="B102" i="1"/>
  <c r="B101" i="1"/>
  <c r="D100" i="1"/>
  <c r="B100" i="1"/>
  <c r="B99" i="1"/>
  <c r="D98" i="1"/>
  <c r="B98" i="1"/>
  <c r="B97" i="1"/>
  <c r="D96" i="1"/>
  <c r="B96" i="1"/>
  <c r="B95" i="1"/>
  <c r="D94" i="1"/>
  <c r="B93" i="1"/>
  <c r="D92" i="1"/>
  <c r="B91" i="1"/>
  <c r="D90" i="1"/>
  <c r="B90" i="1"/>
  <c r="B89" i="1"/>
  <c r="D49" i="1"/>
  <c r="B49" i="1"/>
  <c r="D48" i="1"/>
  <c r="B48" i="1"/>
  <c r="B47" i="1"/>
  <c r="D46" i="1"/>
  <c r="B46" i="1"/>
  <c r="B45" i="1"/>
  <c r="D44" i="1"/>
  <c r="B44" i="1"/>
  <c r="B43" i="1"/>
  <c r="D42" i="1"/>
  <c r="B42" i="1"/>
  <c r="B41" i="1"/>
  <c r="D40" i="1"/>
  <c r="B40" i="1"/>
  <c r="B39" i="1"/>
  <c r="D38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B156" i="2" l="1"/>
  <c r="FS156" i="2"/>
  <c r="EX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Y162" i="2"/>
  <c r="EV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FS164" i="2"/>
  <c r="FR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Y168" i="2"/>
  <c r="FS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W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V185" i="2"/>
  <c r="EW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D185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A192" i="2" l="1"/>
  <c r="EV192" i="2"/>
  <c r="EW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B193" i="2" l="1"/>
  <c r="EY192" i="2"/>
  <c r="FQ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89" i="2" l="1" a="1"/>
  <c r="FD189" i="2" s="1"/>
  <c r="FD21" i="2" a="1"/>
  <c r="FD21" i="2" s="1"/>
  <c r="FR203" i="2"/>
  <c r="BC130" i="2" a="1"/>
  <c r="BC130" i="2" s="1"/>
  <c r="BC18" i="2" a="1"/>
  <c r="BC18" i="2" s="1"/>
  <c r="BC38" i="2" a="1"/>
  <c r="BC38" i="2" s="1"/>
  <c r="BC7" i="2" a="1"/>
  <c r="BC7" i="2" s="1"/>
  <c r="BC192" i="2" a="1"/>
  <c r="BC192" i="2" s="1"/>
  <c r="BC83" i="2" a="1"/>
  <c r="BC83" i="2" s="1"/>
  <c r="BC151" i="2" a="1"/>
  <c r="BC151" i="2" s="1"/>
  <c r="BC31" i="2" a="1"/>
  <c r="BC31" i="2" s="1"/>
  <c r="BC84" i="2" a="1"/>
  <c r="BC84" i="2" s="1"/>
  <c r="BC164" i="2" a="1"/>
  <c r="BC164" i="2" s="1"/>
  <c r="BC55" i="2" a="1"/>
  <c r="BC55" i="2" s="1"/>
  <c r="BC65" i="2" a="1"/>
  <c r="BC65" i="2" s="1"/>
  <c r="BC185" i="2" a="1"/>
  <c r="BC185" i="2" s="1"/>
  <c r="BC114" i="2" a="1"/>
  <c r="BC114" i="2" s="1"/>
  <c r="BC143" i="2" a="1"/>
  <c r="BC143" i="2" s="1"/>
  <c r="BC82" i="2" a="1"/>
  <c r="BC82" i="2" s="1"/>
  <c r="BC32" i="2" a="1"/>
  <c r="BC32" i="2" s="1"/>
  <c r="BC126" i="2" a="1"/>
  <c r="BC126" i="2" s="1"/>
  <c r="BC47" i="2" a="1"/>
  <c r="BC47" i="2" s="1"/>
  <c r="BC68" i="2" a="1"/>
  <c r="BC68" i="2" s="1"/>
  <c r="BC117" i="2" a="1"/>
  <c r="BC117" i="2" s="1"/>
  <c r="BC58" i="2" a="1"/>
  <c r="BC58" i="2" s="1"/>
  <c r="BC181" i="2" a="1"/>
  <c r="BC181" i="2" s="1"/>
  <c r="BC34" i="2" a="1"/>
  <c r="BC3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56" i="2" l="1"/>
  <c r="FJ112" i="2"/>
  <c r="FJ57" i="2"/>
  <c r="FJ106" i="2"/>
  <c r="FJ48" i="2"/>
  <c r="FJ94" i="2"/>
  <c r="FJ137" i="2"/>
  <c r="FJ117" i="2"/>
  <c r="FJ54" i="2"/>
  <c r="FJ91" i="2"/>
  <c r="FJ169" i="2"/>
  <c r="FJ130" i="2"/>
  <c r="FJ85" i="2"/>
  <c r="FJ61" i="2"/>
  <c r="FJ161" i="2"/>
  <c r="FJ88" i="2"/>
  <c r="FJ166" i="2"/>
  <c r="FJ5" i="2"/>
  <c r="FJ43" i="2"/>
  <c r="FJ122" i="2"/>
  <c r="FJ180" i="2"/>
  <c r="FJ128" i="2"/>
  <c r="FJ192" i="2"/>
  <c r="FJ6" i="2"/>
  <c r="FJ46" i="2"/>
  <c r="FJ158" i="2"/>
  <c r="FJ194" i="2"/>
  <c r="FJ115" i="2"/>
  <c r="FJ126" i="2"/>
  <c r="FJ151" i="2"/>
  <c r="FJ42" i="2"/>
  <c r="FJ32" i="2"/>
  <c r="FJ133" i="2"/>
  <c r="FJ71" i="2"/>
  <c r="FJ118" i="2"/>
  <c r="FJ60" i="2"/>
  <c r="FJ142" i="2"/>
  <c r="FJ147" i="2"/>
  <c r="FJ110" i="2"/>
  <c r="FJ96" i="2"/>
  <c r="FJ26" i="2"/>
  <c r="FJ77" i="2"/>
  <c r="FJ146" i="2"/>
  <c r="FJ3" i="2"/>
  <c r="C13" i="4" s="1"/>
  <c r="E13" i="4" s="1"/>
  <c r="F13" i="4" s="1"/>
  <c r="G13" i="4" s="1"/>
  <c r="L13" i="4" s="1"/>
  <c r="FJ31" i="2"/>
  <c r="FJ182" i="2"/>
  <c r="FJ64" i="2"/>
  <c r="FJ82" i="2"/>
  <c r="FJ193" i="2"/>
  <c r="FJ40" i="2"/>
  <c r="FJ183" i="2"/>
  <c r="FJ199" i="2"/>
  <c r="FJ185" i="2"/>
  <c r="FJ167" i="2"/>
  <c r="FJ79" i="2"/>
  <c r="FJ202" i="2"/>
  <c r="FJ69" i="2"/>
  <c r="FJ201" i="2"/>
  <c r="FJ149" i="2"/>
  <c r="FJ191" i="2"/>
  <c r="FJ132" i="2"/>
  <c r="FJ187" i="2"/>
  <c r="FJ131" i="2"/>
  <c r="FJ177" i="2"/>
  <c r="FJ184" i="2"/>
  <c r="FJ129" i="2"/>
  <c r="FJ74" i="2"/>
  <c r="FJ123" i="2"/>
  <c r="FJ17" i="2"/>
  <c r="FJ8" i="2"/>
  <c r="FJ75" i="2"/>
  <c r="FJ197" i="2"/>
  <c r="FJ20" i="2"/>
  <c r="FJ162" i="2"/>
  <c r="FJ49" i="2"/>
  <c r="FJ23" i="2"/>
  <c r="FJ58" i="2"/>
  <c r="FJ13" i="2"/>
  <c r="FJ53" i="2"/>
  <c r="FJ25" i="2"/>
  <c r="FJ59" i="2"/>
  <c r="FJ84" i="2"/>
  <c r="FJ135" i="2"/>
  <c r="FJ14" i="2"/>
  <c r="FJ47" i="2"/>
  <c r="FJ28" i="2"/>
  <c r="FJ155" i="2"/>
  <c r="FJ11" i="2"/>
  <c r="FJ93" i="2"/>
  <c r="FJ36" i="2"/>
  <c r="FJ55" i="2"/>
  <c r="FJ195" i="2"/>
  <c r="FJ24" i="2"/>
  <c r="FJ41" i="2"/>
  <c r="FJ87" i="2"/>
  <c r="FJ190" i="2"/>
  <c r="FJ68" i="2"/>
  <c r="FJ107" i="2"/>
  <c r="FJ176" i="2"/>
  <c r="FJ4" i="2"/>
  <c r="FJ150" i="2"/>
  <c r="FJ16" i="2"/>
  <c r="FJ73" i="2"/>
  <c r="FJ159" i="2"/>
  <c r="FJ19" i="2"/>
  <c r="FJ111" i="2"/>
  <c r="FJ203" i="2"/>
  <c r="FJ22" i="2"/>
  <c r="FJ100" i="2"/>
  <c r="FJ45" i="2"/>
  <c r="FJ72" i="2"/>
  <c r="FJ95" i="2"/>
  <c r="FJ114" i="2"/>
  <c r="FJ143" i="2"/>
  <c r="FJ139" i="2"/>
  <c r="FJ140" i="2"/>
  <c r="FJ178" i="2"/>
  <c r="FJ165" i="2"/>
  <c r="FJ86" i="2"/>
  <c r="FJ144" i="2"/>
  <c r="FJ101" i="2"/>
  <c r="FJ33" i="2"/>
  <c r="FJ138" i="2"/>
  <c r="FJ174" i="2"/>
  <c r="FJ154" i="2"/>
  <c r="FJ145" i="2"/>
  <c r="FJ105" i="2"/>
  <c r="FJ89" i="2"/>
  <c r="FJ141" i="2"/>
  <c r="FJ21" i="2"/>
  <c r="FJ80" i="2"/>
  <c r="FJ173" i="2"/>
  <c r="FJ92" i="2"/>
  <c r="FJ70" i="2"/>
  <c r="FJ83" i="2"/>
  <c r="FJ38" i="2"/>
  <c r="FJ51" i="2"/>
  <c r="FJ134" i="2"/>
  <c r="FJ37" i="2"/>
  <c r="FJ18" i="2"/>
  <c r="FJ104" i="2"/>
  <c r="FJ102" i="2"/>
  <c r="FJ39" i="2"/>
  <c r="FJ170" i="2"/>
  <c r="FJ66" i="2"/>
  <c r="FJ152" i="2"/>
  <c r="FJ168" i="2"/>
  <c r="FJ34" i="2"/>
  <c r="FJ62" i="2"/>
  <c r="FJ196" i="2"/>
  <c r="FJ198" i="2"/>
  <c r="FJ108" i="2"/>
  <c r="FJ7" i="2"/>
  <c r="FJ90" i="2"/>
  <c r="FJ179" i="2"/>
  <c r="FJ189" i="2"/>
  <c r="FJ164" i="2"/>
  <c r="FJ65" i="2"/>
  <c r="FJ67" i="2"/>
  <c r="FJ121" i="2"/>
  <c r="FJ163" i="2"/>
  <c r="FJ157" i="2"/>
  <c r="FJ97" i="2"/>
  <c r="FJ76" i="2"/>
  <c r="FJ12" i="2"/>
  <c r="FJ109" i="2"/>
  <c r="FJ15" i="2"/>
  <c r="FJ160" i="2"/>
  <c r="FJ148" i="2"/>
  <c r="FJ81" i="2"/>
  <c r="FJ175" i="2"/>
  <c r="FJ50" i="2"/>
  <c r="FJ44" i="2"/>
  <c r="FJ9" i="2"/>
  <c r="FJ10" i="2"/>
  <c r="FJ116" i="2"/>
  <c r="FJ171" i="2"/>
  <c r="FJ113" i="2"/>
  <c r="FJ27" i="2"/>
  <c r="FJ56" i="2"/>
  <c r="FJ103" i="2"/>
  <c r="FJ200" i="2"/>
  <c r="FJ78" i="2"/>
  <c r="FJ99" i="2"/>
  <c r="FJ181" i="2"/>
  <c r="FJ119" i="2"/>
  <c r="FJ186" i="2"/>
  <c r="FJ35" i="2"/>
  <c r="FJ98" i="2"/>
  <c r="FJ136" i="2"/>
  <c r="FJ127" i="2"/>
  <c r="FJ63" i="2"/>
  <c r="FJ52" i="2"/>
  <c r="FJ30" i="2"/>
  <c r="FJ125" i="2"/>
  <c r="FJ188" i="2"/>
  <c r="FJ120" i="2"/>
  <c r="FJ153" i="2"/>
  <c r="FJ172" i="2"/>
  <c r="FJ29" i="2"/>
  <c r="FJ12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EO178" i="2" l="1"/>
  <c r="EO59" i="2"/>
  <c r="EO193" i="2"/>
  <c r="EO34" i="2"/>
  <c r="EO194" i="2"/>
  <c r="EO190" i="2"/>
  <c r="EO147" i="2"/>
  <c r="EO103" i="2"/>
  <c r="EO186" i="2"/>
  <c r="EO192" i="2"/>
  <c r="EO80" i="2"/>
  <c r="EO70" i="2"/>
  <c r="EO150" i="2"/>
  <c r="EO170" i="2"/>
  <c r="EO93" i="2"/>
  <c r="EO171" i="2"/>
  <c r="EO92" i="2"/>
  <c r="EO135" i="2"/>
  <c r="EO182" i="2"/>
  <c r="EO165" i="2"/>
  <c r="EO185" i="2"/>
  <c r="EO55" i="2"/>
  <c r="EO48" i="2"/>
  <c r="EO101" i="2"/>
  <c r="EO16" i="2"/>
  <c r="EO149" i="2"/>
  <c r="EO61" i="2"/>
  <c r="EO47" i="2"/>
  <c r="EO177" i="2"/>
  <c r="EO25" i="2"/>
  <c r="EO35" i="2"/>
  <c r="EO67" i="2"/>
  <c r="EO37" i="2"/>
  <c r="EO143" i="2"/>
  <c r="EO142" i="2"/>
  <c r="EO89" i="2"/>
  <c r="EO57" i="2"/>
  <c r="EO65" i="2"/>
  <c r="EO20" i="2"/>
  <c r="EO120" i="2"/>
  <c r="EO17" i="2"/>
  <c r="EO26" i="2"/>
  <c r="EO174" i="2"/>
  <c r="EO28" i="2"/>
  <c r="EO88" i="2"/>
  <c r="EO125" i="2"/>
  <c r="EO12" i="2"/>
  <c r="EO117" i="2"/>
  <c r="EO162" i="2"/>
  <c r="EO168" i="2"/>
  <c r="EO45" i="2"/>
  <c r="EO167" i="2"/>
  <c r="EO155" i="2"/>
  <c r="EO22" i="2"/>
  <c r="EO123" i="2"/>
  <c r="EO78" i="2"/>
  <c r="EO166" i="2"/>
  <c r="EO180" i="2"/>
  <c r="EO10" i="2"/>
  <c r="EO106" i="2"/>
  <c r="EO102" i="2"/>
  <c r="EO138" i="2"/>
  <c r="EO200" i="2"/>
  <c r="EO127" i="2"/>
  <c r="EO41" i="2"/>
  <c r="EO148" i="2"/>
  <c r="EO130" i="2"/>
  <c r="EO13" i="2"/>
  <c r="EO109" i="2"/>
  <c r="EO172" i="2"/>
  <c r="EO187" i="2"/>
  <c r="EO145" i="2"/>
  <c r="EO198" i="2"/>
  <c r="EO72" i="2"/>
  <c r="EO49" i="2"/>
  <c r="EO11" i="2"/>
  <c r="EO134" i="2"/>
  <c r="EO157" i="2"/>
  <c r="EO84" i="2"/>
  <c r="EO201" i="2"/>
  <c r="EO32" i="2"/>
  <c r="EO24" i="2"/>
  <c r="EO197" i="2"/>
  <c r="EO139" i="2"/>
  <c r="EO203" i="2"/>
  <c r="EO91" i="2"/>
  <c r="EO56" i="2"/>
  <c r="EO60" i="2"/>
  <c r="EO30" i="2"/>
  <c r="EO137" i="2"/>
  <c r="EO46" i="2"/>
  <c r="EO86" i="2"/>
  <c r="EO141" i="2"/>
  <c r="EO83" i="2"/>
  <c r="EO121" i="2"/>
  <c r="EO9" i="2"/>
  <c r="EO160" i="2"/>
  <c r="EO196" i="2"/>
  <c r="EO7" i="2"/>
  <c r="EO21" i="2"/>
  <c r="EO118" i="2"/>
  <c r="EO79" i="2"/>
  <c r="EO108" i="2"/>
  <c r="EO126" i="2"/>
  <c r="EO122" i="2"/>
  <c r="EO161" i="2"/>
  <c r="EO52" i="2"/>
  <c r="EO18" i="2"/>
  <c r="EO158" i="2"/>
  <c r="EO159" i="2"/>
  <c r="EO53" i="2"/>
  <c r="EO195" i="2"/>
  <c r="EO175" i="2"/>
  <c r="EO99" i="2"/>
  <c r="EO76" i="2"/>
  <c r="EO85" i="2"/>
  <c r="EO44" i="2"/>
  <c r="EO31" i="2"/>
  <c r="EO104" i="2"/>
  <c r="EO4" i="2"/>
  <c r="EO114" i="2"/>
  <c r="EO107" i="2"/>
  <c r="EO66" i="2"/>
  <c r="EO43" i="2"/>
  <c r="EO116" i="2"/>
  <c r="EO8" i="2"/>
  <c r="EO140" i="2"/>
  <c r="EO144" i="2"/>
  <c r="EO199" i="2"/>
  <c r="EO152" i="2"/>
  <c r="EO113" i="2"/>
  <c r="EO202" i="2"/>
  <c r="EO54" i="2"/>
  <c r="EO38" i="2"/>
  <c r="EO111" i="2"/>
  <c r="EO97" i="2"/>
  <c r="EO64" i="2"/>
  <c r="EO40" i="2"/>
  <c r="EO42" i="2"/>
  <c r="EO179" i="2"/>
  <c r="EO173" i="2"/>
  <c r="EO183" i="2"/>
  <c r="EO6" i="2"/>
  <c r="EO58" i="2"/>
  <c r="EO69" i="2"/>
  <c r="EO14" i="2"/>
  <c r="EO77" i="2"/>
  <c r="EO63" i="2"/>
  <c r="EO82" i="2"/>
  <c r="EO133" i="2"/>
  <c r="EO146" i="2"/>
  <c r="EO71" i="2"/>
  <c r="EO124" i="2"/>
  <c r="EO33" i="2"/>
  <c r="EO153" i="2"/>
  <c r="EO156" i="2"/>
  <c r="EO90" i="2"/>
  <c r="EO151" i="2"/>
  <c r="EO73" i="2"/>
  <c r="EO132" i="2"/>
  <c r="EO169" i="2"/>
  <c r="EO100" i="2"/>
  <c r="EO181" i="2"/>
  <c r="EO27" i="2"/>
  <c r="EO176" i="2"/>
  <c r="EO68" i="2"/>
  <c r="EO23" i="2"/>
  <c r="EO50" i="2"/>
  <c r="EO51" i="2"/>
  <c r="EO36" i="2"/>
  <c r="EO112" i="2"/>
  <c r="EO164" i="2"/>
  <c r="EO5" i="2"/>
  <c r="EO119" i="2"/>
  <c r="EO15" i="2"/>
  <c r="EO115" i="2"/>
  <c r="EO94" i="2"/>
  <c r="EO184" i="2"/>
  <c r="EO96" i="2"/>
  <c r="EO39" i="2"/>
  <c r="EO87" i="2"/>
  <c r="EO98" i="2"/>
  <c r="EO75" i="2"/>
  <c r="EO129" i="2"/>
  <c r="EO81" i="2"/>
  <c r="EO3" i="2"/>
  <c r="C12" i="4" s="1"/>
  <c r="E12" i="4" s="1"/>
  <c r="F12" i="4" s="1"/>
  <c r="G12" i="4" s="1"/>
  <c r="L12" i="4" s="1"/>
  <c r="EO163" i="2"/>
  <c r="EO62" i="2"/>
  <c r="EO110" i="2"/>
  <c r="EO191" i="2"/>
  <c r="EO29" i="2"/>
  <c r="EO128" i="2"/>
  <c r="EO105" i="2"/>
  <c r="EO131" i="2"/>
  <c r="EO19" i="2"/>
  <c r="EO188" i="2"/>
  <c r="EO95" i="2"/>
  <c r="EO154" i="2"/>
  <c r="EO189" i="2"/>
  <c r="EO136" i="2"/>
  <c r="EO74" i="2"/>
  <c r="DT186" i="2"/>
  <c r="DT70" i="2"/>
  <c r="DT84" i="2"/>
  <c r="DT98" i="2"/>
  <c r="DT64" i="2"/>
  <c r="DT139" i="2"/>
  <c r="DT167" i="2"/>
  <c r="DT124" i="2"/>
  <c r="DT133" i="2"/>
  <c r="DT23" i="2"/>
  <c r="DT71" i="2"/>
  <c r="DT119" i="2"/>
  <c r="DT166" i="2"/>
  <c r="DT49" i="2"/>
  <c r="DT20" i="2"/>
  <c r="DT101" i="2"/>
  <c r="DT152" i="2"/>
  <c r="DT170" i="2"/>
  <c r="DT130" i="2"/>
  <c r="DT117" i="2"/>
  <c r="DT6" i="2"/>
  <c r="DT10" i="2"/>
  <c r="DT95" i="2"/>
  <c r="DT60" i="2"/>
  <c r="DT203" i="2"/>
  <c r="DT154" i="2"/>
  <c r="DT44" i="2"/>
  <c r="DT120" i="2"/>
  <c r="DT141" i="2"/>
  <c r="DT110" i="2"/>
  <c r="DT97" i="2"/>
  <c r="DT89" i="2"/>
  <c r="DT24" i="2"/>
  <c r="DT201" i="2"/>
  <c r="DT17" i="2"/>
  <c r="DT118" i="2"/>
  <c r="DT37" i="2"/>
  <c r="DT48" i="2"/>
  <c r="DT47" i="2"/>
  <c r="DT26" i="2"/>
  <c r="DT162" i="2"/>
  <c r="DT81" i="2"/>
  <c r="DT105" i="2"/>
  <c r="DT112" i="2"/>
  <c r="DT109" i="2"/>
  <c r="DT194" i="2"/>
  <c r="DT199" i="2"/>
  <c r="DT148" i="2"/>
  <c r="DT79" i="2"/>
  <c r="DT62" i="2"/>
  <c r="DT61" i="2"/>
  <c r="DT66" i="2"/>
  <c r="DT173" i="2"/>
  <c r="DT192" i="2"/>
  <c r="DT149" i="2"/>
  <c r="DT65" i="2"/>
  <c r="DT51" i="2"/>
  <c r="DT103" i="2"/>
  <c r="DT102" i="2"/>
  <c r="DT34" i="2"/>
  <c r="DT28" i="2"/>
  <c r="DT69" i="2"/>
  <c r="DT131" i="2"/>
  <c r="DT42" i="2"/>
  <c r="DT88" i="2"/>
  <c r="DT32" i="2"/>
  <c r="DT5" i="2"/>
  <c r="DT108" i="2"/>
  <c r="DT129" i="2"/>
  <c r="DT177" i="2"/>
  <c r="DT176" i="2"/>
  <c r="DT140" i="2"/>
  <c r="DT76" i="2"/>
  <c r="DT57" i="2"/>
  <c r="DT183" i="2"/>
  <c r="DT35" i="2"/>
  <c r="DT74" i="2"/>
  <c r="DT12" i="2"/>
  <c r="DT39" i="2"/>
  <c r="DT150" i="2"/>
  <c r="DT33" i="2"/>
  <c r="DT190" i="2"/>
  <c r="DT59" i="2"/>
  <c r="DT67" i="2"/>
  <c r="DT82" i="2"/>
  <c r="DT193" i="2"/>
  <c r="DT151" i="2"/>
  <c r="DT58" i="2"/>
  <c r="DT138" i="2"/>
  <c r="DT18" i="2"/>
  <c r="DT196" i="2"/>
  <c r="DT179" i="2"/>
  <c r="DT77" i="2"/>
  <c r="DT63" i="2"/>
  <c r="DT36" i="2"/>
  <c r="DT127" i="2"/>
  <c r="DT11" i="2"/>
  <c r="DT146" i="2"/>
  <c r="DT202" i="2"/>
  <c r="DT72" i="2"/>
  <c r="DT78" i="2"/>
  <c r="DT178" i="2"/>
  <c r="DT168" i="2"/>
  <c r="DT3" i="2"/>
  <c r="C11" i="4" s="1"/>
  <c r="E11" i="4" s="1"/>
  <c r="F11" i="4" s="1"/>
  <c r="G11" i="4" s="1"/>
  <c r="L11" i="4" s="1"/>
  <c r="DT197" i="2"/>
  <c r="DT99" i="2"/>
  <c r="DT85" i="2"/>
  <c r="DT142" i="2"/>
  <c r="DT40" i="2"/>
  <c r="DT195" i="2"/>
  <c r="DT132" i="2"/>
  <c r="DT68" i="2"/>
  <c r="DT161" i="2"/>
  <c r="DT90" i="2"/>
  <c r="DT191" i="2"/>
  <c r="DT96" i="2"/>
  <c r="DT9" i="2"/>
  <c r="DT27" i="2"/>
  <c r="DT136" i="2"/>
  <c r="DT171" i="2"/>
  <c r="DT14" i="2"/>
  <c r="DT104" i="2"/>
  <c r="DT145" i="2"/>
  <c r="DT55" i="2"/>
  <c r="DT189" i="2"/>
  <c r="DT93" i="2"/>
  <c r="DT185" i="2"/>
  <c r="DT50" i="2"/>
  <c r="DT75" i="2"/>
  <c r="DT15" i="2"/>
  <c r="DT94" i="2"/>
  <c r="DT106" i="2"/>
  <c r="DT188" i="2"/>
  <c r="DT128" i="2"/>
  <c r="DT115" i="2"/>
  <c r="DT147" i="2"/>
  <c r="DT73" i="2"/>
  <c r="DT114" i="2"/>
  <c r="DT22" i="2"/>
  <c r="DT137" i="2"/>
  <c r="DT43" i="2"/>
  <c r="DT4" i="2"/>
  <c r="DT7" i="2"/>
  <c r="DT25" i="2"/>
  <c r="DT172" i="2"/>
  <c r="DT160" i="2"/>
  <c r="DT91" i="2"/>
  <c r="DT19" i="2"/>
  <c r="DT107" i="2"/>
  <c r="DT92" i="2"/>
  <c r="DT86" i="2"/>
  <c r="DT126" i="2"/>
  <c r="DT158" i="2"/>
  <c r="DT155" i="2"/>
  <c r="DT113" i="2"/>
  <c r="DT187" i="2"/>
  <c r="DT157" i="2"/>
  <c r="DT144" i="2"/>
  <c r="DT180" i="2"/>
  <c r="DT198" i="2"/>
  <c r="DT21" i="2"/>
  <c r="DT16" i="2"/>
  <c r="DT116" i="2"/>
  <c r="DT143" i="2"/>
  <c r="DT135" i="2"/>
  <c r="DT29" i="2"/>
  <c r="DT56" i="2"/>
  <c r="DT121" i="2"/>
  <c r="DT38" i="2"/>
  <c r="DT123" i="2"/>
  <c r="DT163" i="2"/>
  <c r="DT122" i="2"/>
  <c r="DT83" i="2"/>
  <c r="DT184" i="2"/>
  <c r="DT156" i="2"/>
  <c r="DT100" i="2"/>
  <c r="DT31" i="2"/>
  <c r="DT87" i="2"/>
  <c r="DT53" i="2"/>
  <c r="DT174" i="2"/>
  <c r="DT134" i="2"/>
  <c r="DT164" i="2"/>
  <c r="DT54" i="2"/>
  <c r="DT125" i="2"/>
  <c r="DT182" i="2"/>
  <c r="DT169" i="2"/>
  <c r="DT41" i="2"/>
  <c r="DT13" i="2"/>
  <c r="DT111" i="2"/>
  <c r="DT181" i="2"/>
  <c r="DT175" i="2"/>
  <c r="DT153" i="2"/>
  <c r="DT46" i="2"/>
  <c r="DT200" i="2"/>
  <c r="DT165" i="2"/>
  <c r="DT159" i="2"/>
  <c r="DT30" i="2"/>
  <c r="DT80" i="2"/>
  <c r="DT52" i="2"/>
  <c r="DT8" i="2"/>
  <c r="DT45" i="2"/>
  <c r="CY24" i="2"/>
  <c r="CY43" i="2"/>
  <c r="CY88" i="2"/>
  <c r="CY119" i="2"/>
  <c r="CY149" i="2"/>
  <c r="CY164" i="2"/>
  <c r="CY92" i="2"/>
  <c r="CY154" i="2"/>
  <c r="CY105" i="2"/>
  <c r="CY127" i="2"/>
  <c r="CY82" i="2"/>
  <c r="CY155" i="2"/>
  <c r="CY120" i="2"/>
  <c r="CY84" i="2"/>
  <c r="CY100" i="2"/>
  <c r="CY153" i="2"/>
  <c r="CY98" i="2"/>
  <c r="CY25" i="2"/>
  <c r="CY76" i="2"/>
  <c r="CY106" i="2"/>
  <c r="CY32" i="2"/>
  <c r="CY53" i="2"/>
  <c r="CY15" i="2"/>
  <c r="CY162" i="2"/>
  <c r="CY195" i="2"/>
  <c r="CY183" i="2"/>
  <c r="CY90" i="2"/>
  <c r="CY114" i="2"/>
  <c r="CY12" i="2"/>
  <c r="CY46" i="2"/>
  <c r="CY145" i="2"/>
  <c r="CY166" i="2"/>
  <c r="CY23" i="2"/>
  <c r="CY185" i="2"/>
  <c r="CY161" i="2"/>
  <c r="CY196" i="2"/>
  <c r="CY192" i="2"/>
  <c r="CY101" i="2"/>
  <c r="CY27" i="2"/>
  <c r="CY122" i="2"/>
  <c r="CY142" i="2"/>
  <c r="CY176" i="2"/>
  <c r="CY77" i="2"/>
  <c r="CY30" i="2"/>
  <c r="CY11" i="2"/>
  <c r="CY79" i="2"/>
  <c r="CY134" i="2"/>
  <c r="CY151" i="2"/>
  <c r="CY63" i="2"/>
  <c r="CY4" i="2"/>
  <c r="CY67" i="2"/>
  <c r="CY22" i="2"/>
  <c r="CY177" i="2"/>
  <c r="CY132" i="2"/>
  <c r="CY42" i="2"/>
  <c r="CY184" i="2"/>
  <c r="CY171" i="2"/>
  <c r="CY99" i="2"/>
  <c r="CY181" i="2"/>
  <c r="CY167" i="2"/>
  <c r="CY129" i="2"/>
  <c r="CY47" i="2"/>
  <c r="CY159" i="2"/>
  <c r="CY49" i="2"/>
  <c r="CY170" i="2"/>
  <c r="CY172" i="2"/>
  <c r="CY169" i="2"/>
  <c r="CY144" i="2"/>
  <c r="CY180" i="2"/>
  <c r="CY179" i="2"/>
  <c r="CY178" i="2"/>
  <c r="CY141" i="2"/>
  <c r="CY87" i="2"/>
  <c r="CY200" i="2"/>
  <c r="CY26" i="2"/>
  <c r="CY138" i="2"/>
  <c r="CY110" i="2"/>
  <c r="CY13" i="2"/>
  <c r="CY69" i="2"/>
  <c r="CY152" i="2"/>
  <c r="CY104" i="2"/>
  <c r="CY157" i="2"/>
  <c r="CY107" i="2"/>
  <c r="CY158" i="2"/>
  <c r="CY45" i="2"/>
  <c r="CY19" i="2"/>
  <c r="CY17" i="2"/>
  <c r="CY10" i="2"/>
  <c r="CY186" i="2"/>
  <c r="CY85" i="2"/>
  <c r="CY5" i="2"/>
  <c r="CY160" i="2"/>
  <c r="CY6" i="2"/>
  <c r="CY102" i="2"/>
  <c r="CY34" i="2"/>
  <c r="CY40" i="2"/>
  <c r="CY3" i="2"/>
  <c r="C10" i="4" s="1"/>
  <c r="E10" i="4" s="1"/>
  <c r="F10" i="4" s="1"/>
  <c r="G10" i="4" s="1"/>
  <c r="L10" i="4" s="1"/>
  <c r="CY66" i="2"/>
  <c r="CY73" i="2"/>
  <c r="CY21" i="2"/>
  <c r="CY65" i="2"/>
  <c r="CY41" i="2"/>
  <c r="CY197" i="2"/>
  <c r="CY80" i="2"/>
  <c r="CY86" i="2"/>
  <c r="CY128" i="2"/>
  <c r="CY78" i="2"/>
  <c r="CY96" i="2"/>
  <c r="CY202" i="2"/>
  <c r="CY182" i="2"/>
  <c r="CY59" i="2"/>
  <c r="CY137" i="2"/>
  <c r="CY143" i="2"/>
  <c r="CY35" i="2"/>
  <c r="CY173" i="2"/>
  <c r="CY113" i="2"/>
  <c r="CY190" i="2"/>
  <c r="CY37" i="2"/>
  <c r="CY36" i="2"/>
  <c r="CY198" i="2"/>
  <c r="CY51" i="2"/>
  <c r="CY64" i="2"/>
  <c r="CY54" i="2"/>
  <c r="CY163" i="2"/>
  <c r="CY57" i="2"/>
  <c r="CY199" i="2"/>
  <c r="CY44" i="2"/>
  <c r="CY168" i="2"/>
  <c r="CY29" i="2"/>
  <c r="CY91" i="2"/>
  <c r="CY174" i="2"/>
  <c r="CY131" i="2"/>
  <c r="CY28" i="2"/>
  <c r="CY52" i="2"/>
  <c r="CY83" i="2"/>
  <c r="CY72" i="2"/>
  <c r="CY115" i="2"/>
  <c r="CY193" i="2"/>
  <c r="CY58" i="2"/>
  <c r="CY14" i="2"/>
  <c r="CY165" i="2"/>
  <c r="CY93" i="2"/>
  <c r="CY94" i="2"/>
  <c r="CY123" i="2"/>
  <c r="CY194" i="2"/>
  <c r="CY55" i="2"/>
  <c r="CY156" i="2"/>
  <c r="CY111" i="2"/>
  <c r="CY74" i="2"/>
  <c r="CY48" i="2"/>
  <c r="CY109" i="2"/>
  <c r="CY71" i="2"/>
  <c r="CY38" i="2"/>
  <c r="CY121" i="2"/>
  <c r="CY136" i="2"/>
  <c r="CY70" i="2"/>
  <c r="CY68" i="2"/>
  <c r="CY18" i="2"/>
  <c r="CY146" i="2"/>
  <c r="CY56" i="2"/>
  <c r="CY139" i="2"/>
  <c r="CY133" i="2"/>
  <c r="CY189" i="2"/>
  <c r="CY20" i="2"/>
  <c r="CY33" i="2"/>
  <c r="CY140" i="2"/>
  <c r="CY39" i="2"/>
  <c r="CY187" i="2"/>
  <c r="CY61" i="2"/>
  <c r="CY135" i="2"/>
  <c r="CY117" i="2"/>
  <c r="CY150" i="2"/>
  <c r="CY147" i="2"/>
  <c r="CY126" i="2"/>
  <c r="CY201" i="2"/>
  <c r="CY116" i="2"/>
  <c r="CY81" i="2"/>
  <c r="CY62" i="2"/>
  <c r="CY95" i="2"/>
  <c r="CY89" i="2"/>
  <c r="CY175" i="2"/>
  <c r="CY103" i="2"/>
  <c r="CY125" i="2"/>
  <c r="CY130" i="2"/>
  <c r="CY50" i="2"/>
  <c r="CY16" i="2"/>
  <c r="CY124" i="2"/>
  <c r="CY9" i="2"/>
  <c r="CY188" i="2"/>
  <c r="CY97" i="2"/>
  <c r="CY112" i="2"/>
  <c r="CY108" i="2"/>
  <c r="CY191" i="2"/>
  <c r="CY60" i="2"/>
  <c r="CY31" i="2"/>
  <c r="CY148" i="2"/>
  <c r="CY203" i="2"/>
  <c r="CY118" i="2"/>
  <c r="CY8" i="2"/>
  <c r="CY75" i="2"/>
  <c r="CY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<sst xmlns="http://schemas.openxmlformats.org/spreadsheetml/2006/main" count="1177" uniqueCount="324">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</sst>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224.39984380548495</c:v>
                </c:pt>
                <c:pt idx="27">
                  <c:v>242.32965686946352</c:v>
                </c:pt>
                <c:pt idx="28">
                  <c:v>260.22929949690081</c:v>
                </c:pt>
                <c:pt idx="29">
                  <c:v>278.10113875777256</c:v>
                </c:pt>
                <c:pt idx="30">
                  <c:v>295.94721255485501</c:v>
                </c:pt>
                <c:pt idx="31">
                  <c:v>208.0004464477073</c:v>
                </c:pt>
                <c:pt idx="32">
                  <c:v>229.08024217931526</c:v>
                </c:pt>
                <c:pt idx="33">
                  <c:v>250.11566977871595</c:v>
                </c:pt>
                <c:pt idx="34">
                  <c:v>271.11098488765992</c:v>
                </c:pt>
                <c:pt idx="35">
                  <c:v>292.06972985560316</c:v>
                </c:pt>
                <c:pt idx="36">
                  <c:v>313.76929290842918</c:v>
                </c:pt>
                <c:pt idx="37">
                  <c:v>335.43558947776108</c:v>
                </c:pt>
                <c:pt idx="38">
                  <c:v>357.07106927741569</c:v>
                </c:pt>
                <c:pt idx="39">
                  <c:v>378.67786100909785</c:v>
                </c:pt>
                <c:pt idx="40">
                  <c:v>400.25783072357075</c:v>
                </c:pt>
                <c:pt idx="41">
                  <c:v>314.15647495690467</c:v>
                </c:pt>
                <c:pt idx="42">
                  <c:v>336.20880231759611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402.18336673633206</c:v>
                </c:pt>
                <c:pt idx="46">
                  <c:v>423.35133170920318</c:v>
                </c:pt>
                <c:pt idx="47">
                  <c:v>444.49652417922852</c:v>
                </c:pt>
                <c:pt idx="48">
                  <c:v>465.62017905920681</c:v>
                </c:pt>
                <c:pt idx="49">
                  <c:v>486.72341015001922</c:v>
                </c:pt>
                <c:pt idx="50">
                  <c:v>507.80722686130622</c:v>
                </c:pt>
                <c:pt idx="51">
                  <c:v>419.8890759024078</c:v>
                </c:pt>
                <c:pt idx="52">
                  <c:v>439.50055712660463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516.23552610410309</c:v>
                </c:pt>
                <c:pt idx="57">
                  <c:v>534.23177896582058</c:v>
                </c:pt>
                <c:pt idx="58">
                  <c:v>552.21528751868721</c:v>
                </c:pt>
                <c:pt idx="59">
                  <c:v>570.18652494495905</c:v>
                </c:pt>
                <c:pt idx="60">
                  <c:v>588.14593218796961</c:v>
                </c:pt>
                <c:pt idx="61">
                  <c:v>497.84269099902514</c:v>
                </c:pt>
                <c:pt idx="62">
                  <c:v>514.70332559574479</c:v>
                </c:pt>
                <c:pt idx="63">
                  <c:v>531.5523056174153</c:v>
                </c:pt>
                <c:pt idx="64">
                  <c:v>548.39005229891836</c:v>
                </c:pt>
                <c:pt idx="65">
                  <c:v>565.21695891368051</c:v>
                </c:pt>
                <c:pt idx="66">
                  <c:v>580.8871438306777</c:v>
                </c:pt>
                <c:pt idx="67">
                  <c:v>596.54851588925385</c:v>
                </c:pt>
                <c:pt idx="68">
                  <c:v>612.20133890996374</c:v>
                </c:pt>
                <c:pt idx="69">
                  <c:v>627.84586213083389</c:v>
                </c:pt>
                <c:pt idx="70">
                  <c:v>643.4823213641663</c:v>
                </c:pt>
                <c:pt idx="71">
                  <c:v>551.06777546888077</c:v>
                </c:pt>
                <c:pt idx="72">
                  <c:v>565.59926555628579</c:v>
                </c:pt>
                <c:pt idx="73">
                  <c:v>580.12295123245474</c:v>
                </c:pt>
                <c:pt idx="74">
                  <c:v>594.63905531968828</c:v>
                </c:pt>
                <c:pt idx="75">
                  <c:v>609.14778887966042</c:v>
                </c:pt>
                <c:pt idx="76">
                  <c:v>622.88628757946447</c:v>
                </c:pt>
                <c:pt idx="77">
                  <c:v>636.61851280143765</c:v>
                </c:pt>
                <c:pt idx="78">
                  <c:v>650.34461886630652</c:v>
                </c:pt>
                <c:pt idx="79">
                  <c:v>664.06475305298818</c:v>
                </c:pt>
                <c:pt idx="80">
                  <c:v>677.77905606178604</c:v>
                </c:pt>
                <c:pt idx="81">
                  <c:v>583.56165301259614</c:v>
                </c:pt>
                <c:pt idx="82">
                  <c:v>596.16663396016554</c:v>
                </c:pt>
                <c:pt idx="83">
                  <c:v>608.76607282046439</c:v>
                </c:pt>
                <c:pt idx="84">
                  <c:v>621.36010041874761</c:v>
                </c:pt>
                <c:pt idx="85">
                  <c:v>633.94884184664022</c:v>
                </c:pt>
                <c:pt idx="86">
                  <c:v>646.53241682467012</c:v>
                </c:pt>
                <c:pt idx="87">
                  <c:v>659.11094003512619</c:v>
                </c:pt>
                <c:pt idx="88">
                  <c:v>671.68452142819672</c:v>
                </c:pt>
                <c:pt idx="89">
                  <c:v>684.25326650400723</c:v>
                </c:pt>
                <c:pt idx="90">
                  <c:v>696.81727657286899</c:v>
                </c:pt>
                <c:pt idx="91">
                  <c:v>601.32161215624581</c:v>
                </c:pt>
                <c:pt idx="92">
                  <c:v>612.58301041135371</c:v>
                </c:pt>
                <c:pt idx="93">
                  <c:v>623.84011521480932</c:v>
                </c:pt>
                <c:pt idx="94">
                  <c:v>635.09301493951591</c:v>
                </c:pt>
                <c:pt idx="95">
                  <c:v>646.34179457229243</c:v>
                </c:pt>
                <c:pt idx="96">
                  <c:v>657.5865359015296</c:v>
                </c:pt>
                <c:pt idx="97">
                  <c:v>668.82731769134716</c:v>
                </c:pt>
                <c:pt idx="98">
                  <c:v>680.06421584344059</c:v>
                </c:pt>
                <c:pt idx="99">
                  <c:v>691.29730354767992</c:v>
                </c:pt>
                <c:pt idx="100">
                  <c:v>702.52665142241437</c:v>
                </c:pt>
                <c:pt idx="101">
                  <c:v>607.62089481714156</c:v>
                </c:pt>
                <c:pt idx="102">
                  <c:v>617.5442922766041</c:v>
                </c:pt>
                <c:pt idx="103">
                  <c:v>627.46438526884378</c:v>
                </c:pt>
                <c:pt idx="104">
                  <c:v>637.38123339273818</c:v>
                </c:pt>
                <c:pt idx="105">
                  <c:v>647.29489424172436</c:v>
                </c:pt>
                <c:pt idx="106">
                  <c:v>657.20542350161361</c:v>
                </c:pt>
                <c:pt idx="107">
                  <c:v>667.11287504220047</c:v>
                </c:pt>
                <c:pt idx="108">
                  <c:v>677.01730100315001</c:v>
                </c:pt>
                <c:pt idx="109">
                  <c:v>686.91875187459846</c:v>
                </c:pt>
                <c:pt idx="110">
                  <c:v>696.81727657286831</c:v>
                </c:pt>
                <c:pt idx="111">
                  <c:v>608.19348941446731</c:v>
                </c:pt>
                <c:pt idx="112">
                  <c:v>616.78107210210862</c:v>
                </c:pt>
                <c:pt idx="113">
                  <c:v>625.36617664098833</c:v>
                </c:pt>
                <c:pt idx="114">
                  <c:v>633.94884184663977</c:v>
                </c:pt>
                <c:pt idx="115">
                  <c:v>642.52910539795437</c:v>
                </c:pt>
                <c:pt idx="116">
                  <c:v>651.10700388552482</c:v>
                </c:pt>
                <c:pt idx="117">
                  <c:v>659.68257285730908</c:v>
                </c:pt>
                <c:pt idx="118">
                  <c:v>668.25584686179945</c:v>
                </c:pt>
                <c:pt idx="119">
                  <c:v>676.82685948885739</c:v>
                </c:pt>
                <c:pt idx="120">
                  <c:v>685.39564340837785</c:v>
                </c:pt>
                <c:pt idx="121">
                  <c:v>603.54878720323211</c:v>
                </c:pt>
                <c:pt idx="122">
                  <c:v>611.31075286882106</c:v>
                </c:pt>
                <c:pt idx="123">
                  <c:v>619.07067399707273</c:v>
                </c:pt>
                <c:pt idx="124">
                  <c:v>626.82857983087058</c:v>
                </c:pt>
                <c:pt idx="125">
                  <c:v>634.58449883019921</c:v>
                </c:pt>
                <c:pt idx="126">
                  <c:v>642.33845870262405</c:v>
                </c:pt>
                <c:pt idx="127">
                  <c:v>650.09048643222127</c:v>
                </c:pt>
                <c:pt idx="128">
                  <c:v>657.84060830705721</c:v>
                </c:pt>
                <c:pt idx="129">
                  <c:v>665.58884994530615</c:v>
                </c:pt>
                <c:pt idx="130">
                  <c:v>673.33523632008735</c:v>
                </c:pt>
                <c:pt idx="131">
                  <c:v>681.07979178310245</c:v>
                </c:pt>
                <c:pt idx="132">
                  <c:v>688.8225400871396</c:v>
                </c:pt>
                <c:pt idx="133">
                  <c:v>696.5635044075143</c:v>
                </c:pt>
                <c:pt idx="134">
                  <c:v>704.30270736250952</c:v>
                </c:pt>
                <c:pt idx="135">
                  <c:v>712.04017103286799</c:v>
                </c:pt>
                <c:pt idx="136">
                  <c:v>595.02095762588726</c:v>
                </c:pt>
                <c:pt idx="137">
                  <c:v>601.89433065861647</c:v>
                </c:pt>
                <c:pt idx="138">
                  <c:v>608.76607282046393</c:v>
                </c:pt>
                <c:pt idx="139">
                  <c:v>615.63620511984993</c:v>
                </c:pt>
                <c:pt idx="140">
                  <c:v>622.50474805800343</c:v>
                </c:pt>
                <c:pt idx="141">
                  <c:v>629.37172164679021</c:v>
                </c:pt>
                <c:pt idx="142">
                  <c:v>636.237145425721</c:v>
                </c:pt>
                <c:pt idx="143">
                  <c:v>643.1010384781888</c:v>
                </c:pt>
                <c:pt idx="144">
                  <c:v>649.96341944697565</c:v>
                </c:pt>
                <c:pt idx="145">
                  <c:v>656.82430654907159</c:v>
                </c:pt>
                <c:pt idx="146">
                  <c:v>663.68371758984233</c:v>
                </c:pt>
                <c:pt idx="147">
                  <c:v>670.54166997657933</c:v>
                </c:pt>
                <c:pt idx="148">
                  <c:v>677.39818073146876</c:v>
                </c:pt>
                <c:pt idx="149">
                  <c:v>684.25326650400712</c:v>
                </c:pt>
                <c:pt idx="150">
                  <c:v>691.10694358289345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696304"/>
        <c:axId val="369696848"/>
      </c:scatterChart>
      <c:valAx>
        <c:axId val="36969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9696848"/>
        <c:crosses val="autoZero"/>
        <c:crossBetween val="midCat"/>
      </c:valAx>
      <c:valAx>
        <c:axId val="36969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969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260944"/>
        <c:axId val="373263664"/>
      </c:scatterChart>
      <c:valAx>
        <c:axId val="37326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3263664"/>
        <c:crosses val="autoZero"/>
        <c:crossBetween val="midCat"/>
      </c:valAx>
      <c:valAx>
        <c:axId val="37326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326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9697392"/>
        <c:axId val="369694672"/>
      </c:scatterChart>
      <c:valAx>
        <c:axId val="36969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9694672"/>
        <c:crosses val="autoZero"/>
        <c:crossBetween val="midCat"/>
      </c:valAx>
      <c:valAx>
        <c:axId val="36969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6969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7488"/>
        <c:axId val="240761504"/>
      </c:scatterChart>
      <c:valAx>
        <c:axId val="240767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1504"/>
        <c:crosses val="autoZero"/>
        <c:crossBetween val="midCat"/>
      </c:valAx>
      <c:valAx>
        <c:axId val="24076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7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80.165002252238452</c:v>
                </c:pt>
                <c:pt idx="7">
                  <c:v>102.09197798314808</c:v>
                </c:pt>
                <c:pt idx="8">
                  <c:v>123.90184283210725</c:v>
                </c:pt>
                <c:pt idx="9">
                  <c:v>145.61821239345747</c:v>
                </c:pt>
                <c:pt idx="10">
                  <c:v>167.25702755094335</c:v>
                </c:pt>
                <c:pt idx="11">
                  <c:v>188.43805162103794</c:v>
                </c:pt>
                <c:pt idx="12">
                  <c:v>209.5635422593634</c:v>
                </c:pt>
                <c:pt idx="13">
                  <c:v>230.63988637237389</c:v>
                </c:pt>
                <c:pt idx="14">
                  <c:v>251.67220666437959</c:v>
                </c:pt>
                <c:pt idx="15">
                  <c:v>272.6646989766358</c:v>
                </c:pt>
                <c:pt idx="16">
                  <c:v>292.06972985560304</c:v>
                </c:pt>
                <c:pt idx="17">
                  <c:v>311.445977545365</c:v>
                </c:pt>
                <c:pt idx="18">
                  <c:v>330.79548404889391</c:v>
                </c:pt>
                <c:pt idx="19">
                  <c:v>350.1200330013915</c:v>
                </c:pt>
                <c:pt idx="20">
                  <c:v>369.42119511414558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355.91277070439509</c:v>
                </c:pt>
                <c:pt idx="27">
                  <c:v>369.42119511414558</c:v>
                </c:pt>
                <c:pt idx="28">
                  <c:v>382.9188457551441</c:v>
                </c:pt>
                <c:pt idx="29">
                  <c:v>396.40615590256044</c:v>
                </c:pt>
                <c:pt idx="30">
                  <c:v>409.88352694182049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434.88781420496633</c:v>
                </c:pt>
                <c:pt idx="37">
                  <c:v>444.49652417922852</c:v>
                </c:pt>
                <c:pt idx="38">
                  <c:v>454.10078588624373</c:v>
                </c:pt>
                <c:pt idx="39">
                  <c:v>463.70070669781398</c:v>
                </c:pt>
                <c:pt idx="40">
                  <c:v>473.29638917614938</c:v>
                </c:pt>
                <c:pt idx="41">
                  <c:v>482.88793138455003</c:v>
                </c:pt>
                <c:pt idx="42">
                  <c:v>492.47542717211553</c:v>
                </c:pt>
                <c:pt idx="43">
                  <c:v>502.05896643512551</c:v>
                </c:pt>
                <c:pt idx="44">
                  <c:v>511.63863535742729</c:v>
                </c:pt>
                <c:pt idx="45">
                  <c:v>521.21451663187679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2592"/>
        <c:axId val="240766944"/>
      </c:scatterChart>
      <c:valAx>
        <c:axId val="240762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6944"/>
        <c:crosses val="autoZero"/>
        <c:crossBetween val="midCat"/>
      </c:valAx>
      <c:valAx>
        <c:axId val="24076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2048"/>
        <c:axId val="240763680"/>
      </c:scatterChart>
      <c:valAx>
        <c:axId val="2407620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3680"/>
        <c:crosses val="autoZero"/>
        <c:crossBetween val="midCat"/>
      </c:valAx>
      <c:valAx>
        <c:axId val="24076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8032"/>
        <c:axId val="240760960"/>
      </c:scatterChart>
      <c:valAx>
        <c:axId val="240768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0960"/>
        <c:crosses val="autoZero"/>
        <c:crossBetween val="midCat"/>
      </c:valAx>
      <c:valAx>
        <c:axId val="24076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8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299.0216509304434</c:v>
                </c:pt>
                <c:pt idx="32">
                  <c:v>322.52505476163668</c:v>
                </c:pt>
                <c:pt idx="33">
                  <c:v>345.99059370648024</c:v>
                </c:pt>
                <c:pt idx="34">
                  <c:v>369.42119511414563</c:v>
                </c:pt>
                <c:pt idx="35">
                  <c:v>392.81938482304872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412.53802704609888</c:v>
                </c:pt>
                <c:pt idx="42">
                  <c:v>437.70462758915545</c:v>
                </c:pt>
                <c:pt idx="43">
                  <c:v>462.84019859006793</c:v>
                </c:pt>
                <c:pt idx="44">
                  <c:v>487.94666038986742</c:v>
                </c:pt>
                <c:pt idx="45">
                  <c:v>513.02571977154469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533.72362475342334</c:v>
                </c:pt>
                <c:pt idx="52">
                  <c:v>558.03122014259679</c:v>
                </c:pt>
                <c:pt idx="53">
                  <c:v>582.31665474406691</c:v>
                </c:pt>
                <c:pt idx="54">
                  <c:v>606.58098171901804</c:v>
                </c:pt>
                <c:pt idx="55">
                  <c:v>630.82516319719264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644.20543127173016</c:v>
                </c:pt>
                <c:pt idx="62">
                  <c:v>666.61363333729264</c:v>
                </c:pt>
                <c:pt idx="63">
                  <c:v>689.006348405685</c:v>
                </c:pt>
                <c:pt idx="64">
                  <c:v>711.38415005145782</c:v>
                </c:pt>
                <c:pt idx="65">
                  <c:v>733.74757286509896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733.74757286509896</c:v>
                </c:pt>
                <c:pt idx="72">
                  <c:v>753.57446075706082</c:v>
                </c:pt>
                <c:pt idx="73">
                  <c:v>773.39075429462207</c:v>
                </c:pt>
                <c:pt idx="74">
                  <c:v>793.19676284650984</c:v>
                </c:pt>
                <c:pt idx="75">
                  <c:v>812.99277909027751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797.87671246011939</c:v>
                </c:pt>
                <c:pt idx="82">
                  <c:v>815.15175193693824</c:v>
                </c:pt>
                <c:pt idx="83">
                  <c:v>832.41941451556761</c:v>
                </c:pt>
                <c:pt idx="84">
                  <c:v>849.67987461282746</c:v>
                </c:pt>
                <c:pt idx="85">
                  <c:v>866.93329898942159</c:v>
                </c:pt>
                <c:pt idx="86">
                  <c:v>762.40300850854248</c:v>
                </c:pt>
                <c:pt idx="87">
                  <c:v>778.43324765234229</c:v>
                </c:pt>
                <c:pt idx="88">
                  <c:v>794.45680403437666</c:v>
                </c:pt>
                <c:pt idx="89">
                  <c:v>810.47383130192986</c:v>
                </c:pt>
                <c:pt idx="90">
                  <c:v>826.48447654013432</c:v>
                </c:pt>
                <c:pt idx="91">
                  <c:v>842.48888067652013</c:v>
                </c:pt>
                <c:pt idx="92">
                  <c:v>858.48717885326153</c:v>
                </c:pt>
                <c:pt idx="93">
                  <c:v>874.47950077026019</c:v>
                </c:pt>
                <c:pt idx="94">
                  <c:v>890.46597100185636</c:v>
                </c:pt>
                <c:pt idx="95">
                  <c:v>906.44670928963933</c:v>
                </c:pt>
                <c:pt idx="96">
                  <c:v>811.19354675848274</c:v>
                </c:pt>
                <c:pt idx="97">
                  <c:v>825.58516883989205</c:v>
                </c:pt>
                <c:pt idx="98">
                  <c:v>839.97174204805378</c:v>
                </c:pt>
                <c:pt idx="99">
                  <c:v>854.35336496332911</c:v>
                </c:pt>
                <c:pt idx="100">
                  <c:v>868.73013257971525</c:v>
                </c:pt>
                <c:pt idx="101">
                  <c:v>883.10213649372565</c:v>
                </c:pt>
                <c:pt idx="102">
                  <c:v>897.46946508035262</c:v>
                </c:pt>
                <c:pt idx="103">
                  <c:v>911.83220365718444</c:v>
                </c:pt>
                <c:pt idx="104">
                  <c:v>926.1904346376582</c:v>
                </c:pt>
                <c:pt idx="105">
                  <c:v>940.54423767432684</c:v>
                </c:pt>
                <c:pt idx="106">
                  <c:v>851.11792645574042</c:v>
                </c:pt>
                <c:pt idx="107">
                  <c:v>864.0582099934544</c:v>
                </c:pt>
                <c:pt idx="108">
                  <c:v>876.99461115440192</c:v>
                </c:pt>
                <c:pt idx="109">
                  <c:v>889.92719522725372</c:v>
                </c:pt>
                <c:pt idx="110">
                  <c:v>902.85602545009397</c:v>
                </c:pt>
                <c:pt idx="111">
                  <c:v>915.78116310387611</c:v>
                </c:pt>
                <c:pt idx="112">
                  <c:v>928.70266760032712</c:v>
                </c:pt>
                <c:pt idx="113">
                  <c:v>941.62059656471547</c:v>
                </c:pt>
                <c:pt idx="114">
                  <c:v>954.5350059138442</c:v>
                </c:pt>
                <c:pt idx="115">
                  <c:v>967.44594992960674</c:v>
                </c:pt>
                <c:pt idx="116">
                  <c:v>883.82061324075357</c:v>
                </c:pt>
                <c:pt idx="117">
                  <c:v>895.31466045688728</c:v>
                </c:pt>
                <c:pt idx="118">
                  <c:v>906.80576205324132</c:v>
                </c:pt>
                <c:pt idx="119">
                  <c:v>918.29396058680368</c:v>
                </c:pt>
                <c:pt idx="120">
                  <c:v>929.77929746384177</c:v>
                </c:pt>
                <c:pt idx="121">
                  <c:v>941.26181298514211</c:v>
                </c:pt>
                <c:pt idx="122">
                  <c:v>952.74154638892969</c:v>
                </c:pt>
                <c:pt idx="123">
                  <c:v>964.21853589161526</c:v>
                </c:pt>
                <c:pt idx="124">
                  <c:v>975.69281872650174</c:v>
                </c:pt>
                <c:pt idx="125">
                  <c:v>987.16443118057657</c:v>
                </c:pt>
                <c:pt idx="126">
                  <c:v>906.08765368982722</c:v>
                </c:pt>
                <c:pt idx="127">
                  <c:v>916.49911923931393</c:v>
                </c:pt>
                <c:pt idx="128">
                  <c:v>926.90822930245065</c:v>
                </c:pt>
                <c:pt idx="129">
                  <c:v>937.31501403861023</c:v>
                </c:pt>
                <c:pt idx="130">
                  <c:v>947.71950288339883</c:v>
                </c:pt>
                <c:pt idx="131">
                  <c:v>958.12172457394684</c:v>
                </c:pt>
                <c:pt idx="132">
                  <c:v>968.52170717304398</c:v>
                </c:pt>
                <c:pt idx="133">
                  <c:v>978.91947809218345</c:v>
                </c:pt>
                <c:pt idx="134">
                  <c:v>989.31506411358021</c:v>
                </c:pt>
                <c:pt idx="135">
                  <c:v>999.7084914112146</c:v>
                </c:pt>
                <c:pt idx="136">
                  <c:v>920.6869737353968</c:v>
                </c:pt>
                <c:pt idx="137">
                  <c:v>929.54004852710386</c:v>
                </c:pt>
                <c:pt idx="138">
                  <c:v>938.39144644330747</c:v>
                </c:pt>
                <c:pt idx="139">
                  <c:v>947.24118551961294</c:v>
                </c:pt>
                <c:pt idx="140">
                  <c:v>956.08928342739136</c:v>
                </c:pt>
                <c:pt idx="141">
                  <c:v>964.93575748450849</c:v>
                </c:pt>
                <c:pt idx="142">
                  <c:v>973.78062466564097</c:v>
                </c:pt>
                <c:pt idx="143">
                  <c:v>982.62390161219776</c:v>
                </c:pt>
                <c:pt idx="144">
                  <c:v>991.46560464186643</c:v>
                </c:pt>
                <c:pt idx="145">
                  <c:v>1000.3057497578019</c:v>
                </c:pt>
                <c:pt idx="146">
                  <c:v>1009.1443526574726</c:v>
                </c:pt>
                <c:pt idx="147">
                  <c:v>1017.9814287411829</c:v>
                </c:pt>
                <c:pt idx="148">
                  <c:v>1026.8169931202824</c:v>
                </c:pt>
                <c:pt idx="149">
                  <c:v>1035.6510606250799</c:v>
                </c:pt>
                <c:pt idx="150">
                  <c:v>1044.483645812473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3136"/>
        <c:axId val="240764224"/>
      </c:scatterChart>
      <c:valAx>
        <c:axId val="240763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4224"/>
        <c:crosses val="autoZero"/>
        <c:crossBetween val="midCat"/>
      </c:valAx>
      <c:valAx>
        <c:axId val="24076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3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261.23480530332813</c:v>
                </c:pt>
                <c:pt idx="27">
                  <c:v>279.6138100199654</c:v>
                </c:pt>
                <c:pt idx="28">
                  <c:v>297.96572801830717</c:v>
                </c:pt>
                <c:pt idx="29">
                  <c:v>316.2924619195548</c:v>
                </c:pt>
                <c:pt idx="30">
                  <c:v>334.59567585759896</c:v>
                </c:pt>
                <c:pt idx="31">
                  <c:v>252.5979741368192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321.52428406625791</c:v>
                </c:pt>
                <c:pt idx="36">
                  <c:v>337.95505284834667</c:v>
                </c:pt>
                <c:pt idx="37">
                  <c:v>354.36824410252297</c:v>
                </c:pt>
                <c:pt idx="38">
                  <c:v>370.76478640470532</c:v>
                </c:pt>
                <c:pt idx="39">
                  <c:v>387.145519509954</c:v>
                </c:pt>
                <c:pt idx="40">
                  <c:v>403.5112063253232</c:v>
                </c:pt>
                <c:pt idx="41">
                  <c:v>317.78746245668049</c:v>
                </c:pt>
                <c:pt idx="42">
                  <c:v>332.72903457884468</c:v>
                </c:pt>
                <c:pt idx="43">
                  <c:v>347.65581965898082</c:v>
                </c:pt>
                <c:pt idx="44">
                  <c:v>362.56854195764816</c:v>
                </c:pt>
                <c:pt idx="45">
                  <c:v>377.46786129486037</c:v>
                </c:pt>
                <c:pt idx="46">
                  <c:v>391.23832354179859</c:v>
                </c:pt>
                <c:pt idx="47">
                  <c:v>404.99827447558869</c:v>
                </c:pt>
                <c:pt idx="48">
                  <c:v>418.74812151045376</c:v>
                </c:pt>
                <c:pt idx="49">
                  <c:v>432.48824312398892</c:v>
                </c:pt>
                <c:pt idx="50">
                  <c:v>446.21899178570385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390.122196844087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425.8050516370493</c:v>
                </c:pt>
                <c:pt idx="57">
                  <c:v>436.94246952460441</c:v>
                </c:pt>
                <c:pt idx="58">
                  <c:v>448.07379769140465</c:v>
                </c:pt>
                <c:pt idx="59">
                  <c:v>459.19920876443285</c:v>
                </c:pt>
                <c:pt idx="60">
                  <c:v>470.31886632272835</c:v>
                </c:pt>
                <c:pt idx="61">
                  <c:v>399.04928851891128</c:v>
                </c:pt>
                <c:pt idx="62">
                  <c:v>409.45877253580034</c:v>
                </c:pt>
                <c:pt idx="63">
                  <c:v>419.86254283875809</c:v>
                </c:pt>
                <c:pt idx="64">
                  <c:v>430.26076100517821</c:v>
                </c:pt>
                <c:pt idx="65">
                  <c:v>440.653580163588</c:v>
                </c:pt>
                <c:pt idx="66">
                  <c:v>449.92843925372944</c:v>
                </c:pt>
                <c:pt idx="67">
                  <c:v>459.19920876443285</c:v>
                </c:pt>
                <c:pt idx="68">
                  <c:v>468.46598292660593</c:v>
                </c:pt>
                <c:pt idx="69">
                  <c:v>477.72885193803222</c:v>
                </c:pt>
                <c:pt idx="70">
                  <c:v>486.98790221252949</c:v>
                </c:pt>
                <c:pt idx="71">
                  <c:v>424.69096797933253</c:v>
                </c:pt>
                <c:pt idx="72">
                  <c:v>432.85946614650533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464.75974684356009</c:v>
                </c:pt>
                <c:pt idx="77">
                  <c:v>472.17159422788433</c:v>
                </c:pt>
                <c:pt idx="78">
                  <c:v>479.58096479059623</c:v>
                </c:pt>
                <c:pt idx="79">
                  <c:v>486.98790221252949</c:v>
                </c:pt>
                <c:pt idx="80">
                  <c:v>494.39244873679627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475.8765863473584</c:v>
                </c:pt>
                <c:pt idx="87">
                  <c:v>481.43292557887906</c:v>
                </c:pt>
                <c:pt idx="88">
                  <c:v>486.98790221252949</c:v>
                </c:pt>
                <c:pt idx="89">
                  <c:v>492.54153399430999</c:v>
                </c:pt>
                <c:pt idx="90">
                  <c:v>498.09383823712534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483.28473497109491</c:v>
                </c:pt>
                <c:pt idx="97">
                  <c:v>488.83926137072314</c:v>
                </c:pt>
                <c:pt idx="98">
                  <c:v>494.39244873679627</c:v>
                </c:pt>
                <c:pt idx="99">
                  <c:v>499.94431424130977</c:v>
                </c:pt>
                <c:pt idx="100">
                  <c:v>505.49487464351938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5856"/>
        <c:axId val="240764768"/>
      </c:scatterChart>
      <c:valAx>
        <c:axId val="2407658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4768"/>
        <c:crosses val="autoZero"/>
        <c:crossBetween val="midCat"/>
      </c:valAx>
      <c:valAx>
        <c:axId val="240764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765312"/>
        <c:axId val="240766400"/>
      </c:scatterChart>
      <c:valAx>
        <c:axId val="240765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6400"/>
        <c:crosses val="autoZero"/>
        <c:crossBetween val="midCat"/>
      </c:valAx>
      <c:valAx>
        <c:axId val="24076640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0765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I5" sqref="I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1.3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0.32700000000000001</v>
      </c>
      <c r="D9" s="36">
        <f t="shared" ref="D9:D18" si="0">C9*$C$5</f>
        <v>0.42510000000000003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0.20799999999999999</v>
      </c>
      <c r="D10" s="36">
        <f t="shared" si="0"/>
        <v>0.27039999999999997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8</v>
      </c>
      <c r="C11" s="35">
        <v>0.13100000000000001</v>
      </c>
      <c r="D11" s="36">
        <f t="shared" si="0"/>
        <v>0.17030000000000001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44</v>
      </c>
      <c r="C12" s="35">
        <v>6.9000000000000006E-2</v>
      </c>
      <c r="D12" s="36">
        <f t="shared" si="0"/>
        <v>8.9700000000000016E-2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52</v>
      </c>
      <c r="C13" s="35">
        <v>6.7000000000000004E-2</v>
      </c>
      <c r="D13" s="36">
        <f t="shared" si="0"/>
        <v>8.7100000000000011E-2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6.7000000000000004E-2</v>
      </c>
      <c r="D14" s="36">
        <f t="shared" si="0"/>
        <v>8.7100000000000011E-2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25</v>
      </c>
      <c r="C15" s="35">
        <v>6.5000000000000002E-2</v>
      </c>
      <c r="D15" s="36">
        <f t="shared" si="0"/>
        <v>8.4500000000000006E-2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13</v>
      </c>
      <c r="C16" s="35">
        <v>6.5000000000000002E-2</v>
      </c>
      <c r="D16" s="36">
        <f t="shared" si="0"/>
        <v>8.4500000000000006E-2</v>
      </c>
      <c r="E16" s="37">
        <v>100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0.99899999999999989</v>
      </c>
      <c r="D19" s="41">
        <f>SUM(D9:D18)</f>
        <v>1.2987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f>67+6</f>
        <v>73</v>
      </c>
      <c r="C36" s="61">
        <v>1</v>
      </c>
      <c r="D36" s="61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75+28</f>
        <v>103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93+28+28</f>
        <v>149</v>
      </c>
      <c r="C38" s="61">
        <v>2</v>
      </c>
      <c r="D38" s="61">
        <f>28+28</f>
        <v>56</v>
      </c>
      <c r="E38" s="54"/>
      <c r="F38" s="54"/>
      <c r="G38" s="54"/>
      <c r="H38" s="54">
        <v>1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119+28</f>
        <v>147</v>
      </c>
      <c r="C39" s="61"/>
      <c r="D39" s="61"/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147+28+28</f>
        <v>203</v>
      </c>
      <c r="C40" s="61">
        <v>3</v>
      </c>
      <c r="D40" s="61">
        <f>28+28</f>
        <v>56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176+28</f>
        <v>204</v>
      </c>
      <c r="C41" s="61"/>
      <c r="D41" s="61"/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203+28+28</f>
        <v>259</v>
      </c>
      <c r="C42" s="61">
        <v>4</v>
      </c>
      <c r="D42" s="61">
        <f>28+28</f>
        <v>56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1">
        <v>55</v>
      </c>
      <c r="B43" s="61">
        <f>226+28</f>
        <v>254</v>
      </c>
      <c r="C43" s="61"/>
      <c r="D43" s="61"/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1">
        <v>60</v>
      </c>
      <c r="B44" s="61">
        <f>245+28+28</f>
        <v>301</v>
      </c>
      <c r="C44" s="61">
        <v>5</v>
      </c>
      <c r="D44" s="61">
        <f>28+28</f>
        <v>56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1">
        <v>65</v>
      </c>
      <c r="B45" s="61">
        <f>261+28</f>
        <v>289</v>
      </c>
      <c r="C45" s="61"/>
      <c r="D45" s="61"/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1">
        <v>70</v>
      </c>
      <c r="B46" s="61">
        <f>274+28+28</f>
        <v>330</v>
      </c>
      <c r="C46" s="61">
        <v>6</v>
      </c>
      <c r="D46" s="61">
        <f>28+28</f>
        <v>56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1">
        <v>75</v>
      </c>
      <c r="B47" s="61">
        <f>284+28</f>
        <v>312</v>
      </c>
      <c r="C47" s="61"/>
      <c r="D47" s="61"/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1">
        <v>80</v>
      </c>
      <c r="B48" s="61">
        <f>292+28+28</f>
        <v>348</v>
      </c>
      <c r="C48" s="61">
        <v>7</v>
      </c>
      <c r="D48" s="61">
        <f>28+28</f>
        <v>56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1">
        <v>90</v>
      </c>
      <c r="B49" s="61">
        <f>302+28+28</f>
        <v>358</v>
      </c>
      <c r="C49" s="61">
        <v>8</v>
      </c>
      <c r="D49" s="61">
        <f>28+28</f>
        <v>56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1">
        <v>100</v>
      </c>
      <c r="B50" s="53">
        <v>361</v>
      </c>
      <c r="C50" s="53">
        <v>9</v>
      </c>
      <c r="D50" s="53">
        <v>55</v>
      </c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1">
        <v>110</v>
      </c>
      <c r="B51" s="53">
        <v>358</v>
      </c>
      <c r="C51" s="53">
        <v>10</v>
      </c>
      <c r="D51" s="53">
        <v>51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1">
        <v>120</v>
      </c>
      <c r="B52" s="53">
        <v>352</v>
      </c>
      <c r="C52" s="53">
        <v>11</v>
      </c>
      <c r="D52" s="53">
        <v>47</v>
      </c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1">
        <v>135</v>
      </c>
      <c r="B53" s="53">
        <v>366</v>
      </c>
      <c r="C53" s="53">
        <v>12</v>
      </c>
      <c r="D53" s="53">
        <v>65</v>
      </c>
      <c r="E53" s="54"/>
      <c r="F53" s="54"/>
      <c r="G53" s="54"/>
      <c r="H53" s="54"/>
      <c r="I53" s="52">
        <f t="shared" si="1"/>
        <v>4.0666666666666664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1">
        <v>150</v>
      </c>
      <c r="B54" s="53">
        <v>355</v>
      </c>
      <c r="C54" s="53">
        <v>13</v>
      </c>
      <c r="D54" s="53">
        <v>355</v>
      </c>
      <c r="E54" s="54"/>
      <c r="F54" s="54"/>
      <c r="G54" s="54"/>
      <c r="H54" s="54"/>
      <c r="I54" s="52">
        <f t="shared" si="1"/>
        <v>3.6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Châtaignier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10</v>
      </c>
      <c r="B88" s="61">
        <v>11.1</v>
      </c>
      <c r="C88" s="61"/>
      <c r="D88" s="61"/>
      <c r="E88" s="54"/>
      <c r="F88" s="54"/>
      <c r="G88" s="54"/>
      <c r="H88" s="91"/>
      <c r="I88" s="56">
        <f>IFERROR(B88/A88,"")</f>
        <v>1.1099999999999999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15</v>
      </c>
      <c r="B89" s="61">
        <f>33+31.5</f>
        <v>64.5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10.68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20</v>
      </c>
      <c r="B90" s="61">
        <f>66.8+31.5+35</f>
        <v>133.30000000000001</v>
      </c>
      <c r="C90" s="61">
        <v>1</v>
      </c>
      <c r="D90" s="61">
        <f>31.5+35</f>
        <v>66.5</v>
      </c>
      <c r="E90" s="91"/>
      <c r="F90" s="91"/>
      <c r="G90" s="91"/>
      <c r="H90" s="91">
        <v>1</v>
      </c>
      <c r="I90" s="56">
        <f t="shared" si="3"/>
        <v>13.760000000000002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25</v>
      </c>
      <c r="B91" s="61">
        <f>105.5+35</f>
        <v>140.5</v>
      </c>
      <c r="C91" s="61"/>
      <c r="D91" s="61"/>
      <c r="E91" s="91"/>
      <c r="F91" s="91"/>
      <c r="G91" s="91"/>
      <c r="H91" s="91"/>
      <c r="I91" s="56">
        <f t="shared" si="3"/>
        <v>14.739999999999998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30</v>
      </c>
      <c r="B92" s="61">
        <f>141.8+35+35</f>
        <v>211.8</v>
      </c>
      <c r="C92" s="61">
        <v>2</v>
      </c>
      <c r="D92" s="61">
        <f>35+35</f>
        <v>70</v>
      </c>
      <c r="E92" s="91"/>
      <c r="F92" s="91"/>
      <c r="G92" s="91"/>
      <c r="H92" s="91">
        <v>1</v>
      </c>
      <c r="I92" s="56">
        <f t="shared" si="3"/>
        <v>14.260000000000002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35</v>
      </c>
      <c r="B93" s="61">
        <f>171.4+35</f>
        <v>206.4</v>
      </c>
      <c r="C93" s="61"/>
      <c r="D93" s="61"/>
      <c r="E93" s="91"/>
      <c r="F93" s="91"/>
      <c r="G93" s="91"/>
      <c r="H93" s="91"/>
      <c r="I93" s="56">
        <f t="shared" si="3"/>
        <v>12.919999999999998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40</v>
      </c>
      <c r="B94" s="61">
        <f>193.1+35+35</f>
        <v>263.10000000000002</v>
      </c>
      <c r="C94" s="61">
        <v>3</v>
      </c>
      <c r="D94" s="61">
        <f>35+35</f>
        <v>70</v>
      </c>
      <c r="E94" s="91"/>
      <c r="F94" s="91"/>
      <c r="G94" s="91"/>
      <c r="H94" s="91"/>
      <c r="I94" s="56">
        <f t="shared" si="3"/>
        <v>11.340000000000003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45</v>
      </c>
      <c r="B95" s="61">
        <f>218+24.2</f>
        <v>242.2</v>
      </c>
      <c r="C95" s="61"/>
      <c r="D95" s="61"/>
      <c r="E95" s="91"/>
      <c r="F95" s="91"/>
      <c r="G95" s="91"/>
      <c r="H95" s="91"/>
      <c r="I95" s="56">
        <f t="shared" si="3"/>
        <v>9.8199999999999932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50</v>
      </c>
      <c r="B96" s="61">
        <f>241.8+24.2+18.9</f>
        <v>284.89999999999998</v>
      </c>
      <c r="C96" s="61">
        <v>4</v>
      </c>
      <c r="D96" s="61">
        <f>24.2+18.9</f>
        <v>43.099999999999994</v>
      </c>
      <c r="E96" s="91"/>
      <c r="F96" s="91"/>
      <c r="G96" s="91"/>
      <c r="H96" s="91"/>
      <c r="I96" s="56">
        <f t="shared" si="3"/>
        <v>8.5399999999999974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55</v>
      </c>
      <c r="B97" s="61">
        <f>262.6+16</f>
        <v>278.60000000000002</v>
      </c>
      <c r="C97" s="61"/>
      <c r="D97" s="61"/>
      <c r="E97" s="91"/>
      <c r="F97" s="91"/>
      <c r="G97" s="91"/>
      <c r="H97" s="91"/>
      <c r="I97" s="56">
        <f t="shared" si="3"/>
        <v>7.3600000000000083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60</v>
      </c>
      <c r="B98" s="61">
        <f>279.8+16+14.2</f>
        <v>310</v>
      </c>
      <c r="C98" s="61">
        <v>5</v>
      </c>
      <c r="D98" s="61">
        <f>16+14.2</f>
        <v>30.2</v>
      </c>
      <c r="E98" s="91"/>
      <c r="F98" s="91"/>
      <c r="G98" s="91"/>
      <c r="H98" s="91"/>
      <c r="I98" s="56">
        <f t="shared" si="3"/>
        <v>6.2799999999999958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65</v>
      </c>
      <c r="B99" s="61">
        <f>292.6+13.4</f>
        <v>306</v>
      </c>
      <c r="C99" s="61"/>
      <c r="D99" s="61"/>
      <c r="E99" s="91"/>
      <c r="F99" s="91"/>
      <c r="G99" s="91"/>
      <c r="H99" s="91"/>
      <c r="I99" s="56">
        <f t="shared" si="3"/>
        <v>5.2399999999999975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70</v>
      </c>
      <c r="B100" s="61">
        <f>302.6+13.4+12.5</f>
        <v>328.5</v>
      </c>
      <c r="C100" s="61">
        <v>6</v>
      </c>
      <c r="D100" s="61">
        <f>13.4+12.5</f>
        <v>25.9</v>
      </c>
      <c r="E100" s="66"/>
      <c r="F100" s="66"/>
      <c r="G100" s="66"/>
      <c r="H100" s="66"/>
      <c r="I100" s="56">
        <f t="shared" si="3"/>
        <v>4.5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75</v>
      </c>
      <c r="B101" s="61">
        <f>311.9+11.6</f>
        <v>323.5</v>
      </c>
      <c r="C101" s="61"/>
      <c r="D101" s="61"/>
      <c r="E101" s="66"/>
      <c r="F101" s="66"/>
      <c r="G101" s="66"/>
      <c r="H101" s="66"/>
      <c r="I101" s="56">
        <f t="shared" si="3"/>
        <v>4.1799999999999953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>
        <v>80</v>
      </c>
      <c r="B102" s="53">
        <f>319+11.6+10.7</f>
        <v>341.3</v>
      </c>
      <c r="C102" s="61">
        <v>7</v>
      </c>
      <c r="D102" s="53">
        <f>B102</f>
        <v>341.3</v>
      </c>
      <c r="E102" s="57"/>
      <c r="F102" s="57"/>
      <c r="G102" s="57"/>
      <c r="H102" s="57"/>
      <c r="I102" s="56">
        <f t="shared" si="3"/>
        <v>3.5600000000000023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Robinier faux-acacia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5</v>
      </c>
      <c r="B114" s="61">
        <f>24+4</f>
        <v>28</v>
      </c>
      <c r="C114" s="61"/>
      <c r="D114" s="61"/>
      <c r="E114" s="54"/>
      <c r="F114" s="54"/>
      <c r="G114" s="54"/>
      <c r="H114" s="54"/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10</v>
      </c>
      <c r="B115" s="61">
        <f>58+4+21</f>
        <v>83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15</v>
      </c>
      <c r="B116" s="61">
        <f>95+4+21+17</f>
        <v>137</v>
      </c>
      <c r="C116" s="61"/>
      <c r="D116" s="61"/>
      <c r="E116" s="54"/>
      <c r="F116" s="54"/>
      <c r="G116" s="54"/>
      <c r="H116" s="54"/>
      <c r="I116" s="56">
        <f t="shared" si="4"/>
        <v>10.8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20</v>
      </c>
      <c r="B117" s="61">
        <f>131+4+21+17+14</f>
        <v>187</v>
      </c>
      <c r="C117" s="61">
        <v>1</v>
      </c>
      <c r="D117" s="61">
        <f>4+21+17+14</f>
        <v>56</v>
      </c>
      <c r="E117" s="54"/>
      <c r="F117" s="54"/>
      <c r="G117" s="54"/>
      <c r="H117" s="54">
        <v>1</v>
      </c>
      <c r="I117" s="56">
        <f t="shared" si="4"/>
        <v>10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25</v>
      </c>
      <c r="B118" s="61">
        <f>162+11</f>
        <v>173</v>
      </c>
      <c r="C118" s="61"/>
      <c r="D118" s="61"/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30</v>
      </c>
      <c r="B119" s="61">
        <f>188+11+9</f>
        <v>208</v>
      </c>
      <c r="C119" s="61">
        <v>2</v>
      </c>
      <c r="D119" s="61">
        <f>11+9</f>
        <v>20</v>
      </c>
      <c r="E119" s="54"/>
      <c r="F119" s="54"/>
      <c r="G119" s="54"/>
      <c r="H119" s="54">
        <v>1</v>
      </c>
      <c r="I119" s="56">
        <f t="shared" si="4"/>
        <v>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35</v>
      </c>
      <c r="B120" s="61">
        <f>209+7</f>
        <v>216</v>
      </c>
      <c r="C120" s="61"/>
      <c r="D120" s="61"/>
      <c r="E120" s="54"/>
      <c r="F120" s="54"/>
      <c r="G120" s="54"/>
      <c r="H120" s="54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40</v>
      </c>
      <c r="B121" s="53">
        <v>241</v>
      </c>
      <c r="C121" s="53"/>
      <c r="D121" s="53"/>
      <c r="E121" s="54"/>
      <c r="F121" s="54"/>
      <c r="G121" s="54"/>
      <c r="H121" s="54"/>
      <c r="I121" s="56">
        <f t="shared" si="4"/>
        <v>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45</v>
      </c>
      <c r="B122" s="53">
        <v>266</v>
      </c>
      <c r="C122" s="53">
        <v>3</v>
      </c>
      <c r="D122" s="53">
        <v>266</v>
      </c>
      <c r="E122" s="54"/>
      <c r="F122" s="54"/>
      <c r="G122" s="54"/>
      <c r="H122" s="54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/>
      <c r="B123" s="61"/>
      <c r="C123" s="61"/>
      <c r="D123" s="61"/>
      <c r="E123" s="91"/>
      <c r="F123" s="91"/>
      <c r="G123" s="91"/>
      <c r="H123" s="91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/>
      <c r="B124" s="61"/>
      <c r="C124" s="61"/>
      <c r="D124" s="61"/>
      <c r="E124" s="91"/>
      <c r="F124" s="91"/>
      <c r="G124" s="91"/>
      <c r="H124" s="91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/>
      <c r="B125" s="61"/>
      <c r="C125" s="61"/>
      <c r="D125" s="61"/>
      <c r="E125" s="91"/>
      <c r="F125" s="91"/>
      <c r="G125" s="91"/>
      <c r="H125" s="91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/>
      <c r="B126" s="61"/>
      <c r="C126" s="61"/>
      <c r="D126" s="61"/>
      <c r="E126" s="66"/>
      <c r="F126" s="66"/>
      <c r="G126" s="66"/>
      <c r="H126" s="66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/>
      <c r="B127" s="61"/>
      <c r="C127" s="61"/>
      <c r="D127" s="61"/>
      <c r="E127" s="66"/>
      <c r="F127" s="66"/>
      <c r="G127" s="66"/>
      <c r="H127" s="66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Cormier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Hêtre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1">
        <v>56</v>
      </c>
      <c r="C192" s="53"/>
      <c r="D192" s="61"/>
      <c r="E192" s="54"/>
      <c r="F192" s="54"/>
      <c r="G192" s="54"/>
      <c r="H192" s="54"/>
      <c r="I192" s="52">
        <f>IFERROR(B192/A192,"")</f>
        <v>2.8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v>111</v>
      </c>
      <c r="C193" s="53">
        <v>1</v>
      </c>
      <c r="D193" s="61">
        <v>26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1">
        <v>146</v>
      </c>
      <c r="C194" s="53"/>
      <c r="D194" s="61"/>
      <c r="E194" s="54"/>
      <c r="F194" s="54"/>
      <c r="G194" s="54"/>
      <c r="H194" s="54"/>
      <c r="I194" s="52">
        <f t="shared" si="7"/>
        <v>12.2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f>175+35</f>
        <v>210</v>
      </c>
      <c r="C195" s="53">
        <v>2</v>
      </c>
      <c r="D195" s="61">
        <f>35+35</f>
        <v>70</v>
      </c>
      <c r="E195" s="54"/>
      <c r="F195" s="54"/>
      <c r="G195" s="54"/>
      <c r="H195" s="54"/>
      <c r="I195" s="52">
        <f t="shared" si="7"/>
        <v>12.8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v>207</v>
      </c>
      <c r="C196" s="53"/>
      <c r="D196" s="61"/>
      <c r="E196" s="54"/>
      <c r="F196" s="54"/>
      <c r="G196" s="54"/>
      <c r="H196" s="54"/>
      <c r="I196" s="52">
        <f t="shared" si="7"/>
        <v>13.4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1">
        <f>241+35</f>
        <v>276</v>
      </c>
      <c r="C197" s="53">
        <v>3</v>
      </c>
      <c r="D197" s="61">
        <f>35+35</f>
        <v>70</v>
      </c>
      <c r="E197" s="54"/>
      <c r="F197" s="54"/>
      <c r="G197" s="54"/>
      <c r="H197" s="54"/>
      <c r="I197" s="52">
        <f t="shared" si="7"/>
        <v>13.8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v>274</v>
      </c>
      <c r="C198" s="53"/>
      <c r="D198" s="61"/>
      <c r="E198" s="54"/>
      <c r="F198" s="54"/>
      <c r="G198" s="54"/>
      <c r="H198" s="54"/>
      <c r="I198" s="52">
        <f t="shared" si="7"/>
        <v>13.6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1">
        <f>306+35</f>
        <v>341</v>
      </c>
      <c r="C199" s="53">
        <v>4</v>
      </c>
      <c r="D199" s="61">
        <f>35+35</f>
        <v>70</v>
      </c>
      <c r="E199" s="54"/>
      <c r="F199" s="54"/>
      <c r="G199" s="54"/>
      <c r="H199" s="54"/>
      <c r="I199" s="52">
        <f t="shared" si="7"/>
        <v>13.4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61">
        <v>336</v>
      </c>
      <c r="C200" s="53"/>
      <c r="D200" s="61"/>
      <c r="E200" s="54"/>
      <c r="F200" s="54"/>
      <c r="G200" s="54"/>
      <c r="H200" s="54"/>
      <c r="I200" s="52">
        <f t="shared" si="7"/>
        <v>13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1">
        <f>363+35</f>
        <v>398</v>
      </c>
      <c r="C201" s="53">
        <v>5</v>
      </c>
      <c r="D201" s="61">
        <f>35+35</f>
        <v>70</v>
      </c>
      <c r="E201" s="54"/>
      <c r="F201" s="54"/>
      <c r="G201" s="54"/>
      <c r="H201" s="54"/>
      <c r="I201" s="52">
        <f t="shared" si="7"/>
        <v>12.4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1">
        <v>387</v>
      </c>
      <c r="C202" s="53"/>
      <c r="D202" s="61"/>
      <c r="E202" s="54"/>
      <c r="F202" s="54"/>
      <c r="G202" s="54"/>
      <c r="H202" s="54"/>
      <c r="I202" s="52">
        <f t="shared" si="7"/>
        <v>11.8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>
        <v>75</v>
      </c>
      <c r="B203" s="61">
        <f>407+35</f>
        <v>442</v>
      </c>
      <c r="C203" s="53">
        <v>6</v>
      </c>
      <c r="D203" s="61">
        <f>35+35</f>
        <v>70</v>
      </c>
      <c r="E203" s="54"/>
      <c r="F203" s="54"/>
      <c r="G203" s="54"/>
      <c r="H203" s="54"/>
      <c r="I203" s="52">
        <f t="shared" si="7"/>
        <v>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1">
        <v>424</v>
      </c>
      <c r="C204" s="53"/>
      <c r="D204" s="61"/>
      <c r="E204" s="57"/>
      <c r="F204" s="57"/>
      <c r="G204" s="57"/>
      <c r="H204" s="57"/>
      <c r="I204" s="52">
        <f t="shared" si="7"/>
        <v>10.4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61">
        <v>85</v>
      </c>
      <c r="B205" s="61">
        <f>438+34</f>
        <v>472</v>
      </c>
      <c r="C205" s="61">
        <v>7</v>
      </c>
      <c r="D205" s="61">
        <f>34+33</f>
        <v>67</v>
      </c>
      <c r="E205" s="66"/>
      <c r="F205" s="66"/>
      <c r="G205" s="66"/>
      <c r="H205" s="66"/>
      <c r="I205" s="52">
        <f t="shared" si="7"/>
        <v>9.6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61">
        <v>95</v>
      </c>
      <c r="B206" s="53">
        <v>494</v>
      </c>
      <c r="C206" s="61">
        <v>8</v>
      </c>
      <c r="D206" s="53">
        <v>61</v>
      </c>
      <c r="E206" s="57"/>
      <c r="F206" s="57"/>
      <c r="G206" s="57"/>
      <c r="H206" s="57"/>
      <c r="I206" s="52">
        <f t="shared" si="7"/>
        <v>8.9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105</v>
      </c>
      <c r="B207" s="53">
        <v>513</v>
      </c>
      <c r="C207" s="53">
        <v>9</v>
      </c>
      <c r="D207" s="53">
        <v>57</v>
      </c>
      <c r="E207" s="57"/>
      <c r="F207" s="57"/>
      <c r="G207" s="57"/>
      <c r="H207" s="57"/>
      <c r="I207" s="52">
        <f t="shared" si="7"/>
        <v>8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115</v>
      </c>
      <c r="B208" s="53">
        <v>528</v>
      </c>
      <c r="C208" s="53">
        <v>10</v>
      </c>
      <c r="D208" s="53">
        <v>53</v>
      </c>
      <c r="E208" s="57"/>
      <c r="F208" s="57"/>
      <c r="G208" s="57"/>
      <c r="H208" s="57"/>
      <c r="I208" s="52">
        <f t="shared" si="7"/>
        <v>7.2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125</v>
      </c>
      <c r="B209" s="53">
        <v>539</v>
      </c>
      <c r="C209" s="53">
        <v>11</v>
      </c>
      <c r="D209" s="53">
        <v>51</v>
      </c>
      <c r="E209" s="57"/>
      <c r="F209" s="57"/>
      <c r="G209" s="57"/>
      <c r="H209" s="57"/>
      <c r="I209" s="52">
        <f t="shared" si="7"/>
        <v>6.4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135</v>
      </c>
      <c r="B210" s="53">
        <v>546</v>
      </c>
      <c r="C210" s="53">
        <v>12</v>
      </c>
      <c r="D210" s="53">
        <v>49</v>
      </c>
      <c r="E210" s="57"/>
      <c r="F210" s="57"/>
      <c r="G210" s="57"/>
      <c r="H210" s="57"/>
      <c r="I210" s="52">
        <f t="shared" si="7"/>
        <v>5.8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>
        <v>150</v>
      </c>
      <c r="B211" s="53">
        <v>571</v>
      </c>
      <c r="C211" s="53">
        <v>13</v>
      </c>
      <c r="D211" s="53">
        <v>571</v>
      </c>
      <c r="E211" s="57"/>
      <c r="F211" s="57"/>
      <c r="G211" s="57"/>
      <c r="H211" s="57"/>
      <c r="I211" s="52">
        <f t="shared" si="7"/>
        <v>4.9333333333333336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Chêne rouge d'Amérique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10</v>
      </c>
      <c r="B218" s="61">
        <v>29</v>
      </c>
      <c r="C218" s="53"/>
      <c r="D218" s="61"/>
      <c r="E218" s="64"/>
      <c r="F218" s="64"/>
      <c r="G218" s="64"/>
      <c r="H218" s="64"/>
      <c r="I218" s="56">
        <f>IFERROR(B218/A218,"")</f>
        <v>2.9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15</v>
      </c>
      <c r="B219" s="61">
        <v>73</v>
      </c>
      <c r="C219" s="53"/>
      <c r="D219" s="61"/>
      <c r="E219" s="64"/>
      <c r="F219" s="64"/>
      <c r="G219" s="64"/>
      <c r="H219" s="64"/>
      <c r="I219" s="56">
        <f t="shared" ref="I219:I237" si="8">IF(A219&lt;&gt;0,(B219-(B218-D218))/(A219-A218),"")</f>
        <v>8.8000000000000007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20</v>
      </c>
      <c r="B220" s="61">
        <f>75+54</f>
        <v>129</v>
      </c>
      <c r="C220" s="53">
        <v>1</v>
      </c>
      <c r="D220" s="61">
        <v>54</v>
      </c>
      <c r="E220" s="64"/>
      <c r="F220" s="64"/>
      <c r="G220" s="64"/>
      <c r="H220" s="64">
        <v>1</v>
      </c>
      <c r="I220" s="56">
        <f t="shared" si="8"/>
        <v>11.2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>
        <v>25</v>
      </c>
      <c r="B221" s="58">
        <f>100+26</f>
        <v>126</v>
      </c>
      <c r="C221" s="58"/>
      <c r="D221" s="58"/>
      <c r="E221" s="64"/>
      <c r="F221" s="64"/>
      <c r="G221" s="64"/>
      <c r="H221" s="64"/>
      <c r="I221" s="56">
        <f t="shared" si="8"/>
        <v>10.199999999999999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>
        <v>30</v>
      </c>
      <c r="B222" s="58">
        <f>122+26+27</f>
        <v>175</v>
      </c>
      <c r="C222" s="58">
        <v>2</v>
      </c>
      <c r="D222" s="58">
        <f>26+27</f>
        <v>53</v>
      </c>
      <c r="E222" s="64"/>
      <c r="F222" s="64"/>
      <c r="G222" s="64"/>
      <c r="H222" s="64">
        <v>1</v>
      </c>
      <c r="I222" s="56">
        <f t="shared" si="8"/>
        <v>9.8000000000000007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>
        <v>35</v>
      </c>
      <c r="B223" s="58">
        <f>141+27</f>
        <v>168</v>
      </c>
      <c r="C223" s="58"/>
      <c r="D223" s="58"/>
      <c r="E223" s="64"/>
      <c r="F223" s="64"/>
      <c r="G223" s="64"/>
      <c r="H223" s="64"/>
      <c r="I223" s="56">
        <f t="shared" si="8"/>
        <v>9.1999999999999993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>
        <v>40</v>
      </c>
      <c r="B224" s="58">
        <f>158+27+27</f>
        <v>212</v>
      </c>
      <c r="C224" s="58">
        <v>3</v>
      </c>
      <c r="D224" s="58">
        <f>27+27</f>
        <v>54</v>
      </c>
      <c r="E224" s="64"/>
      <c r="F224" s="64"/>
      <c r="G224" s="64"/>
      <c r="H224" s="64"/>
      <c r="I224" s="56">
        <f t="shared" si="8"/>
        <v>8.8000000000000007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>
        <v>45</v>
      </c>
      <c r="B225" s="58">
        <f>172+26</f>
        <v>198</v>
      </c>
      <c r="C225" s="58"/>
      <c r="D225" s="58"/>
      <c r="E225" s="64"/>
      <c r="F225" s="64"/>
      <c r="G225" s="64"/>
      <c r="H225" s="6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>
        <v>50</v>
      </c>
      <c r="B226" s="58">
        <f>185+26+24</f>
        <v>235</v>
      </c>
      <c r="C226" s="58">
        <v>4</v>
      </c>
      <c r="D226" s="58">
        <f>26+24</f>
        <v>50</v>
      </c>
      <c r="E226" s="64"/>
      <c r="F226" s="64"/>
      <c r="G226" s="64"/>
      <c r="H226" s="64"/>
      <c r="I226" s="56">
        <f t="shared" si="8"/>
        <v>7.4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>
        <v>55</v>
      </c>
      <c r="B227" s="58">
        <f>195+23</f>
        <v>218</v>
      </c>
      <c r="C227" s="58"/>
      <c r="D227" s="58"/>
      <c r="E227" s="64"/>
      <c r="F227" s="64"/>
      <c r="G227" s="64"/>
      <c r="H227" s="64"/>
      <c r="I227" s="56">
        <f t="shared" si="8"/>
        <v>6.6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>
        <v>60</v>
      </c>
      <c r="B228" s="58">
        <f>204+23+21</f>
        <v>248</v>
      </c>
      <c r="C228" s="58">
        <v>5</v>
      </c>
      <c r="D228" s="58">
        <f>23+21</f>
        <v>44</v>
      </c>
      <c r="E228" s="64"/>
      <c r="F228" s="64"/>
      <c r="G228" s="64"/>
      <c r="H228" s="64"/>
      <c r="I228" s="56">
        <f t="shared" si="8"/>
        <v>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>
        <v>65</v>
      </c>
      <c r="B229" s="58">
        <f>212+20</f>
        <v>232</v>
      </c>
      <c r="C229" s="58"/>
      <c r="D229" s="58"/>
      <c r="E229" s="64"/>
      <c r="F229" s="64"/>
      <c r="G229" s="64"/>
      <c r="H229" s="64"/>
      <c r="I229" s="56">
        <f t="shared" si="8"/>
        <v>5.6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>
        <v>70</v>
      </c>
      <c r="B230" s="58">
        <f>219+20+18</f>
        <v>257</v>
      </c>
      <c r="C230" s="58">
        <v>6</v>
      </c>
      <c r="D230" s="58">
        <f>20+18</f>
        <v>38</v>
      </c>
      <c r="E230" s="65"/>
      <c r="F230" s="65"/>
      <c r="G230" s="65"/>
      <c r="H230" s="65"/>
      <c r="I230" s="56">
        <f t="shared" si="8"/>
        <v>5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>
        <v>75</v>
      </c>
      <c r="B231" s="61">
        <f>225+16</f>
        <v>241</v>
      </c>
      <c r="C231" s="92"/>
      <c r="D231" s="61"/>
      <c r="E231" s="57"/>
      <c r="F231" s="57"/>
      <c r="G231" s="57"/>
      <c r="H231" s="57"/>
      <c r="I231" s="56">
        <f t="shared" si="8"/>
        <v>4.4000000000000004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80</v>
      </c>
      <c r="B232" s="53">
        <f>230+16+15</f>
        <v>261</v>
      </c>
      <c r="C232" s="53">
        <v>7</v>
      </c>
      <c r="D232" s="53">
        <f>16+15</f>
        <v>31</v>
      </c>
      <c r="E232" s="57"/>
      <c r="F232" s="57"/>
      <c r="G232" s="57"/>
      <c r="H232" s="57"/>
      <c r="I232" s="56">
        <f t="shared" si="8"/>
        <v>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85</v>
      </c>
      <c r="B233" s="53">
        <f>234+14</f>
        <v>248</v>
      </c>
      <c r="C233" s="53"/>
      <c r="D233" s="53"/>
      <c r="E233" s="57"/>
      <c r="F233" s="57"/>
      <c r="G233" s="57"/>
      <c r="H233" s="57"/>
      <c r="I233" s="56">
        <f t="shared" si="8"/>
        <v>3.6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90</v>
      </c>
      <c r="B234" s="53">
        <f>237+14+12</f>
        <v>263</v>
      </c>
      <c r="C234" s="53">
        <v>8</v>
      </c>
      <c r="D234" s="53">
        <f>14+12</f>
        <v>26</v>
      </c>
      <c r="E234" s="57"/>
      <c r="F234" s="57"/>
      <c r="G234" s="57"/>
      <c r="H234" s="57"/>
      <c r="I234" s="56">
        <f t="shared" si="8"/>
        <v>3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95</v>
      </c>
      <c r="B235" s="53">
        <f>240+12</f>
        <v>252</v>
      </c>
      <c r="C235" s="53"/>
      <c r="D235" s="53"/>
      <c r="E235" s="57"/>
      <c r="F235" s="57"/>
      <c r="G235" s="57"/>
      <c r="H235" s="57"/>
      <c r="I235" s="56">
        <f t="shared" si="8"/>
        <v>3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100</v>
      </c>
      <c r="B236" s="53">
        <f>243+12+12</f>
        <v>267</v>
      </c>
      <c r="C236" s="53">
        <v>9</v>
      </c>
      <c r="D236" s="53">
        <f>B236</f>
        <v>267</v>
      </c>
      <c r="E236" s="57"/>
      <c r="F236" s="57"/>
      <c r="G236" s="57"/>
      <c r="H236" s="57"/>
      <c r="I236" s="56">
        <f t="shared" si="8"/>
        <v>3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0.92300000000000004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7.6999999999999999E-2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Châtaignier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Robinier faux-acacia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Cormier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Alisier torminal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Hêtre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Chêne rouge d'Amérique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4.6150000000000002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16.921666666666667</v>
      </c>
      <c r="H3" s="68">
        <f>(B3+E3+F3)*44/12+(C3+D3)*0.475*44/12</f>
        <v>188.98000000000002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172.05833333333337</v>
      </c>
      <c r="S3" s="60">
        <f ca="1">AVERAGE(OFFSET($R$3,0,0,'Données projet'!$E$9+1,1))-AVERAGE(OFFSET($H$3,0,0,'Données projet'!$E$9+1,1))</f>
        <v>550.53475891182575</v>
      </c>
      <c r="T3" s="60">
        <f>IF('Données projet'!E9&gt;30,$R$33-$H$33,LOOKUP('Données projet'!$E$9,$A$3:$A$203,R3:R203)-LOOKUP('Données projet'!$E$9,$A$3:$A$203,$H$3:$H$203))</f>
        <v>350.2500324347194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172.05833333333337</v>
      </c>
      <c r="AN3" s="60">
        <f ca="1">AVERAGE(OFFSET($AM$3,0,0,'Données projet'!$E$10+1,1))-AVERAGE(OFFSET($H$3,0,0,'Données projet'!$E$10+1,1))</f>
        <v>513.16577009788818</v>
      </c>
      <c r="AO3" s="60">
        <f>IF('Données projet'!E10&gt;30,$AM$33-$H$33,LOOKUP('Données projet'!$E$10,$A$3:$A$203,AM3:AM203)-LOOKUP('Données projet'!$E$10,$A$3:$A$203,$H$3:$H$203))</f>
        <v>289.37159333739146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172.05833333333337</v>
      </c>
      <c r="BI3" s="60">
        <f ca="1">AVERAGE(OFFSET($BH$3,0,0,'Données projet'!$E$11+1,1))-AVERAGE(OFFSET($H$3,0,0,'Données projet'!$E$11+1,1))</f>
        <v>366.5170155168056</v>
      </c>
      <c r="BJ3" s="60">
        <f>IF('Données projet'!E11&gt;30,$BH$33-$H$33,LOOKUP('Données projet'!$E$11,$A$3:$A$203,BH3:BH203)-LOOKUP('Données projet'!$E$11,$A$3:$A$203,$H$3:$H$203))</f>
        <v>394.05057214541966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172.05833333333337</v>
      </c>
      <c r="CD3" s="60">
        <f ca="1">AVERAGE(OFFSET($CC$3,0,0,'Données projet'!$E$12+1,1))-AVERAGE(OFFSET($H$3,0,0,'Données projet'!$E$12+1,1))</f>
        <v>333.512642972663</v>
      </c>
      <c r="CE3" s="60">
        <f>IF('Données projet'!E12&gt;30,$CC$33-$H$33,LOOKUP('Données projet'!$E$12,$A$3:$A$203,CC3:CC203)-LOOKUP('Données projet'!$E$12,$A$3:$A$203,$H$3:$H$203))</f>
        <v>464.18634682168488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172.05833333333337</v>
      </c>
      <c r="CY3" s="60">
        <f ca="1">AVERAGE(OFFSET($CX$3,0,0,'Données projet'!$E$13+1,1))-AVERAGE(OFFSET($H$3,0,0,'Données projet'!$E$13+1,1))</f>
        <v>539.76438066597848</v>
      </c>
      <c r="CZ3" s="60">
        <f>IF('Données projet'!E13&gt;30,$CX$33-$H$33,LOOKUP('Données projet'!$E$13,$A$3:$A$203,CX3:CX203)-LOOKUP('Données projet'!$E$13,$A$3:$A$203,$H$3:$H$203))</f>
        <v>303.47238367344937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172.05833333333337</v>
      </c>
      <c r="DT3" s="60">
        <f ca="1">AVERAGE(OFFSET($DS$3,0,0,'Données projet'!$E$14+1,1))-AVERAGE(OFFSET($H$3,0,0,'Données projet'!$E$14+1,1))</f>
        <v>493.19478874005267</v>
      </c>
      <c r="DU3" s="60">
        <f>IF('Données projet'!E14&gt;30,$DS$33-$H$33,LOOKUP('Données projet'!$E$14,$A$3:$A$203,DS3:DS203)-LOOKUP('Données projet'!$E$14,$A$3:$A$203,$H$3:$H$203))</f>
        <v>278.78337903007821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172.05833333333337</v>
      </c>
      <c r="EO3" s="60">
        <f ca="1">AVERAGE(OFFSET($EN$3,0,0,'Données projet'!$E$15+1,1))-AVERAGE(OFFSET($H$3,0,0,'Données projet'!$E$15+1,1))</f>
        <v>698.30188737818639</v>
      </c>
      <c r="EP3" s="60">
        <f>IF('Données projet'!E15&gt;30,$EN$33-$H$33,LOOKUP('Données projet'!$E$15,$A$3:$A$203,EN3:EN203)-LOOKUP('Données projet'!$E$15,$A$3:$A$203,$H$3:$H$203))</f>
        <v>329.77977151358482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172.05833333333337</v>
      </c>
      <c r="FJ3" s="60">
        <f ca="1">AVERAGE(OFFSET($FI$3,0,0,'Données projet'!$E$16+1,1))-AVERAGE(OFFSET($H$3,0,0,'Données projet'!$E$16+1,1))</f>
        <v>396.99335548279453</v>
      </c>
      <c r="FK3" s="60">
        <f>IF('Données projet'!E16&gt;30,$FI$33-$H$33,LOOKUP('Données projet'!$E$16,$A$3:$A$203,FI3:FI203)-LOOKUP('Données projet'!$E$16,$A$3:$A$203,$H$3:$H$203))</f>
        <v>388.89849573746335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46.925000000000004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4.6150000000000002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16.921666666666667</v>
      </c>
      <c r="H4" s="68">
        <f t="shared" ref="H4:H67" si="1">(B4+E4+F4)*44/12+(C4+D4)*0.475*44/12</f>
        <v>188.98000000000002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0">
        <f t="shared" si="0"/>
        <v>177.58931075516617</v>
      </c>
      <c r="S4" s="60">
        <f ca="1">AVERAGE(OFFSET($R$3,0,0,'Données projet'!$E$9+1,1))-AVERAGE(OFFSET($H$3,0,0,'Données projet'!$E$9+1,1))</f>
        <v>550.53475891182575</v>
      </c>
      <c r="T4" s="60">
        <f>$T$3</f>
        <v>350.2500324347194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177.83571641230012</v>
      </c>
      <c r="AN4" s="60">
        <f ca="1">AVERAGE(OFFSET($AM$3,0,0,'Données projet'!$E$10+1,1))-AVERAGE(OFFSET($H$3,0,0,'Données projet'!$E$10+1,1))</f>
        <v>513.16577009788818</v>
      </c>
      <c r="AO4" s="60">
        <f>$AO$3</f>
        <v>289.37159333739146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1.1099999999999999</v>
      </c>
      <c r="BD4" s="13">
        <f>IF('Données projet'!$A$88&gt;35,BD3+BC4-BL3,IF(A4&lt;'Données projet'!$A$88,$BA$205^A4,IF(A4='Données projet'!$A$88,'Données projet'!$B$88,BD3+BC4-BL3)))</f>
        <v>1.2721323532877689</v>
      </c>
      <c r="BE4" s="14">
        <f>BD4*VLOOKUP('Données projet'!$B$11,Paramètres!$A$1:$I$89,3,0)*VLOOKUP('Données projet'!$B$11,Paramètres!$A$1:$I$89,5,0)</f>
        <v>0.93272744143059216</v>
      </c>
      <c r="BF4" s="14">
        <f>EXP(-1.0587+0.8836*LN(BE4)+0.284)</f>
        <v>0.43333858977228618</v>
      </c>
      <c r="BG4" s="22">
        <f t="shared" ref="BG4:BG67" si="7">(BE4+BF4)*0.475*44/12</f>
        <v>2.3792316710116794</v>
      </c>
      <c r="BH4" s="60">
        <f t="shared" ref="BH4:BH67" si="8">BG4+(AY4+AZ4)*44/12</f>
        <v>177.12755265400483</v>
      </c>
      <c r="BI4" s="60">
        <f ca="1">AVERAGE(OFFSET($BH$3,0,0,'Données projet'!$E$11+1,1))-AVERAGE(OFFSET($H$3,0,0,'Données projet'!$E$11+1,1))</f>
        <v>366.5170155168056</v>
      </c>
      <c r="BJ4" s="60">
        <f>$BJ$3</f>
        <v>394.05057214541966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0">
        <f t="shared" ref="CC4:CC67" si="11">CB4+(BT4+BU4)*44/12</f>
        <v>179.14092561279108</v>
      </c>
      <c r="CD4" s="60">
        <f ca="1">AVERAGE(OFFSET($CC$3,0,0,'Données projet'!$E$12+1,1))-AVERAGE(OFFSET($H$3,0,0,'Données projet'!$E$12+1,1))</f>
        <v>333.512642972663</v>
      </c>
      <c r="CE4" s="60">
        <f>$CE$3</f>
        <v>464.18634682168488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1.2975860072835741</v>
      </c>
      <c r="CV4" s="14">
        <f>EXP(-1.0587+0.8836*LN(CU4)+0.284)</f>
        <v>0.58012177912374829</v>
      </c>
      <c r="CW4" s="22">
        <f t="shared" ref="CW4:CW67" si="13">(CU4+CV4)*0.475*44/12</f>
        <v>3.2703410613260862</v>
      </c>
      <c r="CX4" s="60">
        <f t="shared" ref="CX4:CX67" si="14">CW4+(CO4+CP4)*44/12</f>
        <v>178.01866204431926</v>
      </c>
      <c r="CY4" s="60">
        <f ca="1">AVERAGE(OFFSET($CX$3,0,0,'Données projet'!$E$13+1,1))-AVERAGE(OFFSET($H$3,0,0,'Données projet'!$E$13+1,1))</f>
        <v>539.76438066597848</v>
      </c>
      <c r="CZ4" s="60">
        <f>$CZ$3</f>
        <v>303.47238367344937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0">
        <f t="shared" ref="DS4:DS67" si="17">DR4+(DJ4+DK4)*44/12</f>
        <v>177.69826346043297</v>
      </c>
      <c r="DT4" s="60">
        <f ca="1">AVERAGE(OFFSET($DS$3,0,0,'Données projet'!$E$14+1,1))-AVERAGE(OFFSET($H$3,0,0,'Données projet'!$E$14+1,1))</f>
        <v>493.19478874005267</v>
      </c>
      <c r="DU4" s="60">
        <f>$DU$3</f>
        <v>278.78337903007821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2.8</v>
      </c>
      <c r="EJ4" s="13">
        <f>IF('Données projet'!$A$192&gt;35,EJ3+EI4-ER3,IF(A4&lt;'Données projet'!$A$192,$EG$205^A4,IF(A4='Données projet'!$A$192,'Données projet'!$B$192,EJ3+EI4-ER3)))</f>
        <v>1.2229519710813024</v>
      </c>
      <c r="EK4" s="18">
        <f>EJ4*VLOOKUP('Données projet'!$B$15,Paramètres!$A$1:$I$89,3,0)*VLOOKUP('Données projet'!$B$15,Paramètres!$A$1:$I$89,5,0)</f>
        <v>1.0492927911877574</v>
      </c>
      <c r="EL4" s="14">
        <f>EXP(-1.0587+0.8836*LN(EK4)+0.284)</f>
        <v>0.48085748368030745</v>
      </c>
      <c r="EM4" s="22">
        <f t="shared" ref="EM4:EM67" si="19">(EK4+EL4)*0.475*44/12</f>
        <v>2.6650117287285462</v>
      </c>
      <c r="EN4" s="60">
        <f t="shared" ref="EN4:EN67" si="20">EM4+(EE4+EF4)*44/12</f>
        <v>177.41333271172172</v>
      </c>
      <c r="EO4" s="60">
        <f ca="1">AVERAGE(OFFSET($EN$3,0,0,'Données projet'!$E$15+1,1))-AVERAGE(OFFSET($H$3,0,0,'Données projet'!$E$15+1,1))</f>
        <v>698.30188737818639</v>
      </c>
      <c r="EP4" s="60">
        <f>$EP$3</f>
        <v>329.77977151358482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2.9</v>
      </c>
      <c r="FE4" s="13">
        <f>IF('Données projet'!$A$218&gt;35,FE3+FD4-FM3,IF(A4&lt;'Données projet'!$A$218,$FB$205^A4,IF(A4='Données projet'!$A$218,'Données projet'!$B$218,FE3+FD4-FM3)))</f>
        <v>1.4003603312913959</v>
      </c>
      <c r="FF4" s="18">
        <f>FE4*VLOOKUP('Données projet'!$B$16,Paramètres!$A$1:$I$89,3,0)*VLOOKUP('Données projet'!$B$16,Paramètres!$A$1:$I$89,5,0)</f>
        <v>1.2233547854161635</v>
      </c>
      <c r="FG4" s="14">
        <f>EXP(-1.0587+0.8836*LN(FF4)+0.284)</f>
        <v>0.55069785861405296</v>
      </c>
      <c r="FH4" s="22">
        <f t="shared" ref="FH4:FH67" si="22">(FF4+FG4)*0.475*44/12</f>
        <v>3.0898083550192936</v>
      </c>
      <c r="FI4" s="60">
        <f t="shared" ref="FI4:FI67" si="23">FH4+(EZ4+FA4)*44/12</f>
        <v>177.83812933801246</v>
      </c>
      <c r="FJ4" s="60">
        <f ca="1">AVERAGE(OFFSET($FI$3,0,0,'Données projet'!$E$16+1,1))-AVERAGE(OFFSET($H$3,0,0,'Données projet'!$E$16+1,1))</f>
        <v>396.99335548279453</v>
      </c>
      <c r="FK4" s="60">
        <f>$FK$3</f>
        <v>388.89849573746335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47.325299662028435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4.6150000000000002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16.921666666666667</v>
      </c>
      <c r="H5" s="68">
        <f t="shared" si="1"/>
        <v>188.98000000000002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0">
        <f t="shared" si="0"/>
        <v>180.90645996068451</v>
      </c>
      <c r="S5" s="60">
        <f ca="1">AVERAGE(OFFSET($R$3,0,0,'Données projet'!$E$9+1,1))-AVERAGE(OFFSET($H$3,0,0,'Données projet'!$E$9+1,1))</f>
        <v>550.53475891182575</v>
      </c>
      <c r="T5" s="60">
        <f t="shared" ref="T5:T68" si="34">$T$3</f>
        <v>350.2500324347194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181.10979851667219</v>
      </c>
      <c r="AN5" s="60">
        <f ca="1">AVERAGE(OFFSET($AM$3,0,0,'Données projet'!$E$10+1,1))-AVERAGE(OFFSET($H$3,0,0,'Données projet'!$E$10+1,1))</f>
        <v>513.16577009788818</v>
      </c>
      <c r="AO5" s="60">
        <f t="shared" ref="AO5:AO68" si="36">$AO$3</f>
        <v>289.37159333739146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1.1099999999999999</v>
      </c>
      <c r="BD5" s="13">
        <f>IF('Données projet'!$A$88&gt;35,BD4+BC5-BL4,IF(A5&lt;'Données projet'!$A$88,$BA$205^A5,IF(A5='Données projet'!$A$88,'Données projet'!$B$88,BD4+BC5-BL4)))</f>
        <v>1.6183207242814768</v>
      </c>
      <c r="BE5" s="14">
        <f>BD5*VLOOKUP('Données projet'!$B$11,Paramètres!$A$1:$I$89,3,0)*VLOOKUP('Données projet'!$B$11,Paramètres!$A$1:$I$89,5,0)</f>
        <v>1.1865527550431787</v>
      </c>
      <c r="BF5" s="14">
        <f t="shared" ref="BF5:BF68" si="37">EXP(-1.0587+0.8836*LN(BE5)+0.284)</f>
        <v>0.53603371205753736</v>
      </c>
      <c r="BG5" s="22">
        <f t="shared" si="7"/>
        <v>3.0001714302004134</v>
      </c>
      <c r="BH5" s="60">
        <f t="shared" si="8"/>
        <v>180.41301761411927</v>
      </c>
      <c r="BI5" s="60">
        <f ca="1">AVERAGE(OFFSET($BH$3,0,0,'Données projet'!$E$11+1,1))-AVERAGE(OFFSET($H$3,0,0,'Données projet'!$E$11+1,1))</f>
        <v>366.5170155168056</v>
      </c>
      <c r="BJ5" s="60">
        <f t="shared" ref="BJ5:BJ68" si="38">$BJ$3</f>
        <v>394.05057214541966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0">
        <f t="shared" si="11"/>
        <v>185.77410768060622</v>
      </c>
      <c r="CD5" s="60">
        <f ca="1">AVERAGE(OFFSET($CC$3,0,0,'Données projet'!$E$12+1,1))-AVERAGE(OFFSET($H$3,0,0,'Données projet'!$E$12+1,1))</f>
        <v>333.512642972663</v>
      </c>
      <c r="CE5" s="60">
        <f t="shared" ref="CE5:CE68" si="40">$CE$3</f>
        <v>464.18634682168488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1.5642228226478332</v>
      </c>
      <c r="CV5" s="14">
        <f t="shared" ref="CV5:CV68" si="41">EXP(-1.0587+0.8836*LN(CU5)+0.284)</f>
        <v>0.68428075179095682</v>
      </c>
      <c r="CW5" s="22">
        <f t="shared" si="13"/>
        <v>3.9161437254808931</v>
      </c>
      <c r="CX5" s="60">
        <f t="shared" si="14"/>
        <v>181.32898990939975</v>
      </c>
      <c r="CY5" s="60">
        <f ca="1">AVERAGE(OFFSET($CX$3,0,0,'Données projet'!$E$13+1,1))-AVERAGE(OFFSET($H$3,0,0,'Données projet'!$E$13+1,1))</f>
        <v>539.76438066597848</v>
      </c>
      <c r="CZ5" s="60">
        <f t="shared" ref="CZ5:CZ68" si="42">$CZ$3</f>
        <v>303.47238367344937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0">
        <f t="shared" si="17"/>
        <v>180.94511748373299</v>
      </c>
      <c r="DT5" s="60">
        <f ca="1">AVERAGE(OFFSET($DS$3,0,0,'Données projet'!$E$14+1,1))-AVERAGE(OFFSET($H$3,0,0,'Données projet'!$E$14+1,1))</f>
        <v>493.19478874005267</v>
      </c>
      <c r="DU5" s="60">
        <f t="shared" ref="DU5:DU68" si="44">$DU$3</f>
        <v>278.78337903007821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2.8</v>
      </c>
      <c r="EJ5" s="13">
        <f>IF('Données projet'!$A$192&gt;35,EJ4+EI5-ER4,IF(A5&lt;'Données projet'!$A$192,$EG$205^A5,IF(A5='Données projet'!$A$192,'Données projet'!$B$192,EJ4+EI5-ER4)))</f>
        <v>1.4956115235716427</v>
      </c>
      <c r="EK5" s="18">
        <f>EJ5*VLOOKUP('Données projet'!$B$15,Paramètres!$A$1:$I$89,3,0)*VLOOKUP('Données projet'!$B$15,Paramètres!$A$1:$I$89,5,0)</f>
        <v>1.2832346872244698</v>
      </c>
      <c r="EL5" s="14">
        <f t="shared" ref="EL5:EL68" si="45">EXP(-1.0587+0.8836*LN(EK5)+0.284)</f>
        <v>0.57444879990343678</v>
      </c>
      <c r="EM5" s="22">
        <f t="shared" si="19"/>
        <v>3.2354654067477706</v>
      </c>
      <c r="EN5" s="60">
        <f t="shared" si="20"/>
        <v>180.64831159066662</v>
      </c>
      <c r="EO5" s="60">
        <f ca="1">AVERAGE(OFFSET($EN$3,0,0,'Données projet'!$E$15+1,1))-AVERAGE(OFFSET($H$3,0,0,'Données projet'!$E$15+1,1))</f>
        <v>698.30188737818639</v>
      </c>
      <c r="EP5" s="60">
        <f t="shared" ref="EP5:EP68" si="46">$EP$3</f>
        <v>329.77977151358482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2.9</v>
      </c>
      <c r="FE5" s="13">
        <f>IF('Données projet'!$A$218&gt;35,FE4+FD5-FM4,IF(A5&lt;'Données projet'!$A$218,$FB$205^A5,IF(A5='Données projet'!$A$218,'Données projet'!$B$218,FE4+FD5-FM4)))</f>
        <v>1.9610090574545482</v>
      </c>
      <c r="FF5" s="18">
        <f>FE5*VLOOKUP('Données projet'!$B$16,Paramètres!$A$1:$I$89,3,0)*VLOOKUP('Données projet'!$B$16,Paramètres!$A$1:$I$89,5,0)</f>
        <v>1.7131375125922934</v>
      </c>
      <c r="FG5" s="14">
        <f t="shared" ref="FG5:FG68" si="47">EXP(-1.0587+0.8836*LN(FF5)+0.284)</f>
        <v>0.74153366912094132</v>
      </c>
      <c r="FH5" s="22">
        <f t="shared" si="22"/>
        <v>4.2752189748172169</v>
      </c>
      <c r="FI5" s="60">
        <f t="shared" si="23"/>
        <v>181.68806515873607</v>
      </c>
      <c r="FJ5" s="60">
        <f ca="1">AVERAGE(OFFSET($FI$3,0,0,'Données projet'!$E$16+1,1))-AVERAGE(OFFSET($H$3,0,0,'Données projet'!$E$16+1,1))</f>
        <v>396.99335548279453</v>
      </c>
      <c r="FK5" s="60">
        <f t="shared" ref="FK5:FK68" si="48">$FK$3</f>
        <v>388.89849573746335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47.718655019856655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4.6150000000000002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16.921666666666667</v>
      </c>
      <c r="H6" s="68">
        <f t="shared" si="1"/>
        <v>188.98000000000002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0">
        <f t="shared" si="0"/>
        <v>184.34907754367626</v>
      </c>
      <c r="S6" s="60">
        <f ca="1">AVERAGE(OFFSET($R$3,0,0,'Données projet'!$E$9+1,1))-AVERAGE(OFFSET($H$3,0,0,'Données projet'!$E$9+1,1))</f>
        <v>550.53475891182575</v>
      </c>
      <c r="T6" s="60">
        <f t="shared" si="34"/>
        <v>350.2500324347194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184.47965187759252</v>
      </c>
      <c r="AN6" s="60">
        <f ca="1">AVERAGE(OFFSET($AM$3,0,0,'Données projet'!$E$10+1,1))-AVERAGE(OFFSET($H$3,0,0,'Données projet'!$E$10+1,1))</f>
        <v>513.16577009788818</v>
      </c>
      <c r="AO6" s="60">
        <f t="shared" si="36"/>
        <v>289.37159333739146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1.1099999999999999</v>
      </c>
      <c r="BD6" s="13">
        <f>IF('Données projet'!$A$88&gt;35,BD5+BC6-BL5,IF(A6&lt;'Données projet'!$A$88,$BA$205^A6,IF(A6='Données projet'!$A$88,'Données projet'!$B$88,BD5+BC6-BL5)))</f>
        <v>2.0587181513545616</v>
      </c>
      <c r="BE6" s="14">
        <f>BD6*VLOOKUP('Données projet'!$B$11,Paramètres!$A$1:$I$89,3,0)*VLOOKUP('Données projet'!$B$11,Paramètres!$A$1:$I$89,5,0)</f>
        <v>1.5094521485731647</v>
      </c>
      <c r="BF6" s="14">
        <f t="shared" si="37"/>
        <v>0.66306612714360913</v>
      </c>
      <c r="BG6" s="22">
        <f t="shared" si="7"/>
        <v>3.7838026635400475</v>
      </c>
      <c r="BH6" s="60">
        <f t="shared" si="8"/>
        <v>183.83615331621047</v>
      </c>
      <c r="BI6" s="60">
        <f ca="1">AVERAGE(OFFSET($BH$3,0,0,'Données projet'!$E$11+1,1))-AVERAGE(OFFSET($H$3,0,0,'Données projet'!$E$11+1,1))</f>
        <v>366.5170155168056</v>
      </c>
      <c r="BJ6" s="60">
        <f t="shared" si="38"/>
        <v>394.05057214541966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0">
        <f t="shared" si="11"/>
        <v>195.98743463360381</v>
      </c>
      <c r="CD6" s="60">
        <f ca="1">AVERAGE(OFFSET($CC$3,0,0,'Données projet'!$E$12+1,1))-AVERAGE(OFFSET($H$3,0,0,'Données projet'!$E$12+1,1))</f>
        <v>333.512642972663</v>
      </c>
      <c r="CE6" s="60">
        <f t="shared" si="40"/>
        <v>464.18634682168488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1.885649987868306</v>
      </c>
      <c r="CV6" s="14">
        <f t="shared" si="41"/>
        <v>0.8071411281590839</v>
      </c>
      <c r="CW6" s="22">
        <f t="shared" si="13"/>
        <v>4.6899445270810372</v>
      </c>
      <c r="CX6" s="60">
        <f t="shared" si="14"/>
        <v>184.74229517975144</v>
      </c>
      <c r="CY6" s="60">
        <f ca="1">AVERAGE(OFFSET($CX$3,0,0,'Données projet'!$E$13+1,1))-AVERAGE(OFFSET($H$3,0,0,'Données projet'!$E$13+1,1))</f>
        <v>539.76438066597848</v>
      </c>
      <c r="CZ6" s="60">
        <f t="shared" si="42"/>
        <v>303.47238367344937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0">
        <f t="shared" si="17"/>
        <v>184.28233029497673</v>
      </c>
      <c r="DT6" s="60">
        <f ca="1">AVERAGE(OFFSET($DS$3,0,0,'Données projet'!$E$14+1,1))-AVERAGE(OFFSET($H$3,0,0,'Données projet'!$E$14+1,1))</f>
        <v>493.19478874005267</v>
      </c>
      <c r="DU6" s="60">
        <f t="shared" si="44"/>
        <v>278.78337903007821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2.8</v>
      </c>
      <c r="EJ6" s="13">
        <f>IF('Données projet'!$A$192&gt;35,EJ5+EI6-ER5,IF(A6&lt;'Données projet'!$A$192,$EG$205^A6,IF(A6='Données projet'!$A$192,'Données projet'!$B$192,EJ5+EI6-ER5)))</f>
        <v>1.8290610607238502</v>
      </c>
      <c r="EK6" s="18">
        <f>EJ6*VLOOKUP('Données projet'!$B$15,Paramètres!$A$1:$I$89,3,0)*VLOOKUP('Données projet'!$B$15,Paramètres!$A$1:$I$89,5,0)</f>
        <v>1.5693343901010637</v>
      </c>
      <c r="EL6" s="14">
        <f t="shared" si="45"/>
        <v>0.68625618797666377</v>
      </c>
      <c r="EM6" s="22">
        <f t="shared" si="19"/>
        <v>3.9284869234853752</v>
      </c>
      <c r="EN6" s="60">
        <f t="shared" si="20"/>
        <v>183.98083757615578</v>
      </c>
      <c r="EO6" s="60">
        <f ca="1">AVERAGE(OFFSET($EN$3,0,0,'Données projet'!$E$15+1,1))-AVERAGE(OFFSET($H$3,0,0,'Données projet'!$E$15+1,1))</f>
        <v>698.30188737818639</v>
      </c>
      <c r="EP6" s="60">
        <f t="shared" si="46"/>
        <v>329.77977151358482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2.9</v>
      </c>
      <c r="FE6" s="13">
        <f>IF('Données projet'!$A$218&gt;35,FE5+FD6-FM5,IF(A6&lt;'Données projet'!$A$218,$FB$205^A6,IF(A6='Données projet'!$A$218,'Données projet'!$B$218,FE5+FD6-FM5)))</f>
        <v>2.7461192933624794</v>
      </c>
      <c r="FF6" s="18">
        <f>FE6*VLOOKUP('Données projet'!$B$16,Paramètres!$A$1:$I$89,3,0)*VLOOKUP('Données projet'!$B$16,Paramètres!$A$1:$I$89,5,0)</f>
        <v>2.3990098146814622</v>
      </c>
      <c r="FG6" s="14">
        <f t="shared" si="47"/>
        <v>0.99850067298942213</v>
      </c>
      <c r="FH6" s="22">
        <f t="shared" si="22"/>
        <v>5.9173307660267902</v>
      </c>
      <c r="FI6" s="60">
        <f t="shared" si="23"/>
        <v>185.96968141869721</v>
      </c>
      <c r="FJ6" s="60">
        <f ca="1">AVERAGE(OFFSET($FI$3,0,0,'Données projet'!$E$16+1,1))-AVERAGE(OFFSET($H$3,0,0,'Données projet'!$E$16+1,1))</f>
        <v>396.99335548279453</v>
      </c>
      <c r="FK6" s="60">
        <f t="shared" si="48"/>
        <v>388.89849573746335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48.105186541637387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4.6150000000000002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16.921666666666667</v>
      </c>
      <c r="H7" s="68">
        <f t="shared" si="1"/>
        <v>188.98000000000002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0">
        <f t="shared" si="0"/>
        <v>187.95242292096458</v>
      </c>
      <c r="S7" s="60">
        <f ca="1">AVERAGE(OFFSET($R$3,0,0,'Données projet'!$E$9+1,1))-AVERAGE(OFFSET($H$3,0,0,'Données projet'!$E$9+1,1))</f>
        <v>550.53475891182575</v>
      </c>
      <c r="T7" s="60">
        <f t="shared" si="34"/>
        <v>350.2500324347194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187.96973022796297</v>
      </c>
      <c r="AN7" s="60">
        <f ca="1">AVERAGE(OFFSET($AM$3,0,0,'Données projet'!$E$10+1,1))-AVERAGE(OFFSET($H$3,0,0,'Données projet'!$E$10+1,1))</f>
        <v>513.16577009788818</v>
      </c>
      <c r="AO7" s="60">
        <f t="shared" si="36"/>
        <v>289.37159333739146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1.1099999999999999</v>
      </c>
      <c r="BD7" s="13">
        <f>IF('Données projet'!$A$88&gt;35,BD6+BC7-BL6,IF(A7&lt;'Données projet'!$A$88,$BA$205^A7,IF(A7='Données projet'!$A$88,'Données projet'!$B$88,BD6+BC7-BL6)))</f>
        <v>2.6189619666389237</v>
      </c>
      <c r="BE7" s="14">
        <f>BD7*VLOOKUP('Données projet'!$B$11,Paramètres!$A$1:$I$89,3,0)*VLOOKUP('Données projet'!$B$11,Paramètres!$A$1:$I$89,5,0)</f>
        <v>1.9202229139396587</v>
      </c>
      <c r="BF7" s="14">
        <f t="shared" si="37"/>
        <v>0.82020342951495628</v>
      </c>
      <c r="BG7" s="22">
        <f t="shared" si="7"/>
        <v>4.7729092148501211</v>
      </c>
      <c r="BH7" s="60">
        <f t="shared" si="8"/>
        <v>187.44017765786325</v>
      </c>
      <c r="BI7" s="60">
        <f ca="1">AVERAGE(OFFSET($BH$3,0,0,'Données projet'!$E$11+1,1))-AVERAGE(OFFSET($H$3,0,0,'Données projet'!$E$11+1,1))</f>
        <v>366.5170155168056</v>
      </c>
      <c r="BJ7" s="60">
        <f t="shared" si="38"/>
        <v>394.05057214541966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0">
        <f t="shared" si="11"/>
        <v>213.07273675779206</v>
      </c>
      <c r="CD7" s="60">
        <f ca="1">AVERAGE(OFFSET($CC$3,0,0,'Données projet'!$E$12+1,1))-AVERAGE(OFFSET($H$3,0,0,'Données projet'!$E$12+1,1))</f>
        <v>333.512642972663</v>
      </c>
      <c r="CE7" s="60">
        <f t="shared" si="40"/>
        <v>464.18634682168488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2.2731261974102144</v>
      </c>
      <c r="CV7" s="14">
        <f t="shared" si="41"/>
        <v>0.95206068424520052</v>
      </c>
      <c r="CW7" s="22">
        <f t="shared" si="13"/>
        <v>5.617200485549847</v>
      </c>
      <c r="CX7" s="60">
        <f t="shared" si="14"/>
        <v>188.28446892856297</v>
      </c>
      <c r="CY7" s="60">
        <f ca="1">AVERAGE(OFFSET($CX$3,0,0,'Données projet'!$E$13+1,1))-AVERAGE(OFFSET($H$3,0,0,'Données projet'!$E$13+1,1))</f>
        <v>539.76438066597848</v>
      </c>
      <c r="CZ7" s="60">
        <f t="shared" si="42"/>
        <v>303.47238367344937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0">
        <f t="shared" si="17"/>
        <v>187.73327621114112</v>
      </c>
      <c r="DT7" s="60">
        <f ca="1">AVERAGE(OFFSET($DS$3,0,0,'Données projet'!$E$14+1,1))-AVERAGE(OFFSET($H$3,0,0,'Données projet'!$E$14+1,1))</f>
        <v>493.19478874005267</v>
      </c>
      <c r="DU7" s="60">
        <f t="shared" si="44"/>
        <v>278.78337903007821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2.8</v>
      </c>
      <c r="EJ7" s="13">
        <f>IF('Données projet'!$A$192&gt;35,EJ6+EI7-ER6,IF(A7&lt;'Données projet'!$A$192,$EG$205^A7,IF(A7='Données projet'!$A$192,'Données projet'!$B$192,EJ6+EI7-ER6)))</f>
        <v>2.2368538294402907</v>
      </c>
      <c r="EK7" s="18">
        <f>EJ7*VLOOKUP('Données projet'!$B$15,Paramètres!$A$1:$I$89,3,0)*VLOOKUP('Données projet'!$B$15,Paramètres!$A$1:$I$89,5,0)</f>
        <v>1.9192205856597695</v>
      </c>
      <c r="EL7" s="14">
        <f t="shared" si="45"/>
        <v>0.8198251186449117</v>
      </c>
      <c r="EM7" s="22">
        <f t="shared" si="19"/>
        <v>4.770504601663986</v>
      </c>
      <c r="EN7" s="60">
        <f t="shared" si="20"/>
        <v>187.4377730446771</v>
      </c>
      <c r="EO7" s="60">
        <f ca="1">AVERAGE(OFFSET($EN$3,0,0,'Données projet'!$E$15+1,1))-AVERAGE(OFFSET($H$3,0,0,'Données projet'!$E$15+1,1))</f>
        <v>698.30188737818639</v>
      </c>
      <c r="EP7" s="60">
        <f t="shared" si="46"/>
        <v>329.77977151358482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2.9</v>
      </c>
      <c r="FE7" s="13">
        <f>IF('Données projet'!$A$218&gt;35,FE6+FD7-FM6,IF(A7&lt;'Données projet'!$A$218,$FB$205^A7,IF(A7='Données projet'!$A$218,'Données projet'!$B$218,FE6+FD7-FM6)))</f>
        <v>3.8455565234187756</v>
      </c>
      <c r="FF7" s="18">
        <f>FE7*VLOOKUP('Données projet'!$B$16,Paramètres!$A$1:$I$89,3,0)*VLOOKUP('Données projet'!$B$16,Paramètres!$A$1:$I$89,5,0)</f>
        <v>3.3594781788586427</v>
      </c>
      <c r="FG7" s="14">
        <f t="shared" si="47"/>
        <v>1.3445156106562728</v>
      </c>
      <c r="FH7" s="22">
        <f t="shared" si="22"/>
        <v>8.1927891834051447</v>
      </c>
      <c r="FI7" s="60">
        <f t="shared" si="23"/>
        <v>190.86005762641827</v>
      </c>
      <c r="FJ7" s="60">
        <f ca="1">AVERAGE(OFFSET($FI$3,0,0,'Données projet'!$E$16+1,1))-AVERAGE(OFFSET($H$3,0,0,'Données projet'!$E$16+1,1))</f>
        <v>396.99335548279453</v>
      </c>
      <c r="FK7" s="60">
        <f t="shared" si="48"/>
        <v>388.89849573746335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48.485012605670242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4.6150000000000002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16.921666666666667</v>
      </c>
      <c r="H8" s="68">
        <f t="shared" si="1"/>
        <v>188.98000000000002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0">
        <f t="shared" si="0"/>
        <v>191.75983391791524</v>
      </c>
      <c r="S8" s="60">
        <f ca="1">AVERAGE(OFFSET($R$3,0,0,'Données projet'!$E$9+1,1))-AVERAGE(OFFSET($H$3,0,0,'Données projet'!$E$9+1,1))</f>
        <v>550.53475891182575</v>
      </c>
      <c r="T8" s="60">
        <f t="shared" si="34"/>
        <v>350.2500324347194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191.60927159472445</v>
      </c>
      <c r="AN8" s="60">
        <f ca="1">AVERAGE(OFFSET($AM$3,0,0,'Données projet'!$E$10+1,1))-AVERAGE(OFFSET($H$3,0,0,'Données projet'!$E$10+1,1))</f>
        <v>513.16577009788818</v>
      </c>
      <c r="AO8" s="60">
        <f t="shared" si="36"/>
        <v>289.37159333739146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1.1099999999999999</v>
      </c>
      <c r="BD8" s="13">
        <f>IF('Données projet'!$A$88&gt;35,BD7+BC8-BL7,IF(A8&lt;'Données projet'!$A$88,$BA$205^A8,IF(A8='Données projet'!$A$88,'Données projet'!$B$88,BD7+BC8-BL7)))</f>
        <v>3.331666249791537</v>
      </c>
      <c r="BE8" s="14">
        <f>BD8*VLOOKUP('Données projet'!$B$11,Paramètres!$A$1:$I$89,3,0)*VLOOKUP('Données projet'!$B$11,Paramètres!$A$1:$I$89,5,0)</f>
        <v>2.4427776943471549</v>
      </c>
      <c r="BF8" s="14">
        <f t="shared" si="37"/>
        <v>1.0145800520471964</v>
      </c>
      <c r="BG8" s="22">
        <f t="shared" si="7"/>
        <v>6.0215647416368272</v>
      </c>
      <c r="BH8" s="60">
        <f t="shared" si="8"/>
        <v>191.27959082048662</v>
      </c>
      <c r="BI8" s="60">
        <f ca="1">AVERAGE(OFFSET($BH$3,0,0,'Données projet'!$E$11+1,1))-AVERAGE(OFFSET($H$3,0,0,'Données projet'!$E$11+1,1))</f>
        <v>366.5170155168056</v>
      </c>
      <c r="BJ8" s="60">
        <f t="shared" si="38"/>
        <v>394.05057214541966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0">
        <f t="shared" si="11"/>
        <v>243.34051160965484</v>
      </c>
      <c r="CD8" s="60">
        <f ca="1">AVERAGE(OFFSET($CC$3,0,0,'Données projet'!$E$12+1,1))-AVERAGE(OFFSET($H$3,0,0,'Données projet'!$E$12+1,1))</f>
        <v>333.512642972663</v>
      </c>
      <c r="CE8" s="60">
        <f t="shared" si="40"/>
        <v>464.18634682168488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2.740223659001499</v>
      </c>
      <c r="CV8" s="14">
        <f t="shared" si="41"/>
        <v>1.1230000737947632</v>
      </c>
      <c r="CW8" s="22">
        <f t="shared" si="13"/>
        <v>6.7284480012868242</v>
      </c>
      <c r="CX8" s="60">
        <f t="shared" si="14"/>
        <v>191.98647408013662</v>
      </c>
      <c r="CY8" s="60">
        <f ca="1">AVERAGE(OFFSET($CX$3,0,0,'Données projet'!$E$13+1,1))-AVERAGE(OFFSET($H$3,0,0,'Données projet'!$E$13+1,1))</f>
        <v>539.76438066597848</v>
      </c>
      <c r="CZ8" s="60">
        <f t="shared" si="42"/>
        <v>303.47238367344937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0">
        <f t="shared" si="17"/>
        <v>191.3258979221477</v>
      </c>
      <c r="DT8" s="60">
        <f ca="1">AVERAGE(OFFSET($DS$3,0,0,'Données projet'!$E$14+1,1))-AVERAGE(OFFSET($H$3,0,0,'Données projet'!$E$14+1,1))</f>
        <v>493.19478874005267</v>
      </c>
      <c r="DU8" s="60">
        <f t="shared" si="44"/>
        <v>278.78337903007821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2.8</v>
      </c>
      <c r="EJ8" s="13">
        <f>IF('Données projet'!$A$192&gt;35,EJ7+EI8-ER7,IF(A8&lt;'Données projet'!$A$192,$EG$205^A8,IF(A8='Données projet'!$A$192,'Données projet'!$B$192,EJ7+EI8-ER7)))</f>
        <v>2.735564799734763</v>
      </c>
      <c r="EK8" s="18">
        <f>EJ8*VLOOKUP('Données projet'!$B$15,Paramètres!$A$1:$I$89,3,0)*VLOOKUP('Données projet'!$B$15,Paramètres!$A$1:$I$89,5,0)</f>
        <v>2.3471145981724271</v>
      </c>
      <c r="EL8" s="14">
        <f t="shared" si="45"/>
        <v>0.97939113254888255</v>
      </c>
      <c r="EM8" s="22">
        <f t="shared" si="19"/>
        <v>5.7936641476729482</v>
      </c>
      <c r="EN8" s="60">
        <f t="shared" si="20"/>
        <v>191.05169022652274</v>
      </c>
      <c r="EO8" s="60">
        <f ca="1">AVERAGE(OFFSET($EN$3,0,0,'Données projet'!$E$15+1,1))-AVERAGE(OFFSET($H$3,0,0,'Données projet'!$E$15+1,1))</f>
        <v>698.30188737818639</v>
      </c>
      <c r="EP8" s="60">
        <f t="shared" si="46"/>
        <v>329.77977151358482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2.9</v>
      </c>
      <c r="FE8" s="13">
        <f>IF('Données projet'!$A$218&gt;35,FE7+FD8-FM7,IF(A8&lt;'Données projet'!$A$218,$FB$205^A8,IF(A8='Données projet'!$A$218,'Données projet'!$B$218,FE7+FD8-FM7)))</f>
        <v>5.3851648071345055</v>
      </c>
      <c r="FF8" s="18">
        <f>FE8*VLOOKUP('Données projet'!$B$16,Paramètres!$A$1:$I$89,3,0)*VLOOKUP('Données projet'!$B$16,Paramètres!$A$1:$I$89,5,0)</f>
        <v>4.7044799755127045</v>
      </c>
      <c r="FG8" s="14">
        <f t="shared" si="47"/>
        <v>1.8104366638895204</v>
      </c>
      <c r="FH8" s="22">
        <f t="shared" si="22"/>
        <v>11.346813146958874</v>
      </c>
      <c r="FI8" s="60">
        <f t="shared" si="23"/>
        <v>196.60483922580866</v>
      </c>
      <c r="FJ8" s="60">
        <f ca="1">AVERAGE(OFFSET($FI$3,0,0,'Données projet'!$E$16+1,1))-AVERAGE(OFFSET($H$3,0,0,'Données projet'!$E$16+1,1))</f>
        <v>396.99335548279453</v>
      </c>
      <c r="FK8" s="60">
        <f t="shared" si="48"/>
        <v>388.89849573746335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48.858249536656004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4.6150000000000002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16.921666666666667</v>
      </c>
      <c r="H9" s="68">
        <f t="shared" si="1"/>
        <v>188.98000000000002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0">
        <f t="shared" si="0"/>
        <v>195.8246101281498</v>
      </c>
      <c r="S9" s="60">
        <f ca="1">AVERAGE(OFFSET($R$3,0,0,'Données projet'!$E$9+1,1))-AVERAGE(OFFSET($H$3,0,0,'Données projet'!$E$9+1,1))</f>
        <v>550.53475891182575</v>
      </c>
      <c r="T9" s="60">
        <f t="shared" si="34"/>
        <v>350.2500324347194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195.43325724871752</v>
      </c>
      <c r="AN9" s="60">
        <f ca="1">AVERAGE(OFFSET($AM$3,0,0,'Données projet'!$E$10+1,1))-AVERAGE(OFFSET($H$3,0,0,'Données projet'!$E$10+1,1))</f>
        <v>513.16577009788818</v>
      </c>
      <c r="AO9" s="60">
        <f t="shared" si="36"/>
        <v>289.37159333739146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1.1099999999999999</v>
      </c>
      <c r="BD9" s="13">
        <f>IF('Données projet'!$A$88&gt;35,BD8+BC9-BL8,IF(A9&lt;'Données projet'!$A$88,$BA$205^A9,IF(A9='Données projet'!$A$88,'Données projet'!$B$88,BD8+BC9-BL8)))</f>
        <v>4.2383204267167436</v>
      </c>
      <c r="BE9" s="14">
        <f>BD9*VLOOKUP('Données projet'!$B$11,Paramètres!$A$1:$I$89,3,0)*VLOOKUP('Données projet'!$B$11,Paramètres!$A$1:$I$89,5,0)</f>
        <v>3.1075365368687162</v>
      </c>
      <c r="BF9" s="14">
        <f t="shared" si="37"/>
        <v>1.2550211873910744</v>
      </c>
      <c r="BG9" s="22">
        <f t="shared" si="7"/>
        <v>7.5981213697524668</v>
      </c>
      <c r="BH9" s="60">
        <f t="shared" si="8"/>
        <v>195.42316405459951</v>
      </c>
      <c r="BI9" s="60">
        <f ca="1">AVERAGE(OFFSET($BH$3,0,0,'Données projet'!$E$11+1,1))-AVERAGE(OFFSET($H$3,0,0,'Données projet'!$E$11+1,1))</f>
        <v>366.5170155168056</v>
      </c>
      <c r="BJ9" s="60">
        <f t="shared" si="38"/>
        <v>394.05057214541966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39</v>
      </c>
      <c r="BZ9" s="14">
        <f>BY9*VLOOKUP('Données projet'!$B$12,Paramètres!$A$1:$I$89,3,0)*VLOOKUP('Données projet'!$B$12,Paramètres!$A$1:$I$89,5,0)</f>
        <v>35.287199999999999</v>
      </c>
      <c r="CA9" s="14">
        <f t="shared" si="39"/>
        <v>10.740552489323523</v>
      </c>
      <c r="CB9" s="22">
        <f t="shared" si="10"/>
        <v>80.165002252238452</v>
      </c>
      <c r="CC9" s="60">
        <f t="shared" si="11"/>
        <v>267.99004493708549</v>
      </c>
      <c r="CD9" s="60">
        <f ca="1">AVERAGE(OFFSET($CC$3,0,0,'Données projet'!$E$12+1,1))-AVERAGE(OFFSET($H$3,0,0,'Données projet'!$E$12+1,1))</f>
        <v>333.512642972663</v>
      </c>
      <c r="CE9" s="60">
        <f t="shared" si="40"/>
        <v>464.18634682168488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3.3033034901038101</v>
      </c>
      <c r="CV9" s="14">
        <f t="shared" si="41"/>
        <v>1.3246310730107231</v>
      </c>
      <c r="CW9" s="22">
        <f t="shared" si="13"/>
        <v>8.0603193640911446</v>
      </c>
      <c r="CX9" s="60">
        <f t="shared" si="14"/>
        <v>195.88536204893819</v>
      </c>
      <c r="CY9" s="60">
        <f ca="1">AVERAGE(OFFSET($CX$3,0,0,'Données projet'!$E$13+1,1))-AVERAGE(OFFSET($H$3,0,0,'Données projet'!$E$13+1,1))</f>
        <v>539.76438066597848</v>
      </c>
      <c r="CZ9" s="60">
        <f t="shared" si="42"/>
        <v>303.47238367344937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0">
        <f t="shared" si="17"/>
        <v>195.09362212835447</v>
      </c>
      <c r="DT9" s="60">
        <f ca="1">AVERAGE(OFFSET($DS$3,0,0,'Données projet'!$E$14+1,1))-AVERAGE(OFFSET($H$3,0,0,'Données projet'!$E$14+1,1))</f>
        <v>493.19478874005267</v>
      </c>
      <c r="DU9" s="60">
        <f t="shared" si="44"/>
        <v>278.78337903007821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2.8</v>
      </c>
      <c r="EJ9" s="13">
        <f>IF('Données projet'!$A$192&gt;35,EJ8+EI9-ER8,IF(A9&lt;'Données projet'!$A$192,$EG$205^A9,IF(A9='Données projet'!$A$192,'Données projet'!$B$192,EJ8+EI9-ER8)))</f>
        <v>3.3454643638562565</v>
      </c>
      <c r="EK9" s="18">
        <f>EJ9*VLOOKUP('Données projet'!$B$15,Paramètres!$A$1:$I$89,3,0)*VLOOKUP('Données projet'!$B$15,Paramètres!$A$1:$I$89,5,0)</f>
        <v>2.8704084241886685</v>
      </c>
      <c r="EL9" s="14">
        <f t="shared" si="45"/>
        <v>1.170014151433729</v>
      </c>
      <c r="EM9" s="22">
        <f t="shared" si="19"/>
        <v>7.0370693192090075</v>
      </c>
      <c r="EN9" s="60">
        <f t="shared" si="20"/>
        <v>194.86211200405603</v>
      </c>
      <c r="EO9" s="60">
        <f ca="1">AVERAGE(OFFSET($EN$3,0,0,'Données projet'!$E$15+1,1))-AVERAGE(OFFSET($H$3,0,0,'Données projet'!$E$15+1,1))</f>
        <v>698.30188737818639</v>
      </c>
      <c r="EP9" s="60">
        <f t="shared" si="46"/>
        <v>329.77977151358482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2.9</v>
      </c>
      <c r="FE9" s="13">
        <f>IF('Données projet'!$A$218&gt;35,FE8+FD9-FM8,IF(A9&lt;'Données projet'!$A$218,$FB$205^A9,IF(A9='Données projet'!$A$218,'Données projet'!$B$218,FE8+FD9-FM8)))</f>
        <v>7.5411711733776423</v>
      </c>
      <c r="FF9" s="18">
        <f>FE9*VLOOKUP('Données projet'!$B$16,Paramètres!$A$1:$I$89,3,0)*VLOOKUP('Données projet'!$B$16,Paramètres!$A$1:$I$89,5,0)</f>
        <v>6.5879671370627086</v>
      </c>
      <c r="FG9" s="14">
        <f t="shared" si="47"/>
        <v>2.4378154392387783</v>
      </c>
      <c r="FH9" s="22">
        <f t="shared" si="22"/>
        <v>15.71990465372509</v>
      </c>
      <c r="FI9" s="60">
        <f t="shared" si="23"/>
        <v>203.54494733857211</v>
      </c>
      <c r="FJ9" s="60">
        <f ca="1">AVERAGE(OFFSET($FI$3,0,0,'Données projet'!$E$16+1,1))-AVERAGE(OFFSET($H$3,0,0,'Données projet'!$E$16+1,1))</f>
        <v>396.99335548279453</v>
      </c>
      <c r="FK9" s="60">
        <f t="shared" si="48"/>
        <v>388.89849573746335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49.22501164132192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4.6150000000000002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16.921666666666667</v>
      </c>
      <c r="H10" s="68">
        <f t="shared" si="1"/>
        <v>188.98000000000002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0">
        <f t="shared" si="0"/>
        <v>200.2123361242185</v>
      </c>
      <c r="S10" s="60">
        <f ca="1">AVERAGE(OFFSET($R$3,0,0,'Données projet'!$E$9+1,1))-AVERAGE(OFFSET($H$3,0,0,'Données projet'!$E$9+1,1))</f>
        <v>550.53475891182575</v>
      </c>
      <c r="T10" s="60">
        <f t="shared" si="34"/>
        <v>350.2500324347194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199.48356303796749</v>
      </c>
      <c r="AN10" s="60">
        <f ca="1">AVERAGE(OFFSET($AM$3,0,0,'Données projet'!$E$10+1,1))-AVERAGE(OFFSET($H$3,0,0,'Données projet'!$E$10+1,1))</f>
        <v>513.16577009788818</v>
      </c>
      <c r="AO10" s="60">
        <f t="shared" si="36"/>
        <v>289.37159333739146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1.1099999999999999</v>
      </c>
      <c r="BD10" s="13">
        <f>IF('Données projet'!$A$88&gt;35,BD9+BC10-BL9,IF(A10&lt;'Données projet'!$A$88,$BA$205^A10,IF(A10='Données projet'!$A$88,'Données projet'!$B$88,BD9+BC10-BL9)))</f>
        <v>5.3917045384267919</v>
      </c>
      <c r="BE10" s="14">
        <f>BD10*VLOOKUP('Données projet'!$B$11,Paramètres!$A$1:$I$89,3,0)*VLOOKUP('Données projet'!$B$11,Paramètres!$A$1:$I$89,5,0)</f>
        <v>3.9531977675745238</v>
      </c>
      <c r="BF10" s="14">
        <f t="shared" si="37"/>
        <v>1.5524434741471074</v>
      </c>
      <c r="BG10" s="22">
        <f t="shared" si="7"/>
        <v>9.5889918293318406</v>
      </c>
      <c r="BH10" s="60">
        <f t="shared" si="8"/>
        <v>199.95772194412751</v>
      </c>
      <c r="BI10" s="60">
        <f ca="1">AVERAGE(OFFSET($BH$3,0,0,'Données projet'!$E$11+1,1))-AVERAGE(OFFSET($H$3,0,0,'Données projet'!$E$11+1,1))</f>
        <v>366.5170155168056</v>
      </c>
      <c r="BJ10" s="60">
        <f t="shared" si="38"/>
        <v>394.05057214541966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50</v>
      </c>
      <c r="BZ10" s="14">
        <f>BY10*VLOOKUP('Données projet'!$B$12,Paramètres!$A$1:$I$89,3,0)*VLOOKUP('Données projet'!$B$12,Paramètres!$A$1:$I$89,5,0)</f>
        <v>45.239999999999995</v>
      </c>
      <c r="CA10" s="14">
        <f t="shared" si="39"/>
        <v>13.377403626687906</v>
      </c>
      <c r="CB10" s="22">
        <f t="shared" si="10"/>
        <v>102.09197798314808</v>
      </c>
      <c r="CC10" s="60">
        <f t="shared" si="11"/>
        <v>292.46070809794378</v>
      </c>
      <c r="CD10" s="60">
        <f ca="1">AVERAGE(OFFSET($CC$3,0,0,'Données projet'!$E$12+1,1))-AVERAGE(OFFSET($H$3,0,0,'Données projet'!$E$12+1,1))</f>
        <v>333.512642972663</v>
      </c>
      <c r="CE10" s="60">
        <f t="shared" si="40"/>
        <v>464.18634682168488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3.982088802090022</v>
      </c>
      <c r="CV10" s="14">
        <f t="shared" si="41"/>
        <v>1.5624642602705792</v>
      </c>
      <c r="CW10" s="22">
        <f t="shared" si="13"/>
        <v>9.6567632502780452</v>
      </c>
      <c r="CX10" s="60">
        <f t="shared" si="14"/>
        <v>200.02549336507371</v>
      </c>
      <c r="CY10" s="60">
        <f ca="1">AVERAGE(OFFSET($CX$3,0,0,'Données projet'!$E$13+1,1))-AVERAGE(OFFSET($H$3,0,0,'Données projet'!$E$13+1,1))</f>
        <v>539.76438066597848</v>
      </c>
      <c r="CZ10" s="60">
        <f t="shared" si="42"/>
        <v>303.47238367344937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0">
        <f t="shared" si="17"/>
        <v>199.0764588510545</v>
      </c>
      <c r="DT10" s="60">
        <f ca="1">AVERAGE(OFFSET($DS$3,0,0,'Données projet'!$E$14+1,1))-AVERAGE(OFFSET($H$3,0,0,'Données projet'!$E$14+1,1))</f>
        <v>493.19478874005267</v>
      </c>
      <c r="DU10" s="60">
        <f t="shared" si="44"/>
        <v>278.78337903007821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2.8</v>
      </c>
      <c r="EJ10" s="13">
        <f>IF('Données projet'!$A$192&gt;35,EJ9+EI10-ER9,IF(A10&lt;'Données projet'!$A$192,$EG$205^A10,IF(A10='Données projet'!$A$192,'Données projet'!$B$192,EJ9+EI10-ER9)))</f>
        <v>4.091342237960264</v>
      </c>
      <c r="EK10" s="18">
        <f>EJ10*VLOOKUP('Données projet'!$B$15,Paramètres!$A$1:$I$89,3,0)*VLOOKUP('Données projet'!$B$15,Paramètres!$A$1:$I$89,5,0)</f>
        <v>3.510371640169907</v>
      </c>
      <c r="EL10" s="14">
        <f t="shared" si="45"/>
        <v>1.3977389309136552</v>
      </c>
      <c r="EM10" s="22">
        <f t="shared" si="19"/>
        <v>8.5482925779705372</v>
      </c>
      <c r="EN10" s="60">
        <f t="shared" si="20"/>
        <v>198.91702269276621</v>
      </c>
      <c r="EO10" s="60">
        <f ca="1">AVERAGE(OFFSET($EN$3,0,0,'Données projet'!$E$15+1,1))-AVERAGE(OFFSET($H$3,0,0,'Données projet'!$E$15+1,1))</f>
        <v>698.30188737818639</v>
      </c>
      <c r="EP10" s="60">
        <f t="shared" si="46"/>
        <v>329.77977151358482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2.9</v>
      </c>
      <c r="FE10" s="13">
        <f>IF('Données projet'!$A$218&gt;35,FE9+FD10-FM9,IF(A10&lt;'Données projet'!$A$218,$FB$205^A10,IF(A10='Données projet'!$A$218,'Données projet'!$B$218,FE9+FD10-FM9)))</f>
        <v>10.560356962676241</v>
      </c>
      <c r="FF10" s="18">
        <f>FE10*VLOOKUP('Données projet'!$B$16,Paramètres!$A$1:$I$89,3,0)*VLOOKUP('Données projet'!$B$16,Paramètres!$A$1:$I$89,5,0)</f>
        <v>9.2255278425939657</v>
      </c>
      <c r="FG10" s="14">
        <f t="shared" si="47"/>
        <v>3.282602608711652</v>
      </c>
      <c r="FH10" s="22">
        <f t="shared" si="22"/>
        <v>21.784993869357283</v>
      </c>
      <c r="FI10" s="60">
        <f t="shared" si="23"/>
        <v>212.15372398415298</v>
      </c>
      <c r="FJ10" s="60">
        <f ca="1">AVERAGE(OFFSET($FI$3,0,0,'Données projet'!$E$16+1,1))-AVERAGE(OFFSET($H$3,0,0,'Données projet'!$E$16+1,1))</f>
        <v>396.99335548279453</v>
      </c>
      <c r="FK10" s="60">
        <f t="shared" si="48"/>
        <v>388.89849573746335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49.585411243429121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4.6150000000000002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16.921666666666667</v>
      </c>
      <c r="H11" s="68">
        <f t="shared" si="1"/>
        <v>188.98000000000002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0">
        <f t="shared" si="0"/>
        <v>205.00374751998973</v>
      </c>
      <c r="S11" s="60">
        <f ca="1">AVERAGE(OFFSET($R$3,0,0,'Données projet'!$E$9+1,1))-AVERAGE(OFFSET($H$3,0,0,'Données projet'!$E$9+1,1))</f>
        <v>550.53475891182575</v>
      </c>
      <c r="T11" s="60">
        <f t="shared" si="34"/>
        <v>350.2500324347194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203.81034180423399</v>
      </c>
      <c r="AN11" s="60">
        <f ca="1">AVERAGE(OFFSET($AM$3,0,0,'Données projet'!$E$10+1,1))-AVERAGE(OFFSET($H$3,0,0,'Données projet'!$E$10+1,1))</f>
        <v>513.16577009788818</v>
      </c>
      <c r="AO11" s="60">
        <f t="shared" si="36"/>
        <v>289.37159333739146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1.1099999999999999</v>
      </c>
      <c r="BD11" s="13">
        <f>IF('Données projet'!$A$88&gt;35,BD10+BC11-BL10,IF(A11&lt;'Données projet'!$A$88,$BA$205^A11,IF(A11='Données projet'!$A$88,'Données projet'!$B$88,BD10+BC11-BL10)))</f>
        <v>6.8589617827012184</v>
      </c>
      <c r="BE11" s="14">
        <f>BD11*VLOOKUP('Données projet'!$B$11,Paramètres!$A$1:$I$89,3,0)*VLOOKUP('Données projet'!$B$11,Paramètres!$A$1:$I$89,5,0)</f>
        <v>5.0289907790765334</v>
      </c>
      <c r="BF11" s="14">
        <f t="shared" si="37"/>
        <v>1.920350640001538</v>
      </c>
      <c r="BG11" s="22">
        <f t="shared" si="7"/>
        <v>12.103436304894307</v>
      </c>
      <c r="BH11" s="60">
        <f t="shared" si="8"/>
        <v>204.99292938263815</v>
      </c>
      <c r="BI11" s="60">
        <f ca="1">AVERAGE(OFFSET($BH$3,0,0,'Données projet'!$E$11+1,1))-AVERAGE(OFFSET($H$3,0,0,'Données projet'!$E$11+1,1))</f>
        <v>366.5170155168056</v>
      </c>
      <c r="BJ11" s="60">
        <f t="shared" si="38"/>
        <v>394.05057214541966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61</v>
      </c>
      <c r="BZ11" s="14">
        <f>BY11*VLOOKUP('Données projet'!$B$12,Paramètres!$A$1:$I$89,3,0)*VLOOKUP('Données projet'!$B$12,Paramètres!$A$1:$I$89,5,0)</f>
        <v>55.192799999999998</v>
      </c>
      <c r="CA11" s="14">
        <f t="shared" si="39"/>
        <v>15.94701406628168</v>
      </c>
      <c r="CB11" s="22">
        <f t="shared" si="10"/>
        <v>123.90184283210725</v>
      </c>
      <c r="CC11" s="60">
        <f t="shared" si="11"/>
        <v>316.79133590985111</v>
      </c>
      <c r="CD11" s="60">
        <f ca="1">AVERAGE(OFFSET($CC$3,0,0,'Données projet'!$E$12+1,1))-AVERAGE(OFFSET($H$3,0,0,'Données projet'!$E$12+1,1))</f>
        <v>333.512642972663</v>
      </c>
      <c r="CE11" s="60">
        <f t="shared" si="40"/>
        <v>464.18634682168488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4.8003555456638995</v>
      </c>
      <c r="CV11" s="14">
        <f t="shared" si="41"/>
        <v>1.8429996203200378</v>
      </c>
      <c r="CW11" s="22">
        <f t="shared" si="13"/>
        <v>11.570510247422023</v>
      </c>
      <c r="CX11" s="60">
        <f t="shared" si="14"/>
        <v>204.46000332516587</v>
      </c>
      <c r="CY11" s="60">
        <f ca="1">AVERAGE(OFFSET($CX$3,0,0,'Données projet'!$E$13+1,1))-AVERAGE(OFFSET($H$3,0,0,'Données projet'!$E$13+1,1))</f>
        <v>539.76438066597848</v>
      </c>
      <c r="CZ11" s="60">
        <f t="shared" si="42"/>
        <v>303.47238367344937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0">
        <f t="shared" si="17"/>
        <v>203.32232136000729</v>
      </c>
      <c r="DT11" s="60">
        <f ca="1">AVERAGE(OFFSET($DS$3,0,0,'Données projet'!$E$14+1,1))-AVERAGE(OFFSET($H$3,0,0,'Données projet'!$E$14+1,1))</f>
        <v>493.19478874005267</v>
      </c>
      <c r="DU11" s="60">
        <f t="shared" si="44"/>
        <v>278.78337903007821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2.8</v>
      </c>
      <c r="EJ11" s="13">
        <f>IF('Données projet'!$A$192&gt;35,EJ10+EI11-ER10,IF(A11&lt;'Données projet'!$A$192,$EG$205^A11,IF(A11='Données projet'!$A$192,'Données projet'!$B$192,EJ10+EI11-ER10)))</f>
        <v>5.0035150542816931</v>
      </c>
      <c r="EK11" s="18">
        <f>EJ11*VLOOKUP('Données projet'!$B$15,Paramètres!$A$1:$I$89,3,0)*VLOOKUP('Données projet'!$B$15,Paramètres!$A$1:$I$89,5,0)</f>
        <v>4.293015916573693</v>
      </c>
      <c r="EL11" s="14">
        <f t="shared" si="45"/>
        <v>1.669786742833518</v>
      </c>
      <c r="EM11" s="22">
        <f t="shared" si="19"/>
        <v>10.385214631800892</v>
      </c>
      <c r="EN11" s="60">
        <f t="shared" si="20"/>
        <v>203.27470770954474</v>
      </c>
      <c r="EO11" s="60">
        <f ca="1">AVERAGE(OFFSET($EN$3,0,0,'Données projet'!$E$15+1,1))-AVERAGE(OFFSET($H$3,0,0,'Données projet'!$E$15+1,1))</f>
        <v>698.30188737818639</v>
      </c>
      <c r="EP11" s="60">
        <f t="shared" si="46"/>
        <v>329.77977151358482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2.9</v>
      </c>
      <c r="FE11" s="13">
        <f>IF('Données projet'!$A$218&gt;35,FE10+FD11-FM10,IF(A11&lt;'Données projet'!$A$218,$FB$205^A11,IF(A11='Données projet'!$A$218,'Données projet'!$B$218,FE10+FD11-FM10)))</f>
        <v>14.7883049748087</v>
      </c>
      <c r="FF11" s="18">
        <f>FE11*VLOOKUP('Données projet'!$B$16,Paramètres!$A$1:$I$89,3,0)*VLOOKUP('Données projet'!$B$16,Paramètres!$A$1:$I$89,5,0)</f>
        <v>12.919063225992881</v>
      </c>
      <c r="FG11" s="14">
        <f t="shared" si="47"/>
        <v>4.4201376828121335</v>
      </c>
      <c r="FH11" s="22">
        <f t="shared" si="22"/>
        <v>30.199108249502064</v>
      </c>
      <c r="FI11" s="60">
        <f t="shared" si="23"/>
        <v>223.08860132724593</v>
      </c>
      <c r="FJ11" s="60">
        <f ca="1">AVERAGE(OFFSET($FI$3,0,0,'Données projet'!$E$16+1,1))-AVERAGE(OFFSET($H$3,0,0,'Données projet'!$E$16+1,1))</f>
        <v>396.99335548279453</v>
      </c>
      <c r="FK11" s="60">
        <f t="shared" si="48"/>
        <v>388.89849573746335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49.939558718172563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4.6150000000000002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16.921666666666667</v>
      </c>
      <c r="H12" s="68">
        <f t="shared" si="1"/>
        <v>188.98000000000002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0">
        <f t="shared" si="0"/>
        <v>210.29826706237682</v>
      </c>
      <c r="S12" s="60">
        <f ca="1">AVERAGE(OFFSET($R$3,0,0,'Données projet'!$E$9+1,1))-AVERAGE(OFFSET($H$3,0,0,'Données projet'!$E$9+1,1))</f>
        <v>550.53475891182575</v>
      </c>
      <c r="T12" s="60">
        <f t="shared" si="34"/>
        <v>350.2500324347194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208.47368338541784</v>
      </c>
      <c r="AN12" s="60">
        <f ca="1">AVERAGE(OFFSET($AM$3,0,0,'Données projet'!$E$10+1,1))-AVERAGE(OFFSET($H$3,0,0,'Données projet'!$E$10+1,1))</f>
        <v>513.16577009788818</v>
      </c>
      <c r="AO12" s="60">
        <f t="shared" si="36"/>
        <v>289.37159333739146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1.1099999999999999</v>
      </c>
      <c r="BD12" s="13">
        <f>IF('Données projet'!$A$88&gt;35,BD11+BC12-BL11,IF(A12&lt;'Données projet'!$A$88,$BA$205^A12,IF(A12='Données projet'!$A$88,'Données projet'!$B$88,BD11+BC12-BL11)))</f>
        <v>8.7255071937385704</v>
      </c>
      <c r="BE12" s="14">
        <f>BD12*VLOOKUP('Données projet'!$B$11,Paramètres!$A$1:$I$89,3,0)*VLOOKUP('Données projet'!$B$11,Paramètres!$A$1:$I$89,5,0)</f>
        <v>6.3975418744491197</v>
      </c>
      <c r="BF12" s="14">
        <f t="shared" si="37"/>
        <v>2.3754466052815975</v>
      </c>
      <c r="BG12" s="22">
        <f t="shared" si="7"/>
        <v>15.279621602197665</v>
      </c>
      <c r="BH12" s="60">
        <f t="shared" si="8"/>
        <v>210.66735086414025</v>
      </c>
      <c r="BI12" s="60">
        <f ca="1">AVERAGE(OFFSET($BH$3,0,0,'Données projet'!$E$11+1,1))-AVERAGE(OFFSET($H$3,0,0,'Données projet'!$E$11+1,1))</f>
        <v>366.5170155168056</v>
      </c>
      <c r="BJ12" s="60">
        <f t="shared" si="38"/>
        <v>394.05057214541966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72</v>
      </c>
      <c r="BZ12" s="14">
        <f>BY12*VLOOKUP('Données projet'!$B$12,Paramètres!$A$1:$I$89,3,0)*VLOOKUP('Données projet'!$B$12,Paramètres!$A$1:$I$89,5,0)</f>
        <v>65.145600000000002</v>
      </c>
      <c r="CA12" s="14">
        <f t="shared" si="39"/>
        <v>18.462943001028204</v>
      </c>
      <c r="CB12" s="22">
        <f t="shared" si="10"/>
        <v>145.61821239345747</v>
      </c>
      <c r="CC12" s="60">
        <f t="shared" si="11"/>
        <v>341.00594165540008</v>
      </c>
      <c r="CD12" s="60">
        <f ca="1">AVERAGE(OFFSET($CC$3,0,0,'Données projet'!$E$12+1,1))-AVERAGE(OFFSET($H$3,0,0,'Données projet'!$E$12+1,1))</f>
        <v>333.512642972663</v>
      </c>
      <c r="CE12" s="60">
        <f t="shared" si="40"/>
        <v>464.18634682168488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5.7867653159044812</v>
      </c>
      <c r="CV12" s="14">
        <f t="shared" si="41"/>
        <v>2.1739041889582755</v>
      </c>
      <c r="CW12" s="22">
        <f t="shared" si="13"/>
        <v>13.864832720969302</v>
      </c>
      <c r="CX12" s="60">
        <f t="shared" si="14"/>
        <v>209.25256198291189</v>
      </c>
      <c r="CY12" s="60">
        <f ca="1">AVERAGE(OFFSET($CX$3,0,0,'Données projet'!$E$13+1,1))-AVERAGE(OFFSET($H$3,0,0,'Données projet'!$E$13+1,1))</f>
        <v>539.76438066597848</v>
      </c>
      <c r="CZ12" s="60">
        <f t="shared" si="42"/>
        <v>303.47238367344937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0">
        <f t="shared" si="17"/>
        <v>207.88861111009746</v>
      </c>
      <c r="DT12" s="60">
        <f ca="1">AVERAGE(OFFSET($DS$3,0,0,'Données projet'!$E$14+1,1))-AVERAGE(OFFSET($H$3,0,0,'Données projet'!$E$14+1,1))</f>
        <v>493.19478874005267</v>
      </c>
      <c r="DU12" s="60">
        <f t="shared" si="44"/>
        <v>278.78337903007821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2.8</v>
      </c>
      <c r="EJ12" s="13">
        <f>IF('Données projet'!$A$192&gt;35,EJ11+EI12-ER11,IF(A12&lt;'Données projet'!$A$192,$EG$205^A12,IF(A12='Données projet'!$A$192,'Données projet'!$B$192,EJ11+EI12-ER11)))</f>
        <v>6.1190585979687659</v>
      </c>
      <c r="EK12" s="18">
        <f>EJ12*VLOOKUP('Données projet'!$B$15,Paramètres!$A$1:$I$89,3,0)*VLOOKUP('Données projet'!$B$15,Paramètres!$A$1:$I$89,5,0)</f>
        <v>5.250152277057202</v>
      </c>
      <c r="EL12" s="14">
        <f t="shared" si="45"/>
        <v>1.9947843655753528</v>
      </c>
      <c r="EM12" s="22">
        <f t="shared" si="19"/>
        <v>12.618264652585031</v>
      </c>
      <c r="EN12" s="60">
        <f t="shared" si="20"/>
        <v>208.00599391452761</v>
      </c>
      <c r="EO12" s="60">
        <f ca="1">AVERAGE(OFFSET($EN$3,0,0,'Données projet'!$E$15+1,1))-AVERAGE(OFFSET($H$3,0,0,'Données projet'!$E$15+1,1))</f>
        <v>698.30188737818639</v>
      </c>
      <c r="EP12" s="60">
        <f t="shared" si="46"/>
        <v>329.77977151358482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2.9</v>
      </c>
      <c r="FE12" s="13">
        <f>IF('Données projet'!$A$218&gt;35,FE11+FD12-FM11,IF(A12&lt;'Données projet'!$A$218,$FB$205^A12,IF(A12='Données projet'!$A$218,'Données projet'!$B$218,FE11+FD12-FM11)))</f>
        <v>20.708955653761308</v>
      </c>
      <c r="FF12" s="18">
        <f>FE12*VLOOKUP('Données projet'!$B$16,Paramètres!$A$1:$I$89,3,0)*VLOOKUP('Données projet'!$B$16,Paramètres!$A$1:$I$89,5,0)</f>
        <v>18.091343659125879</v>
      </c>
      <c r="FG12" s="14">
        <f t="shared" si="47"/>
        <v>5.9518679121149844</v>
      </c>
      <c r="FH12" s="22">
        <f t="shared" si="22"/>
        <v>41.875260153244504</v>
      </c>
      <c r="FI12" s="60">
        <f t="shared" si="23"/>
        <v>237.26298941518709</v>
      </c>
      <c r="FJ12" s="60">
        <f ca="1">AVERAGE(OFFSET($FI$3,0,0,'Données projet'!$E$16+1,1))-AVERAGE(OFFSET($H$3,0,0,'Données projet'!$E$16+1,1))</f>
        <v>396.99335548279453</v>
      </c>
      <c r="FK12" s="60">
        <f t="shared" si="48"/>
        <v>388.89849573746335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50.287562525984342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4.6150000000000002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16.921666666666667</v>
      </c>
      <c r="H13" s="68">
        <f t="shared" si="1"/>
        <v>188.98000000000002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0">
        <f t="shared" si="0"/>
        <v>216.21836779398217</v>
      </c>
      <c r="S13" s="60">
        <f ca="1">AVERAGE(OFFSET($R$3,0,0,'Données projet'!$E$9+1,1))-AVERAGE(OFFSET($H$3,0,0,'Données projet'!$E$9+1,1))</f>
        <v>550.53475891182575</v>
      </c>
      <c r="T13" s="60">
        <f t="shared" si="34"/>
        <v>350.2500324347194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213.54560808567641</v>
      </c>
      <c r="AN13" s="60">
        <f ca="1">AVERAGE(OFFSET($AM$3,0,0,'Données projet'!$E$10+1,1))-AVERAGE(OFFSET($H$3,0,0,'Données projet'!$E$10+1,1))</f>
        <v>513.16577009788818</v>
      </c>
      <c r="AO13" s="60">
        <f t="shared" si="36"/>
        <v>289.37159333739146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11.1</v>
      </c>
      <c r="BB13" s="13">
        <f>VLOOKUP(A13,'Données projet'!$A$87:$I$107,9,0)</f>
        <v>1.1099999999999999</v>
      </c>
      <c r="BC13" s="13">
        <f t="array" ref="BC13">INDEX(BB:BB,MIN(IF(ISNUMBER(BB13:BB209),ROW(BB13:BB209),"")))</f>
        <v>1.1099999999999999</v>
      </c>
      <c r="BD13" s="13">
        <f>IF('Données projet'!$A$88&gt;35,BD12+BC13-BL12,IF(A13&lt;'Données projet'!$A$88,$BA$205^A13,IF(A13='Données projet'!$A$88,'Données projet'!$B$88,BD12+BC13-BL12)))</f>
        <v>11.1</v>
      </c>
      <c r="BE13" s="14">
        <f>BD13*VLOOKUP('Données projet'!$B$11,Paramètres!$A$1:$I$89,3,0)*VLOOKUP('Données projet'!$B$11,Paramètres!$A$1:$I$89,5,0)</f>
        <v>8.1385199999999998</v>
      </c>
      <c r="BF13" s="14">
        <f t="shared" si="37"/>
        <v>2.9383938833896224</v>
      </c>
      <c r="BG13" s="22">
        <f t="shared" si="7"/>
        <v>19.292291680236925</v>
      </c>
      <c r="BH13" s="60">
        <f t="shared" si="8"/>
        <v>217.15612113687783</v>
      </c>
      <c r="BI13" s="60">
        <f ca="1">AVERAGE(OFFSET($BH$3,0,0,'Données projet'!$E$11+1,1))-AVERAGE(OFFSET($H$3,0,0,'Données projet'!$E$11+1,1))</f>
        <v>366.5170155168056</v>
      </c>
      <c r="BJ13" s="60">
        <f t="shared" si="38"/>
        <v>394.05057214541966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83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83</v>
      </c>
      <c r="BZ13" s="14">
        <f>BY13*VLOOKUP('Données projet'!$B$12,Paramètres!$A$1:$I$89,3,0)*VLOOKUP('Données projet'!$B$12,Paramètres!$A$1:$I$89,5,0)</f>
        <v>75.098399999999998</v>
      </c>
      <c r="CA13" s="14">
        <f t="shared" si="39"/>
        <v>20.934343091450742</v>
      </c>
      <c r="CB13" s="22">
        <f t="shared" si="10"/>
        <v>167.25702755094335</v>
      </c>
      <c r="CC13" s="60">
        <f t="shared" si="11"/>
        <v>365.12085700758428</v>
      </c>
      <c r="CD13" s="60">
        <f ca="1">AVERAGE(OFFSET($CC$3,0,0,'Données projet'!$E$12+1,1))-AVERAGE(OFFSET($H$3,0,0,'Données projet'!$E$12+1,1))</f>
        <v>333.512642972663</v>
      </c>
      <c r="CE13" s="60">
        <f t="shared" si="40"/>
        <v>464.18634682168488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6.9758692877662263</v>
      </c>
      <c r="CV13" s="14">
        <f t="shared" si="41"/>
        <v>2.5642215932468222</v>
      </c>
      <c r="CW13" s="22">
        <f t="shared" si="13"/>
        <v>16.61565828443106</v>
      </c>
      <c r="CX13" s="60">
        <f t="shared" si="14"/>
        <v>214.47948774107195</v>
      </c>
      <c r="CY13" s="60">
        <f ca="1">AVERAGE(OFFSET($CX$3,0,0,'Données projet'!$E$13+1,1))-AVERAGE(OFFSET($H$3,0,0,'Données projet'!$E$13+1,1))</f>
        <v>539.76438066597848</v>
      </c>
      <c r="CZ13" s="60">
        <f t="shared" si="42"/>
        <v>303.47238367344937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0">
        <f t="shared" si="17"/>
        <v>212.84412103201103</v>
      </c>
      <c r="DT13" s="60">
        <f ca="1">AVERAGE(OFFSET($DS$3,0,0,'Données projet'!$E$14+1,1))-AVERAGE(OFFSET($H$3,0,0,'Données projet'!$E$14+1,1))</f>
        <v>493.19478874005267</v>
      </c>
      <c r="DU13" s="60">
        <f t="shared" si="44"/>
        <v>278.78337903007821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2.8</v>
      </c>
      <c r="EJ13" s="13">
        <f>IF('Données projet'!$A$192&gt;35,EJ12+EI13-ER12,IF(A13&lt;'Données projet'!$A$192,$EG$205^A13,IF(A13='Données projet'!$A$192,'Données projet'!$B$192,EJ12+EI13-ER12)))</f>
        <v>7.4833147735478933</v>
      </c>
      <c r="EK13" s="18">
        <f>EJ13*VLOOKUP('Données projet'!$B$15,Paramètres!$A$1:$I$89,3,0)*VLOOKUP('Données projet'!$B$15,Paramètres!$A$1:$I$89,5,0)</f>
        <v>6.4206840757040933</v>
      </c>
      <c r="EL13" s="14">
        <f t="shared" si="45"/>
        <v>2.3830376437122043</v>
      </c>
      <c r="EM13" s="22">
        <f t="shared" si="19"/>
        <v>15.33314866131672</v>
      </c>
      <c r="EN13" s="60">
        <f t="shared" si="20"/>
        <v>213.19697811795763</v>
      </c>
      <c r="EO13" s="60">
        <f ca="1">AVERAGE(OFFSET($EN$3,0,0,'Données projet'!$E$15+1,1))-AVERAGE(OFFSET($H$3,0,0,'Données projet'!$E$15+1,1))</f>
        <v>698.30188737818639</v>
      </c>
      <c r="EP13" s="60">
        <f t="shared" si="46"/>
        <v>329.77977151358482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>
        <f>VLOOKUP(A13,'Données projet'!$A$217:$I$237,2,0)</f>
        <v>29</v>
      </c>
      <c r="FC13" s="13">
        <f>VLOOKUP(A13,'Données projet'!$A$217:$I$237,9,0)</f>
        <v>2.9</v>
      </c>
      <c r="FD13" s="13">
        <f t="array" ref="FD13">INDEX(FC:FC,MIN(IF(ISNUMBER(FC13:FC209),ROW(FC13:FC209),"")))</f>
        <v>2.9</v>
      </c>
      <c r="FE13" s="13">
        <f>IF('Données projet'!$A$218&gt;35,FE12+FD13-FM12,IF(A13&lt;'Données projet'!$A$218,$FB$205^A13,IF(A13='Données projet'!$A$218,'Données projet'!$B$218,FE12+FD13-FM12)))</f>
        <v>29</v>
      </c>
      <c r="FF13" s="18">
        <f>FE13*VLOOKUP('Données projet'!$B$16,Paramètres!$A$1:$I$89,3,0)*VLOOKUP('Données projet'!$B$16,Paramètres!$A$1:$I$89,5,0)</f>
        <v>25.334400000000002</v>
      </c>
      <c r="FG13" s="14">
        <f t="shared" si="47"/>
        <v>8.0143955200794572</v>
      </c>
      <c r="FH13" s="22">
        <f t="shared" si="22"/>
        <v>58.082485530805059</v>
      </c>
      <c r="FI13" s="60">
        <f t="shared" si="23"/>
        <v>255.94631498744596</v>
      </c>
      <c r="FJ13" s="60">
        <f ca="1">AVERAGE(OFFSET($FI$3,0,0,'Données projet'!$E$16+1,1))-AVERAGE(OFFSET($H$3,0,0,'Données projet'!$E$16+1,1))</f>
        <v>396.99335548279453</v>
      </c>
      <c r="FK13" s="60">
        <f t="shared" si="48"/>
        <v>388.89849573746335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50.629529245750547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4.6150000000000002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16.921666666666667</v>
      </c>
      <c r="H14" s="68">
        <f t="shared" si="1"/>
        <v>188.98000000000002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0">
        <f t="shared" si="0"/>
        <v>222.914957219662</v>
      </c>
      <c r="S14" s="60">
        <f ca="1">AVERAGE(OFFSET($R$3,0,0,'Données projet'!$E$9+1,1))-AVERAGE(OFFSET($H$3,0,0,'Données projet'!$E$9+1,1))</f>
        <v>550.53475891182575</v>
      </c>
      <c r="T14" s="60">
        <f t="shared" si="34"/>
        <v>350.2500324347194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219.1124607700051</v>
      </c>
      <c r="AN14" s="60">
        <f ca="1">AVERAGE(OFFSET($AM$3,0,0,'Données projet'!$E$10+1,1))-AVERAGE(OFFSET($H$3,0,0,'Données projet'!$E$10+1,1))</f>
        <v>513.16577009788818</v>
      </c>
      <c r="AO14" s="60">
        <f t="shared" si="36"/>
        <v>289.37159333739146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10.68</v>
      </c>
      <c r="BD14" s="13">
        <f>IF('Données projet'!$A$88&gt;35,BD13+BC14-BL13,IF(A14&lt;'Données projet'!$A$88,$BA$205^A14,IF(A14='Données projet'!$A$88,'Données projet'!$B$88,BD13+BC14-BL13)))</f>
        <v>21.78</v>
      </c>
      <c r="BE14" s="14">
        <f>BD14*VLOOKUP('Données projet'!$B$11,Paramètres!$A$1:$I$89,3,0)*VLOOKUP('Données projet'!$B$11,Paramètres!$A$1:$I$89,5,0)</f>
        <v>15.969095999999999</v>
      </c>
      <c r="BF14" s="14">
        <f t="shared" si="37"/>
        <v>5.3305321367080518</v>
      </c>
      <c r="BG14" s="22">
        <f t="shared" si="7"/>
        <v>37.096852338099858</v>
      </c>
      <c r="BH14" s="60">
        <f t="shared" si="8"/>
        <v>237.41503000986776</v>
      </c>
      <c r="BI14" s="60">
        <f ca="1">AVERAGE(OFFSET($BH$3,0,0,'Données projet'!$E$11+1,1))-AVERAGE(OFFSET($H$3,0,0,'Données projet'!$E$11+1,1))</f>
        <v>366.5170155168056</v>
      </c>
      <c r="BJ14" s="60">
        <f t="shared" si="38"/>
        <v>394.05057214541966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93.8</v>
      </c>
      <c r="BZ14" s="14">
        <f>BY14*VLOOKUP('Données projet'!$B$12,Paramètres!$A$1:$I$89,3,0)*VLOOKUP('Données projet'!$B$12,Paramètres!$A$1:$I$89,5,0)</f>
        <v>84.870239999999995</v>
      </c>
      <c r="CA14" s="14">
        <f t="shared" si="39"/>
        <v>23.323856624519408</v>
      </c>
      <c r="CB14" s="22">
        <f t="shared" si="10"/>
        <v>188.43805162103794</v>
      </c>
      <c r="CC14" s="60">
        <f t="shared" si="11"/>
        <v>388.75622929280587</v>
      </c>
      <c r="CD14" s="60">
        <f ca="1">AVERAGE(OFFSET($CC$3,0,0,'Données projet'!$E$12+1,1))-AVERAGE(OFFSET($H$3,0,0,'Données projet'!$E$12+1,1))</f>
        <v>333.512642972663</v>
      </c>
      <c r="CE14" s="60">
        <f t="shared" si="40"/>
        <v>464.18634682168488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8.4093184470872249</v>
      </c>
      <c r="CV14" s="14">
        <f t="shared" si="41"/>
        <v>3.0246192139792929</v>
      </c>
      <c r="CW14" s="22">
        <f t="shared" si="13"/>
        <v>19.914108093024186</v>
      </c>
      <c r="CX14" s="60">
        <f t="shared" si="14"/>
        <v>220.2322857647921</v>
      </c>
      <c r="CY14" s="60">
        <f ca="1">AVERAGE(OFFSET($CX$3,0,0,'Données projet'!$E$13+1,1))-AVERAGE(OFFSET($H$3,0,0,'Données projet'!$E$13+1,1))</f>
        <v>539.76438066597848</v>
      </c>
      <c r="CZ14" s="60">
        <f t="shared" si="42"/>
        <v>303.47238367344937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0">
        <f t="shared" si="17"/>
        <v>218.27132128392026</v>
      </c>
      <c r="DT14" s="60">
        <f ca="1">AVERAGE(OFFSET($DS$3,0,0,'Données projet'!$E$14+1,1))-AVERAGE(OFFSET($H$3,0,0,'Données projet'!$E$14+1,1))</f>
        <v>493.19478874005267</v>
      </c>
      <c r="DU14" s="60">
        <f t="shared" si="44"/>
        <v>278.78337903007821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2.8</v>
      </c>
      <c r="EJ14" s="13">
        <f>IF('Données projet'!$A$192&gt;35,EJ13+EI14-ER13,IF(A14&lt;'Données projet'!$A$192,$EG$205^A14,IF(A14='Données projet'!$A$192,'Données projet'!$B$192,EJ13+EI14-ER13)))</f>
        <v>9.1517345525322273</v>
      </c>
      <c r="EK14" s="18">
        <f>EJ14*VLOOKUP('Données projet'!$B$15,Paramètres!$A$1:$I$89,3,0)*VLOOKUP('Données projet'!$B$15,Paramètres!$A$1:$I$89,5,0)</f>
        <v>7.8521882460726511</v>
      </c>
      <c r="EL14" s="14">
        <f t="shared" si="45"/>
        <v>2.8468582917289242</v>
      </c>
      <c r="EM14" s="22">
        <f t="shared" si="19"/>
        <v>18.634172720004408</v>
      </c>
      <c r="EN14" s="60">
        <f t="shared" si="20"/>
        <v>218.95235039177231</v>
      </c>
      <c r="EO14" s="60">
        <f ca="1">AVERAGE(OFFSET($EN$3,0,0,'Données projet'!$E$15+1,1))-AVERAGE(OFFSET($H$3,0,0,'Données projet'!$E$15+1,1))</f>
        <v>698.30188737818639</v>
      </c>
      <c r="EP14" s="60">
        <f t="shared" si="46"/>
        <v>329.77977151358482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8.8000000000000007</v>
      </c>
      <c r="FE14" s="13">
        <f>IF('Données projet'!$A$218&gt;35,FE13+FD14-FM13,IF(A14&lt;'Données projet'!$A$218,$FB$205^A14,IF(A14='Données projet'!$A$218,'Données projet'!$B$218,FE13+FD14-FM13)))</f>
        <v>37.799999999999997</v>
      </c>
      <c r="FF14" s="18">
        <f>FE14*VLOOKUP('Données projet'!$B$16,Paramètres!$A$1:$I$89,3,0)*VLOOKUP('Données projet'!$B$16,Paramètres!$A$1:$I$89,5,0)</f>
        <v>33.022080000000003</v>
      </c>
      <c r="FG14" s="14">
        <f t="shared" si="47"/>
        <v>10.129025278332465</v>
      </c>
      <c r="FH14" s="22">
        <f t="shared" si="22"/>
        <v>75.154841693095705</v>
      </c>
      <c r="FI14" s="60">
        <f t="shared" si="23"/>
        <v>275.4730193648636</v>
      </c>
      <c r="FJ14" s="60">
        <f ca="1">AVERAGE(OFFSET($FI$3,0,0,'Données projet'!$E$16+1,1))-AVERAGE(OFFSET($H$3,0,0,'Données projet'!$E$16+1,1))</f>
        <v>396.99335548279453</v>
      </c>
      <c r="FK14" s="60">
        <f t="shared" si="48"/>
        <v>388.89849573746335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50.965563607451855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4.6150000000000002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16.921666666666667</v>
      </c>
      <c r="H15" s="68">
        <f t="shared" si="1"/>
        <v>188.98000000000002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0">
        <f t="shared" si="0"/>
        <v>230.57402198571387</v>
      </c>
      <c r="S15" s="60">
        <f ca="1">AVERAGE(OFFSET($R$3,0,0,'Données projet'!$E$9+1,1))-AVERAGE(OFFSET($H$3,0,0,'Données projet'!$E$9+1,1))</f>
        <v>550.53475891182575</v>
      </c>
      <c r="T15" s="60">
        <f t="shared" si="34"/>
        <v>350.2500324347194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225.27778629443338</v>
      </c>
      <c r="AN15" s="60">
        <f ca="1">AVERAGE(OFFSET($AM$3,0,0,'Données projet'!$E$10+1,1))-AVERAGE(OFFSET($H$3,0,0,'Données projet'!$E$10+1,1))</f>
        <v>513.16577009788818</v>
      </c>
      <c r="AO15" s="60">
        <f t="shared" si="36"/>
        <v>289.37159333739146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10.68</v>
      </c>
      <c r="BD15" s="13">
        <f>IF('Données projet'!$A$88&gt;35,BD14+BC15-BL14,IF(A15&lt;'Données projet'!$A$88,$BA$205^A15,IF(A15='Données projet'!$A$88,'Données projet'!$B$88,BD14+BC15-BL14)))</f>
        <v>32.46</v>
      </c>
      <c r="BE15" s="14">
        <f>BD15*VLOOKUP('Données projet'!$B$11,Paramètres!$A$1:$I$89,3,0)*VLOOKUP('Données projet'!$B$11,Paramètres!$A$1:$I$89,5,0)</f>
        <v>23.799672000000001</v>
      </c>
      <c r="BF15" s="14">
        <f t="shared" si="37"/>
        <v>7.5838577005088039</v>
      </c>
      <c r="BG15" s="22">
        <f t="shared" si="7"/>
        <v>54.659647561719503</v>
      </c>
      <c r="BH15" s="60">
        <f t="shared" si="8"/>
        <v>257.41079881725858</v>
      </c>
      <c r="BI15" s="60">
        <f ca="1">AVERAGE(OFFSET($BH$3,0,0,'Données projet'!$E$11+1,1))-AVERAGE(OFFSET($H$3,0,0,'Données projet'!$E$11+1,1))</f>
        <v>366.5170155168056</v>
      </c>
      <c r="BJ15" s="60">
        <f t="shared" si="38"/>
        <v>394.05057214541966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104.6</v>
      </c>
      <c r="BZ15" s="14">
        <f>BY15*VLOOKUP('Données projet'!$B$12,Paramètres!$A$1:$I$89,3,0)*VLOOKUP('Données projet'!$B$12,Paramètres!$A$1:$I$89,5,0)</f>
        <v>94.642079999999993</v>
      </c>
      <c r="CA15" s="14">
        <f t="shared" si="39"/>
        <v>25.68148493360578</v>
      </c>
      <c r="CB15" s="22">
        <f t="shared" si="10"/>
        <v>209.5635422593634</v>
      </c>
      <c r="CC15" s="60">
        <f t="shared" si="11"/>
        <v>412.3146935149025</v>
      </c>
      <c r="CD15" s="60">
        <f ca="1">AVERAGE(OFFSET($CC$3,0,0,'Données projet'!$E$12+1,1))-AVERAGE(OFFSET($H$3,0,0,'Données projet'!$E$12+1,1))</f>
        <v>333.512642972663</v>
      </c>
      <c r="CE15" s="60">
        <f t="shared" si="40"/>
        <v>464.18634682168488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10.137322508112241</v>
      </c>
      <c r="CV15" s="14">
        <f t="shared" si="41"/>
        <v>3.5676797253661268</v>
      </c>
      <c r="CW15" s="22">
        <f t="shared" si="13"/>
        <v>23.869545556641487</v>
      </c>
      <c r="CX15" s="60">
        <f t="shared" si="14"/>
        <v>226.6206968121806</v>
      </c>
      <c r="CY15" s="60">
        <f ca="1">AVERAGE(OFFSET($CX$3,0,0,'Données projet'!$E$13+1,1))-AVERAGE(OFFSET($H$3,0,0,'Données projet'!$E$13+1,1))</f>
        <v>539.76438066597848</v>
      </c>
      <c r="CZ15" s="60">
        <f t="shared" si="42"/>
        <v>303.47238367344937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0">
        <f t="shared" si="17"/>
        <v>224.26910450890841</v>
      </c>
      <c r="DT15" s="60">
        <f ca="1">AVERAGE(OFFSET($DS$3,0,0,'Données projet'!$E$14+1,1))-AVERAGE(OFFSET($H$3,0,0,'Données projet'!$E$14+1,1))</f>
        <v>493.19478874005267</v>
      </c>
      <c r="DU15" s="60">
        <f t="shared" si="44"/>
        <v>278.78337903007821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2.8</v>
      </c>
      <c r="EJ15" s="13">
        <f>IF('Données projet'!$A$192&gt;35,EJ14+EI15-ER14,IF(A15&lt;'Données projet'!$A$192,$EG$205^A15,IF(A15='Données projet'!$A$192,'Données projet'!$B$192,EJ14+EI15-ER14)))</f>
        <v>11.19213180983215</v>
      </c>
      <c r="EK15" s="18">
        <f>EJ15*VLOOKUP('Données projet'!$B$15,Paramètres!$A$1:$I$89,3,0)*VLOOKUP('Données projet'!$B$15,Paramètres!$A$1:$I$89,5,0)</f>
        <v>9.6028490928359851</v>
      </c>
      <c r="EL15" s="14">
        <f t="shared" si="45"/>
        <v>3.4009543049268385</v>
      </c>
      <c r="EM15" s="22">
        <f t="shared" si="19"/>
        <v>22.64829091777025</v>
      </c>
      <c r="EN15" s="60">
        <f t="shared" si="20"/>
        <v>225.39944217330935</v>
      </c>
      <c r="EO15" s="60">
        <f ca="1">AVERAGE(OFFSET($EN$3,0,0,'Données projet'!$E$15+1,1))-AVERAGE(OFFSET($H$3,0,0,'Données projet'!$E$15+1,1))</f>
        <v>698.30188737818639</v>
      </c>
      <c r="EP15" s="60">
        <f t="shared" si="46"/>
        <v>329.77977151358482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8.8000000000000007</v>
      </c>
      <c r="FE15" s="13">
        <f>IF('Données projet'!$A$218&gt;35,FE14+FD15-FM14,IF(A15&lt;'Données projet'!$A$218,$FB$205^A15,IF(A15='Données projet'!$A$218,'Données projet'!$B$218,FE14+FD15-FM14)))</f>
        <v>46.599999999999994</v>
      </c>
      <c r="FF15" s="18">
        <f>FE15*VLOOKUP('Données projet'!$B$16,Paramètres!$A$1:$I$89,3,0)*VLOOKUP('Données projet'!$B$16,Paramètres!$A$1:$I$89,5,0)</f>
        <v>40.709760000000003</v>
      </c>
      <c r="FG15" s="14">
        <f t="shared" si="47"/>
        <v>12.186575870088381</v>
      </c>
      <c r="FH15" s="22">
        <f t="shared" si="22"/>
        <v>92.127784973737278</v>
      </c>
      <c r="FI15" s="60">
        <f t="shared" si="23"/>
        <v>294.87893622927641</v>
      </c>
      <c r="FJ15" s="60">
        <f ca="1">AVERAGE(OFFSET($FI$3,0,0,'Données projet'!$E$16+1,1))-AVERAGE(OFFSET($H$3,0,0,'Données projet'!$E$16+1,1))</f>
        <v>396.99335548279453</v>
      </c>
      <c r="FK15" s="60">
        <f t="shared" si="48"/>
        <v>388.89849573746335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51.295768524237936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4.6150000000000002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16.921666666666667</v>
      </c>
      <c r="H16" s="68">
        <f t="shared" si="1"/>
        <v>188.98000000000002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0">
        <f t="shared" si="0"/>
        <v>239.42482888845882</v>
      </c>
      <c r="S16" s="60">
        <f ca="1">AVERAGE(OFFSET($R$3,0,0,'Données projet'!$E$9+1,1))-AVERAGE(OFFSET($H$3,0,0,'Données projet'!$E$9+1,1))</f>
        <v>550.53475891182575</v>
      </c>
      <c r="T16" s="60">
        <f t="shared" si="34"/>
        <v>350.2500324347194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232.16578327855387</v>
      </c>
      <c r="AN16" s="60">
        <f ca="1">AVERAGE(OFFSET($AM$3,0,0,'Données projet'!$E$10+1,1))-AVERAGE(OFFSET($H$3,0,0,'Données projet'!$E$10+1,1))</f>
        <v>513.16577009788818</v>
      </c>
      <c r="AO16" s="60">
        <f t="shared" si="36"/>
        <v>289.37159333739146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10.68</v>
      </c>
      <c r="BD16" s="13">
        <f>IF('Données projet'!$A$88&gt;35,BD15+BC16-BL15,IF(A16&lt;'Données projet'!$A$88,$BA$205^A16,IF(A16='Données projet'!$A$88,'Données projet'!$B$88,BD15+BC16-BL15)))</f>
        <v>43.14</v>
      </c>
      <c r="BE16" s="14">
        <f>BD16*VLOOKUP('Données projet'!$B$11,Paramètres!$A$1:$I$89,3,0)*VLOOKUP('Données projet'!$B$11,Paramètres!$A$1:$I$89,5,0)</f>
        <v>31.630248000000002</v>
      </c>
      <c r="BF16" s="14">
        <f t="shared" si="37"/>
        <v>9.7508554785621282</v>
      </c>
      <c r="BG16" s="22">
        <f t="shared" si="7"/>
        <v>72.072088558495707</v>
      </c>
      <c r="BH16" s="60">
        <f t="shared" si="8"/>
        <v>277.23520956851769</v>
      </c>
      <c r="BI16" s="60">
        <f ca="1">AVERAGE(OFFSET($BH$3,0,0,'Données projet'!$E$11+1,1))-AVERAGE(OFFSET($H$3,0,0,'Données projet'!$E$11+1,1))</f>
        <v>366.5170155168056</v>
      </c>
      <c r="BJ16" s="60">
        <f t="shared" si="38"/>
        <v>394.05057214541966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115.39999999999999</v>
      </c>
      <c r="BZ16" s="14">
        <f>BY16*VLOOKUP('Données projet'!$B$12,Paramètres!$A$1:$I$89,3,0)*VLOOKUP('Données projet'!$B$12,Paramètres!$A$1:$I$89,5,0)</f>
        <v>104.41391999999999</v>
      </c>
      <c r="CA16" s="14">
        <f t="shared" si="39"/>
        <v>28.010895142032854</v>
      </c>
      <c r="CB16" s="22">
        <f t="shared" si="10"/>
        <v>230.63988637237389</v>
      </c>
      <c r="CC16" s="60">
        <f t="shared" si="11"/>
        <v>435.80300738239589</v>
      </c>
      <c r="CD16" s="60">
        <f ca="1">AVERAGE(OFFSET($CC$3,0,0,'Données projet'!$E$12+1,1))-AVERAGE(OFFSET($H$3,0,0,'Données projet'!$E$12+1,1))</f>
        <v>333.512642972663</v>
      </c>
      <c r="CE16" s="60">
        <f t="shared" si="40"/>
        <v>464.18634682168488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12.220408619330426</v>
      </c>
      <c r="CV16" s="14">
        <f t="shared" si="41"/>
        <v>4.2082449797185175</v>
      </c>
      <c r="CW16" s="22">
        <f t="shared" si="13"/>
        <v>28.613238351676909</v>
      </c>
      <c r="CX16" s="60">
        <f t="shared" si="14"/>
        <v>233.77635936169887</v>
      </c>
      <c r="CY16" s="60">
        <f ca="1">AVERAGE(OFFSET($CX$3,0,0,'Données projet'!$E$13+1,1))-AVERAGE(OFFSET($H$3,0,0,'Données projet'!$E$13+1,1))</f>
        <v>539.76438066597848</v>
      </c>
      <c r="CZ16" s="60">
        <f t="shared" si="42"/>
        <v>303.47238367344937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0">
        <f t="shared" si="17"/>
        <v>230.95608319687611</v>
      </c>
      <c r="DT16" s="60">
        <f ca="1">AVERAGE(OFFSET($DS$3,0,0,'Données projet'!$E$14+1,1))-AVERAGE(OFFSET($H$3,0,0,'Données projet'!$E$14+1,1))</f>
        <v>493.19478874005267</v>
      </c>
      <c r="DU16" s="60">
        <f t="shared" si="44"/>
        <v>278.78337903007821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2.8</v>
      </c>
      <c r="EJ16" s="13">
        <f>IF('Données projet'!$A$192&gt;35,EJ15+EI16-ER15,IF(A16&lt;'Données projet'!$A$192,$EG$205^A16,IF(A16='Données projet'!$A$192,'Données projet'!$B$192,EJ15+EI16-ER15)))</f>
        <v>13.687439657435972</v>
      </c>
      <c r="EK16" s="18">
        <f>EJ16*VLOOKUP('Données projet'!$B$15,Paramètres!$A$1:$I$89,3,0)*VLOOKUP('Données projet'!$B$15,Paramètres!$A$1:$I$89,5,0)</f>
        <v>11.743823226080066</v>
      </c>
      <c r="EL16" s="14">
        <f t="shared" si="45"/>
        <v>4.0628963576462231</v>
      </c>
      <c r="EM16" s="22">
        <f t="shared" si="19"/>
        <v>27.530036608323286</v>
      </c>
      <c r="EN16" s="60">
        <f t="shared" si="20"/>
        <v>232.69315761834525</v>
      </c>
      <c r="EO16" s="60">
        <f ca="1">AVERAGE(OFFSET($EN$3,0,0,'Données projet'!$E$15+1,1))-AVERAGE(OFFSET($H$3,0,0,'Données projet'!$E$15+1,1))</f>
        <v>698.30188737818639</v>
      </c>
      <c r="EP16" s="60">
        <f t="shared" si="46"/>
        <v>329.77977151358482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8.8000000000000007</v>
      </c>
      <c r="FE16" s="13">
        <f>IF('Données projet'!$A$218&gt;35,FE15+FD16-FM15,IF(A16&lt;'Données projet'!$A$218,$FB$205^A16,IF(A16='Données projet'!$A$218,'Données projet'!$B$218,FE15+FD16-FM15)))</f>
        <v>55.399999999999991</v>
      </c>
      <c r="FF16" s="18">
        <f>FE16*VLOOKUP('Données projet'!$B$16,Paramètres!$A$1:$I$89,3,0)*VLOOKUP('Données projet'!$B$16,Paramètres!$A$1:$I$89,5,0)</f>
        <v>48.397439999999996</v>
      </c>
      <c r="FG16" s="14">
        <f t="shared" si="47"/>
        <v>14.199110166340073</v>
      </c>
      <c r="FH16" s="22">
        <f t="shared" si="22"/>
        <v>109.02232487304228</v>
      </c>
      <c r="FI16" s="60">
        <f t="shared" si="23"/>
        <v>314.18544588306423</v>
      </c>
      <c r="FJ16" s="60">
        <f ca="1">AVERAGE(OFFSET($FI$3,0,0,'Données projet'!$E$16+1,1))-AVERAGE(OFFSET($H$3,0,0,'Données projet'!$E$16+1,1))</f>
        <v>396.99335548279453</v>
      </c>
      <c r="FK16" s="60">
        <f t="shared" si="48"/>
        <v>388.89849573746335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51.620245123945381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4.6150000000000002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16.921666666666667</v>
      </c>
      <c r="H17" s="68">
        <f t="shared" si="1"/>
        <v>188.98000000000002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0">
        <f t="shared" si="0"/>
        <v>249.75004760136537</v>
      </c>
      <c r="S17" s="60">
        <f ca="1">AVERAGE(OFFSET($R$3,0,0,'Données projet'!$E$9+1,1))-AVERAGE(OFFSET($H$3,0,0,'Données projet'!$E$9+1,1))</f>
        <v>550.53475891182575</v>
      </c>
      <c r="T17" s="60">
        <f t="shared" si="34"/>
        <v>350.2500324347194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239.92545281922688</v>
      </c>
      <c r="AN17" s="60">
        <f ca="1">AVERAGE(OFFSET($AM$3,0,0,'Données projet'!$E$10+1,1))-AVERAGE(OFFSET($H$3,0,0,'Données projet'!$E$10+1,1))</f>
        <v>513.16577009788818</v>
      </c>
      <c r="AO17" s="60">
        <f t="shared" si="36"/>
        <v>289.37159333739146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10.68</v>
      </c>
      <c r="BD17" s="13">
        <f>IF('Données projet'!$A$88&gt;35,BD16+BC17-BL16,IF(A17&lt;'Données projet'!$A$88,$BA$205^A17,IF(A17='Données projet'!$A$88,'Données projet'!$B$88,BD16+BC17-BL16)))</f>
        <v>53.82</v>
      </c>
      <c r="BE17" s="14">
        <f>BD17*VLOOKUP('Données projet'!$B$11,Paramètres!$A$1:$I$89,3,0)*VLOOKUP('Données projet'!$B$11,Paramètres!$A$1:$I$89,5,0)</f>
        <v>39.460823999999995</v>
      </c>
      <c r="BF17" s="14">
        <f t="shared" si="37"/>
        <v>11.85562557008577</v>
      </c>
      <c r="BG17" s="22">
        <f t="shared" si="7"/>
        <v>89.376149667899369</v>
      </c>
      <c r="BH17" s="60">
        <f t="shared" si="8"/>
        <v>296.93060097259644</v>
      </c>
      <c r="BI17" s="60">
        <f ca="1">AVERAGE(OFFSET($BH$3,0,0,'Données projet'!$E$11+1,1))-AVERAGE(OFFSET($H$3,0,0,'Données projet'!$E$11+1,1))</f>
        <v>366.5170155168056</v>
      </c>
      <c r="BJ17" s="60">
        <f t="shared" si="38"/>
        <v>394.05057214541966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126.19999999999999</v>
      </c>
      <c r="BZ17" s="14">
        <f>BY17*VLOOKUP('Données projet'!$B$12,Paramètres!$A$1:$I$89,3,0)*VLOOKUP('Données projet'!$B$12,Paramètres!$A$1:$I$89,5,0)</f>
        <v>114.18575999999997</v>
      </c>
      <c r="CA17" s="14">
        <f t="shared" si="39"/>
        <v>30.315028515433259</v>
      </c>
      <c r="CB17" s="22">
        <f t="shared" si="10"/>
        <v>251.67220666437959</v>
      </c>
      <c r="CC17" s="60">
        <f t="shared" si="11"/>
        <v>459.22665796907665</v>
      </c>
      <c r="CD17" s="60">
        <f ca="1">AVERAGE(OFFSET($CC$3,0,0,'Données projet'!$E$12+1,1))-AVERAGE(OFFSET($H$3,0,0,'Données projet'!$E$12+1,1))</f>
        <v>333.512642972663</v>
      </c>
      <c r="CE17" s="60">
        <f t="shared" si="40"/>
        <v>464.18634682168488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14.731541460173487</v>
      </c>
      <c r="CV17" s="14">
        <f t="shared" si="41"/>
        <v>4.9638216355053304</v>
      </c>
      <c r="CW17" s="22">
        <f t="shared" si="13"/>
        <v>34.302757391640604</v>
      </c>
      <c r="CX17" s="60">
        <f t="shared" si="14"/>
        <v>241.85720869633766</v>
      </c>
      <c r="CY17" s="60">
        <f ca="1">AVERAGE(OFFSET($CX$3,0,0,'Données projet'!$E$13+1,1))-AVERAGE(OFFSET($H$3,0,0,'Données projet'!$E$13+1,1))</f>
        <v>539.76438066597848</v>
      </c>
      <c r="CZ17" s="60">
        <f t="shared" si="42"/>
        <v>303.47238367344937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0">
        <f t="shared" si="17"/>
        <v>238.4745504499746</v>
      </c>
      <c r="DT17" s="60">
        <f ca="1">AVERAGE(OFFSET($DS$3,0,0,'Données projet'!$E$14+1,1))-AVERAGE(OFFSET($H$3,0,0,'Données projet'!$E$14+1,1))</f>
        <v>493.19478874005267</v>
      </c>
      <c r="DU17" s="60">
        <f t="shared" si="44"/>
        <v>278.78337903007821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2.8</v>
      </c>
      <c r="EJ17" s="13">
        <f>IF('Données projet'!$A$192&gt;35,EJ16+EI17-ER16,IF(A17&lt;'Données projet'!$A$192,$EG$205^A17,IF(A17='Données projet'!$A$192,'Données projet'!$B$192,EJ16+EI17-ER16)))</f>
        <v>16.739081308117708</v>
      </c>
      <c r="EK17" s="18">
        <f>EJ17*VLOOKUP('Données projet'!$B$15,Paramètres!$A$1:$I$89,3,0)*VLOOKUP('Données projet'!$B$15,Paramètres!$A$1:$I$89,5,0)</f>
        <v>14.362131762364994</v>
      </c>
      <c r="EL17" s="14">
        <f t="shared" si="45"/>
        <v>4.8536749785381312</v>
      </c>
      <c r="EM17" s="22">
        <f t="shared" si="19"/>
        <v>33.46753007373961</v>
      </c>
      <c r="EN17" s="60">
        <f t="shared" si="20"/>
        <v>241.02198137843669</v>
      </c>
      <c r="EO17" s="60">
        <f ca="1">AVERAGE(OFFSET($EN$3,0,0,'Données projet'!$E$15+1,1))-AVERAGE(OFFSET($H$3,0,0,'Données projet'!$E$15+1,1))</f>
        <v>698.30188737818639</v>
      </c>
      <c r="EP17" s="60">
        <f t="shared" si="46"/>
        <v>329.77977151358482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8.8000000000000007</v>
      </c>
      <c r="FE17" s="13">
        <f>IF('Données projet'!$A$218&gt;35,FE16+FD17-FM16,IF(A17&lt;'Données projet'!$A$218,$FB$205^A17,IF(A17='Données projet'!$A$218,'Données projet'!$B$218,FE16+FD17-FM16)))</f>
        <v>64.199999999999989</v>
      </c>
      <c r="FF17" s="18">
        <f>FE17*VLOOKUP('Données projet'!$B$16,Paramètres!$A$1:$I$89,3,0)*VLOOKUP('Données projet'!$B$16,Paramètres!$A$1:$I$89,5,0)</f>
        <v>56.085119999999996</v>
      </c>
      <c r="FG17" s="14">
        <f t="shared" si="47"/>
        <v>16.174611252215492</v>
      </c>
      <c r="FH17" s="22">
        <f t="shared" si="22"/>
        <v>125.85236526427531</v>
      </c>
      <c r="FI17" s="60">
        <f t="shared" si="23"/>
        <v>333.40681656897237</v>
      </c>
      <c r="FJ17" s="60">
        <f ca="1">AVERAGE(OFFSET($FI$3,0,0,'Données projet'!$E$16+1,1))-AVERAGE(OFFSET($H$3,0,0,'Données projet'!$E$16+1,1))</f>
        <v>396.99335548279453</v>
      </c>
      <c r="FK17" s="60">
        <f t="shared" si="48"/>
        <v>388.89849573746335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51.939092780068897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4.6150000000000002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16.921666666666667</v>
      </c>
      <c r="H18" s="68">
        <f t="shared" si="1"/>
        <v>188.98000000000002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0">
        <f t="shared" si="0"/>
        <v>261.89824647676375</v>
      </c>
      <c r="S18" s="60">
        <f ca="1">AVERAGE(OFFSET($R$3,0,0,'Données projet'!$E$9+1,1))-AVERAGE(OFFSET($H$3,0,0,'Données projet'!$E$9+1,1))</f>
        <v>550.53475891182575</v>
      </c>
      <c r="T18" s="60">
        <f t="shared" si="34"/>
        <v>350.2500324347194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248.73558230103313</v>
      </c>
      <c r="AN18" s="60">
        <f ca="1">AVERAGE(OFFSET($AM$3,0,0,'Données projet'!$E$10+1,1))-AVERAGE(OFFSET($H$3,0,0,'Données projet'!$E$10+1,1))</f>
        <v>513.16577009788818</v>
      </c>
      <c r="AO18" s="60">
        <f t="shared" si="36"/>
        <v>289.37159333739146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64.5</v>
      </c>
      <c r="BB18" s="13">
        <f>VLOOKUP(A18,'Données projet'!$A$87:$I$107,9,0)</f>
        <v>10.68</v>
      </c>
      <c r="BC18" s="13">
        <f t="array" ref="BC18">INDEX(BB:BB,MIN(IF(ISNUMBER(BB18:BB214),ROW(BB18:BB214),"")))</f>
        <v>10.68</v>
      </c>
      <c r="BD18" s="13">
        <f>IF('Données projet'!$A$88&gt;35,BD17+BC18-BL17,IF(A18&lt;'Données projet'!$A$88,$BA$205^A18,IF(A18='Données projet'!$A$88,'Données projet'!$B$88,BD17+BC18-BL17)))</f>
        <v>64.5</v>
      </c>
      <c r="BE18" s="14">
        <f>BD18*VLOOKUP('Données projet'!$B$11,Paramètres!$A$1:$I$89,3,0)*VLOOKUP('Données projet'!$B$11,Paramètres!$A$1:$I$89,5,0)</f>
        <v>47.291399999999996</v>
      </c>
      <c r="BF18" s="14">
        <f t="shared" si="37"/>
        <v>13.91200070808976</v>
      </c>
      <c r="BG18" s="22">
        <f t="shared" si="7"/>
        <v>106.595922899923</v>
      </c>
      <c r="BH18" s="60">
        <f t="shared" si="8"/>
        <v>316.52142308797221</v>
      </c>
      <c r="BI18" s="60">
        <f ca="1">AVERAGE(OFFSET($BH$3,0,0,'Données projet'!$E$11+1,1))-AVERAGE(OFFSET($H$3,0,0,'Données projet'!$E$11+1,1))</f>
        <v>366.5170155168056</v>
      </c>
      <c r="BJ18" s="60">
        <f t="shared" si="38"/>
        <v>394.05057214541966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137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137</v>
      </c>
      <c r="BZ18" s="14">
        <f>BY18*VLOOKUP('Données projet'!$B$12,Paramètres!$A$1:$I$89,3,0)*VLOOKUP('Données projet'!$B$12,Paramètres!$A$1:$I$89,5,0)</f>
        <v>123.9576</v>
      </c>
      <c r="CA18" s="14">
        <f t="shared" si="39"/>
        <v>32.59629414926458</v>
      </c>
      <c r="CB18" s="22">
        <f t="shared" si="10"/>
        <v>272.6646989766358</v>
      </c>
      <c r="CC18" s="60">
        <f t="shared" si="11"/>
        <v>482.59019916468503</v>
      </c>
      <c r="CD18" s="60">
        <f ca="1">AVERAGE(OFFSET($CC$3,0,0,'Données projet'!$E$12+1,1))-AVERAGE(OFFSET($H$3,0,0,'Données projet'!$E$12+1,1))</f>
        <v>333.512642972663</v>
      </c>
      <c r="CE18" s="60">
        <f t="shared" si="40"/>
        <v>464.18634682168488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17.758678989631132</v>
      </c>
      <c r="CV18" s="14">
        <f t="shared" si="41"/>
        <v>5.8550596146042126</v>
      </c>
      <c r="CW18" s="22">
        <f t="shared" si="13"/>
        <v>41.127261402376554</v>
      </c>
      <c r="CX18" s="60">
        <f t="shared" si="14"/>
        <v>251.05276159042577</v>
      </c>
      <c r="CY18" s="60">
        <f ca="1">AVERAGE(OFFSET($CX$3,0,0,'Données projet'!$E$13+1,1))-AVERAGE(OFFSET($H$3,0,0,'Données projet'!$E$13+1,1))</f>
        <v>539.76438066597848</v>
      </c>
      <c r="CZ18" s="60">
        <f t="shared" si="42"/>
        <v>303.47238367344937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0">
        <f t="shared" si="17"/>
        <v>246.99523793477593</v>
      </c>
      <c r="DT18" s="60">
        <f ca="1">AVERAGE(OFFSET($DS$3,0,0,'Données projet'!$E$14+1,1))-AVERAGE(OFFSET($H$3,0,0,'Données projet'!$E$14+1,1))</f>
        <v>493.19478874005267</v>
      </c>
      <c r="DU18" s="60">
        <f t="shared" si="44"/>
        <v>278.78337903007821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2.8</v>
      </c>
      <c r="EJ18" s="13">
        <f>IF('Données projet'!$A$192&gt;35,EJ17+EI18-ER17,IF(A18&lt;'Données projet'!$A$192,$EG$205^A18,IF(A18='Données projet'!$A$192,'Données projet'!$B$192,EJ17+EI18-ER17)))</f>
        <v>20.471092479852732</v>
      </c>
      <c r="EK18" s="18">
        <f>EJ18*VLOOKUP('Données projet'!$B$15,Paramètres!$A$1:$I$89,3,0)*VLOOKUP('Données projet'!$B$15,Paramètres!$A$1:$I$89,5,0)</f>
        <v>17.564197347713648</v>
      </c>
      <c r="EL18" s="14">
        <f t="shared" si="45"/>
        <v>5.7983661712048189</v>
      </c>
      <c r="EM18" s="22">
        <f t="shared" si="19"/>
        <v>40.689798128782996</v>
      </c>
      <c r="EN18" s="60">
        <f t="shared" si="20"/>
        <v>250.61529831683222</v>
      </c>
      <c r="EO18" s="60">
        <f ca="1">AVERAGE(OFFSET($EN$3,0,0,'Données projet'!$E$15+1,1))-AVERAGE(OFFSET($H$3,0,0,'Données projet'!$E$15+1,1))</f>
        <v>698.30188737818639</v>
      </c>
      <c r="EP18" s="60">
        <f t="shared" si="46"/>
        <v>329.77977151358482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73</v>
      </c>
      <c r="FC18" s="13">
        <f>VLOOKUP(A18,'Données projet'!$A$217:$I$237,9,0)</f>
        <v>8.8000000000000007</v>
      </c>
      <c r="FD18" s="13">
        <f t="array" ref="FD18">INDEX(FC:FC,MIN(IF(ISNUMBER(FC18:FC214),ROW(FC18:FC214),"")))</f>
        <v>8.8000000000000007</v>
      </c>
      <c r="FE18" s="13">
        <f>IF('Données projet'!$A$218&gt;35,FE17+FD18-FM17,IF(A18&lt;'Données projet'!$A$218,$FB$205^A18,IF(A18='Données projet'!$A$218,'Données projet'!$B$218,FE17+FD18-FM17)))</f>
        <v>72.999999999999986</v>
      </c>
      <c r="FF18" s="18">
        <f>FE18*VLOOKUP('Données projet'!$B$16,Paramètres!$A$1:$I$89,3,0)*VLOOKUP('Données projet'!$B$16,Paramètres!$A$1:$I$89,5,0)</f>
        <v>63.772799999999997</v>
      </c>
      <c r="FG18" s="14">
        <f t="shared" si="47"/>
        <v>18.118739450759566</v>
      </c>
      <c r="FH18" s="22">
        <f t="shared" si="22"/>
        <v>142.62776454340624</v>
      </c>
      <c r="FI18" s="60">
        <f t="shared" si="23"/>
        <v>352.55326473145544</v>
      </c>
      <c r="FJ18" s="60">
        <f ca="1">AVERAGE(OFFSET($FI$3,0,0,'Données projet'!$E$16+1,1))-AVERAGE(OFFSET($H$3,0,0,'Données projet'!$E$16+1,1))</f>
        <v>396.99335548279453</v>
      </c>
      <c r="FK18" s="60">
        <f t="shared" si="48"/>
        <v>388.89849573746335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52.252409142195241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4.6150000000000002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16.921666666666667</v>
      </c>
      <c r="H19" s="68">
        <f t="shared" si="1"/>
        <v>188.98000000000002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0">
        <f t="shared" si="0"/>
        <v>276.29931900974702</v>
      </c>
      <c r="S19" s="60">
        <f ca="1">AVERAGE(OFFSET($R$3,0,0,'Données projet'!$E$9+1,1))-AVERAGE(OFFSET($H$3,0,0,'Données projet'!$E$9+1,1))</f>
        <v>550.53475891182575</v>
      </c>
      <c r="T19" s="60">
        <f t="shared" si="34"/>
        <v>350.2500324347194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258.81073278405933</v>
      </c>
      <c r="AN19" s="60">
        <f ca="1">AVERAGE(OFFSET($AM$3,0,0,'Données projet'!$E$10+1,1))-AVERAGE(OFFSET($H$3,0,0,'Données projet'!$E$10+1,1))</f>
        <v>513.16577009788818</v>
      </c>
      <c r="AO19" s="60">
        <f t="shared" si="36"/>
        <v>289.37159333739146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13.760000000000002</v>
      </c>
      <c r="BD19" s="13">
        <f>IF('Données projet'!$A$88&gt;35,BD18+BC19-BL18,IF(A19&lt;'Données projet'!$A$88,$BA$205^A19,IF(A19='Données projet'!$A$88,'Données projet'!$B$88,BD18+BC19-BL18)))</f>
        <v>78.260000000000005</v>
      </c>
      <c r="BE19" s="14">
        <f>BD19*VLOOKUP('Données projet'!$B$11,Paramètres!$A$1:$I$89,3,0)*VLOOKUP('Données projet'!$B$11,Paramètres!$A$1:$I$89,5,0)</f>
        <v>57.380232000000007</v>
      </c>
      <c r="BF19" s="14">
        <f t="shared" si="37"/>
        <v>16.504198297054995</v>
      </c>
      <c r="BG19" s="22">
        <f t="shared" si="7"/>
        <v>128.68204943403745</v>
      </c>
      <c r="BH19" s="60">
        <f t="shared" si="8"/>
        <v>340.95866893125987</v>
      </c>
      <c r="BI19" s="60">
        <f ca="1">AVERAGE(OFFSET($BH$3,0,0,'Données projet'!$E$11+1,1))-AVERAGE(OFFSET($H$3,0,0,'Données projet'!$E$11+1,1))</f>
        <v>366.5170155168056</v>
      </c>
      <c r="BJ19" s="60">
        <f t="shared" si="38"/>
        <v>394.05057214541966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10</v>
      </c>
      <c r="BY19" s="13">
        <f>IF('Données projet'!$A$114&gt;35,BY18+BX19-CG18,IF(A19&lt;'Données projet'!$A$114,$BV$205^A19,IF(A19='Données projet'!$A$114,'Données projet'!$B$114,BY18+BX19-CG18)))</f>
        <v>147</v>
      </c>
      <c r="BZ19" s="14">
        <f>BY19*VLOOKUP('Données projet'!$B$12,Paramètres!$A$1:$I$89,3,0)*VLOOKUP('Données projet'!$B$12,Paramètres!$A$1:$I$89,5,0)</f>
        <v>133.00559999999999</v>
      </c>
      <c r="CA19" s="14">
        <f t="shared" si="39"/>
        <v>34.689938673073549</v>
      </c>
      <c r="CB19" s="22">
        <f t="shared" si="10"/>
        <v>292.06972985560304</v>
      </c>
      <c r="CC19" s="60">
        <f t="shared" si="11"/>
        <v>504.34634935282543</v>
      </c>
      <c r="CD19" s="60">
        <f ca="1">AVERAGE(OFFSET($CC$3,0,0,'Données projet'!$E$12+1,1))-AVERAGE(OFFSET($H$3,0,0,'Données projet'!$E$12+1,1))</f>
        <v>333.512642972663</v>
      </c>
      <c r="CE19" s="60">
        <f t="shared" si="40"/>
        <v>464.18634682168488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21.407853367508512</v>
      </c>
      <c r="CV19" s="14">
        <f t="shared" si="41"/>
        <v>6.906316464991046</v>
      </c>
      <c r="CW19" s="22">
        <f t="shared" si="13"/>
        <v>49.313845791603399</v>
      </c>
      <c r="CX19" s="60">
        <f t="shared" si="14"/>
        <v>261.59046528882584</v>
      </c>
      <c r="CY19" s="60">
        <f ca="1">AVERAGE(OFFSET($CX$3,0,0,'Données projet'!$E$13+1,1))-AVERAGE(OFFSET($H$3,0,0,'Données projet'!$E$13+1,1))</f>
        <v>539.76438066597848</v>
      </c>
      <c r="CZ19" s="60">
        <f t="shared" si="42"/>
        <v>303.47238367344937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0">
        <f t="shared" si="17"/>
        <v>256.72303183939408</v>
      </c>
      <c r="DT19" s="60">
        <f ca="1">AVERAGE(OFFSET($DS$3,0,0,'Données projet'!$E$14+1,1))-AVERAGE(OFFSET($H$3,0,0,'Données projet'!$E$14+1,1))</f>
        <v>493.19478874005267</v>
      </c>
      <c r="DU19" s="60">
        <f t="shared" si="44"/>
        <v>278.78337903007821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2.8</v>
      </c>
      <c r="EJ19" s="13">
        <f>IF('Données projet'!$A$192&gt;35,EJ18+EI19-ER18,IF(A19&lt;'Données projet'!$A$192,$EG$205^A19,IF(A19='Données projet'!$A$192,'Données projet'!$B$192,EJ18+EI19-ER18)))</f>
        <v>25.035162898423533</v>
      </c>
      <c r="EK19" s="18">
        <f>EJ19*VLOOKUP('Données projet'!$B$15,Paramètres!$A$1:$I$89,3,0)*VLOOKUP('Données projet'!$B$15,Paramètres!$A$1:$I$89,5,0)</f>
        <v>21.480169766847393</v>
      </c>
      <c r="EL19" s="14">
        <f t="shared" si="45"/>
        <v>6.9269265873873334</v>
      </c>
      <c r="EM19" s="22">
        <f t="shared" si="19"/>
        <v>49.475692816958805</v>
      </c>
      <c r="EN19" s="60">
        <f t="shared" si="20"/>
        <v>261.75231231418121</v>
      </c>
      <c r="EO19" s="60">
        <f ca="1">AVERAGE(OFFSET($EN$3,0,0,'Données projet'!$E$15+1,1))-AVERAGE(OFFSET($H$3,0,0,'Données projet'!$E$15+1,1))</f>
        <v>698.30188737818639</v>
      </c>
      <c r="EP19" s="60">
        <f t="shared" si="46"/>
        <v>329.77977151358482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11.2</v>
      </c>
      <c r="FE19" s="13">
        <f>IF('Données projet'!$A$218&gt;35,FE18+FD19-FM18,IF(A19&lt;'Données projet'!$A$218,$FB$205^A19,IF(A19='Données projet'!$A$218,'Données projet'!$B$218,FE18+FD19-FM18)))</f>
        <v>84.199999999999989</v>
      </c>
      <c r="FF19" s="18">
        <f>FE19*VLOOKUP('Données projet'!$B$16,Paramètres!$A$1:$I$89,3,0)*VLOOKUP('Données projet'!$B$16,Paramètres!$A$1:$I$89,5,0)</f>
        <v>73.557119999999998</v>
      </c>
      <c r="FG19" s="14">
        <f t="shared" si="47"/>
        <v>20.554251427792224</v>
      </c>
      <c r="FH19" s="22">
        <f t="shared" si="22"/>
        <v>163.91063857007143</v>
      </c>
      <c r="FI19" s="60">
        <f t="shared" si="23"/>
        <v>376.18725806729384</v>
      </c>
      <c r="FJ19" s="60">
        <f ca="1">AVERAGE(OFFSET($FI$3,0,0,'Données projet'!$E$16+1,1))-AVERAGE(OFFSET($H$3,0,0,'Données projet'!$E$16+1,1))</f>
        <v>396.99335548279453</v>
      </c>
      <c r="FK19" s="60">
        <f t="shared" si="48"/>
        <v>388.89849573746335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52.560290165909137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4.6150000000000002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16.921666666666667</v>
      </c>
      <c r="H20" s="68">
        <f t="shared" si="1"/>
        <v>188.98000000000002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0">
        <f t="shared" si="0"/>
        <v>293.48352983318648</v>
      </c>
      <c r="S20" s="60">
        <f ca="1">AVERAGE(OFFSET($R$3,0,0,'Données projet'!$E$9+1,1))-AVERAGE(OFFSET($H$3,0,0,'Données projet'!$E$9+1,1))</f>
        <v>550.53475891182575</v>
      </c>
      <c r="T20" s="60">
        <f t="shared" si="34"/>
        <v>350.2500324347194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270.40843250972813</v>
      </c>
      <c r="AN20" s="60">
        <f ca="1">AVERAGE(OFFSET($AM$3,0,0,'Données projet'!$E$10+1,1))-AVERAGE(OFFSET($H$3,0,0,'Données projet'!$E$10+1,1))</f>
        <v>513.16577009788818</v>
      </c>
      <c r="AO20" s="60">
        <f t="shared" si="36"/>
        <v>289.37159333739146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13.760000000000002</v>
      </c>
      <c r="BD20" s="13">
        <f>IF('Données projet'!$A$88&gt;35,BD19+BC20-BL19,IF(A20&lt;'Données projet'!$A$88,$BA$205^A20,IF(A20='Données projet'!$A$88,'Données projet'!$B$88,BD19+BC20-BL19)))</f>
        <v>92.02000000000001</v>
      </c>
      <c r="BE20" s="14">
        <f>BD20*VLOOKUP('Données projet'!$B$11,Paramètres!$A$1:$I$89,3,0)*VLOOKUP('Données projet'!$B$11,Paramètres!$A$1:$I$89,5,0)</f>
        <v>67.469064000000003</v>
      </c>
      <c r="BF20" s="14">
        <f t="shared" si="37"/>
        <v>19.043596226295445</v>
      </c>
      <c r="BG20" s="22">
        <f t="shared" si="7"/>
        <v>150.67621656079791</v>
      </c>
      <c r="BH20" s="60">
        <f t="shared" si="8"/>
        <v>365.28437152657068</v>
      </c>
      <c r="BI20" s="60">
        <f ca="1">AVERAGE(OFFSET($BH$3,0,0,'Données projet'!$E$11+1,1))-AVERAGE(OFFSET($H$3,0,0,'Données projet'!$E$11+1,1))</f>
        <v>366.5170155168056</v>
      </c>
      <c r="BJ20" s="60">
        <f t="shared" si="38"/>
        <v>394.05057214541966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10</v>
      </c>
      <c r="BY20" s="13">
        <f>IF('Données projet'!$A$114&gt;35,BY19+BX20-CG19,IF(A20&lt;'Données projet'!$A$114,$BV$205^A20,IF(A20='Données projet'!$A$114,'Données projet'!$B$114,BY19+BX20-CG19)))</f>
        <v>157</v>
      </c>
      <c r="BZ20" s="14">
        <f>BY20*VLOOKUP('Données projet'!$B$12,Paramètres!$A$1:$I$89,3,0)*VLOOKUP('Données projet'!$B$12,Paramètres!$A$1:$I$89,5,0)</f>
        <v>142.05359999999999</v>
      </c>
      <c r="CA20" s="14">
        <f t="shared" si="39"/>
        <v>36.767056963845924</v>
      </c>
      <c r="CB20" s="22">
        <f t="shared" si="10"/>
        <v>311.445977545365</v>
      </c>
      <c r="CC20" s="60">
        <f t="shared" si="11"/>
        <v>526.05413251113782</v>
      </c>
      <c r="CD20" s="60">
        <f ca="1">AVERAGE(OFFSET($CC$3,0,0,'Données projet'!$E$12+1,1))-AVERAGE(OFFSET($H$3,0,0,'Données projet'!$E$12+1,1))</f>
        <v>333.512642972663</v>
      </c>
      <c r="CE20" s="60">
        <f t="shared" si="40"/>
        <v>464.18634682168488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25.80688496437903</v>
      </c>
      <c r="CV20" s="14">
        <f t="shared" si="41"/>
        <v>8.146323052908933</v>
      </c>
      <c r="CW20" s="22">
        <f t="shared" si="13"/>
        <v>59.135170630109862</v>
      </c>
      <c r="CX20" s="60">
        <f t="shared" si="14"/>
        <v>273.74332559588265</v>
      </c>
      <c r="CY20" s="60">
        <f ca="1">AVERAGE(OFFSET($CX$3,0,0,'Données projet'!$E$13+1,1))-AVERAGE(OFFSET($H$3,0,0,'Données projet'!$E$13+1,1))</f>
        <v>539.76438066597848</v>
      </c>
      <c r="CZ20" s="60">
        <f t="shared" si="42"/>
        <v>303.47238367344937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0">
        <f t="shared" si="17"/>
        <v>267.90384016229734</v>
      </c>
      <c r="DT20" s="60">
        <f ca="1">AVERAGE(OFFSET($DS$3,0,0,'Données projet'!$E$14+1,1))-AVERAGE(OFFSET($H$3,0,0,'Données projet'!$E$14+1,1))</f>
        <v>493.19478874005267</v>
      </c>
      <c r="DU20" s="60">
        <f t="shared" si="44"/>
        <v>278.78337903007821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2.8</v>
      </c>
      <c r="EJ20" s="13">
        <f>IF('Données projet'!$A$192&gt;35,EJ19+EI20-ER19,IF(A20&lt;'Données projet'!$A$192,$EG$205^A20,IF(A20='Données projet'!$A$192,'Données projet'!$B$192,EJ19+EI20-ER19)))</f>
        <v>30.61680181296855</v>
      </c>
      <c r="EK20" s="18">
        <f>EJ20*VLOOKUP('Données projet'!$B$15,Paramètres!$A$1:$I$89,3,0)*VLOOKUP('Données projet'!$B$15,Paramètres!$A$1:$I$89,5,0)</f>
        <v>26.26921595552702</v>
      </c>
      <c r="EL20" s="14">
        <f t="shared" si="45"/>
        <v>8.2751434680579159</v>
      </c>
      <c r="EM20" s="22">
        <f t="shared" si="19"/>
        <v>60.164759329410423</v>
      </c>
      <c r="EN20" s="60">
        <f t="shared" si="20"/>
        <v>274.77291429518317</v>
      </c>
      <c r="EO20" s="60">
        <f ca="1">AVERAGE(OFFSET($EN$3,0,0,'Données projet'!$E$15+1,1))-AVERAGE(OFFSET($H$3,0,0,'Données projet'!$E$15+1,1))</f>
        <v>698.30188737818639</v>
      </c>
      <c r="EP20" s="60">
        <f t="shared" si="46"/>
        <v>329.77977151358482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11.2</v>
      </c>
      <c r="FE20" s="13">
        <f>IF('Données projet'!$A$218&gt;35,FE19+FD20-FM19,IF(A20&lt;'Données projet'!$A$218,$FB$205^A20,IF(A20='Données projet'!$A$218,'Données projet'!$B$218,FE19+FD20-FM19)))</f>
        <v>95.399999999999991</v>
      </c>
      <c r="FF20" s="18">
        <f>FE20*VLOOKUP('Données projet'!$B$16,Paramètres!$A$1:$I$89,3,0)*VLOOKUP('Données projet'!$B$16,Paramètres!$A$1:$I$89,5,0)</f>
        <v>83.341440000000006</v>
      </c>
      <c r="FG20" s="14">
        <f t="shared" si="47"/>
        <v>22.952227742446681</v>
      </c>
      <c r="FH20" s="22">
        <f t="shared" si="22"/>
        <v>185.12813798476131</v>
      </c>
      <c r="FI20" s="60">
        <f t="shared" si="23"/>
        <v>399.73629295053411</v>
      </c>
      <c r="FJ20" s="60">
        <f ca="1">AVERAGE(OFFSET($FI$3,0,0,'Données projet'!$E$16+1,1))-AVERAGE(OFFSET($H$3,0,0,'Données projet'!$E$16+1,1))</f>
        <v>396.99335548279453</v>
      </c>
      <c r="FK20" s="60">
        <f t="shared" si="48"/>
        <v>388.89849573746335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52.862830142180457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4.6150000000000002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16.921666666666667</v>
      </c>
      <c r="H21" s="68">
        <f t="shared" si="1"/>
        <v>188.98000000000002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0">
        <f t="shared" si="0"/>
        <v>314.10503136071128</v>
      </c>
      <c r="S21" s="60">
        <f ca="1">AVERAGE(OFFSET($R$3,0,0,'Données projet'!$E$9+1,1))-AVERAGE(OFFSET($H$3,0,0,'Données projet'!$E$9+1,1))</f>
        <v>550.53475891182575</v>
      </c>
      <c r="T21" s="60">
        <f t="shared" si="34"/>
        <v>350.2500324347194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283.83782002379644</v>
      </c>
      <c r="AN21" s="60">
        <f ca="1">AVERAGE(OFFSET($AM$3,0,0,'Données projet'!$E$10+1,1))-AVERAGE(OFFSET($H$3,0,0,'Données projet'!$E$10+1,1))</f>
        <v>513.16577009788818</v>
      </c>
      <c r="AO21" s="60">
        <f t="shared" si="36"/>
        <v>289.37159333739146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13.760000000000002</v>
      </c>
      <c r="BD21" s="13">
        <f>IF('Données projet'!$A$88&gt;35,BD20+BC21-BL20,IF(A21&lt;'Données projet'!$A$88,$BA$205^A21,IF(A21='Données projet'!$A$88,'Données projet'!$B$88,BD20+BC21-BL20)))</f>
        <v>105.78000000000002</v>
      </c>
      <c r="BE21" s="14">
        <f>BD21*VLOOKUP('Données projet'!$B$11,Paramètres!$A$1:$I$89,3,0)*VLOOKUP('Données projet'!$B$11,Paramètres!$A$1:$I$89,5,0)</f>
        <v>77.557896000000014</v>
      </c>
      <c r="BF21" s="14">
        <f t="shared" si="37"/>
        <v>21.539003916671845</v>
      </c>
      <c r="BG21" s="22">
        <f t="shared" si="7"/>
        <v>172.59376735487015</v>
      </c>
      <c r="BH21" s="60">
        <f t="shared" si="8"/>
        <v>389.51421368442237</v>
      </c>
      <c r="BI21" s="60">
        <f ca="1">AVERAGE(OFFSET($BH$3,0,0,'Données projet'!$E$11+1,1))-AVERAGE(OFFSET($H$3,0,0,'Données projet'!$E$11+1,1))</f>
        <v>366.5170155168056</v>
      </c>
      <c r="BJ21" s="60">
        <f t="shared" si="38"/>
        <v>394.05057214541966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10</v>
      </c>
      <c r="BY21" s="13">
        <f>IF('Données projet'!$A$114&gt;35,BY20+BX21-CG20,IF(A21&lt;'Données projet'!$A$114,$BV$205^A21,IF(A21='Données projet'!$A$114,'Données projet'!$B$114,BY20+BX21-CG20)))</f>
        <v>167</v>
      </c>
      <c r="BZ21" s="14">
        <f>BY21*VLOOKUP('Données projet'!$B$12,Paramètres!$A$1:$I$89,3,0)*VLOOKUP('Données projet'!$B$12,Paramètres!$A$1:$I$89,5,0)</f>
        <v>151.10159999999999</v>
      </c>
      <c r="CA21" s="14">
        <f t="shared" si="39"/>
        <v>38.82882146347977</v>
      </c>
      <c r="CB21" s="22">
        <f t="shared" si="10"/>
        <v>330.79548404889391</v>
      </c>
      <c r="CC21" s="60">
        <f t="shared" si="11"/>
        <v>547.71593037844616</v>
      </c>
      <c r="CD21" s="60">
        <f ca="1">AVERAGE(OFFSET($CC$3,0,0,'Données projet'!$E$12+1,1))-AVERAGE(OFFSET($H$3,0,0,'Données projet'!$E$12+1,1))</f>
        <v>333.512642972663</v>
      </c>
      <c r="CE21" s="60">
        <f t="shared" si="40"/>
        <v>464.18634682168488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31.109859551611933</v>
      </c>
      <c r="CV21" s="14">
        <f t="shared" si="41"/>
        <v>9.6089687778941872</v>
      </c>
      <c r="CW21" s="22">
        <f t="shared" si="13"/>
        <v>70.918626007223153</v>
      </c>
      <c r="CX21" s="60">
        <f t="shared" si="14"/>
        <v>287.83907233677536</v>
      </c>
      <c r="CY21" s="60">
        <f ca="1">AVERAGE(OFFSET($CX$3,0,0,'Données projet'!$E$13+1,1))-AVERAGE(OFFSET($H$3,0,0,'Données projet'!$E$13+1,1))</f>
        <v>539.76438066597848</v>
      </c>
      <c r="CZ21" s="60">
        <f t="shared" si="42"/>
        <v>303.47238367344937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0">
        <f t="shared" si="17"/>
        <v>280.83284375164709</v>
      </c>
      <c r="DT21" s="60">
        <f ca="1">AVERAGE(OFFSET($DS$3,0,0,'Données projet'!$E$14+1,1))-AVERAGE(OFFSET($H$3,0,0,'Données projet'!$E$14+1,1))</f>
        <v>493.19478874005267</v>
      </c>
      <c r="DU21" s="60">
        <f t="shared" si="44"/>
        <v>278.78337903007821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2.8</v>
      </c>
      <c r="EJ21" s="13">
        <f>IF('Données projet'!$A$192&gt;35,EJ20+EI21-ER20,IF(A21&lt;'Données projet'!$A$192,$EG$205^A21,IF(A21='Données projet'!$A$192,'Données projet'!$B$192,EJ20+EI21-ER20)))</f>
        <v>37.442878125375486</v>
      </c>
      <c r="EK21" s="18">
        <f>EJ21*VLOOKUP('Données projet'!$B$15,Paramètres!$A$1:$I$89,3,0)*VLOOKUP('Données projet'!$B$15,Paramètres!$A$1:$I$89,5,0)</f>
        <v>32.125989431572172</v>
      </c>
      <c r="EL21" s="14">
        <f t="shared" si="45"/>
        <v>9.8857694755459775</v>
      </c>
      <c r="EM21" s="22">
        <f t="shared" si="19"/>
        <v>73.170480096564106</v>
      </c>
      <c r="EN21" s="60">
        <f t="shared" si="20"/>
        <v>290.09092642611631</v>
      </c>
      <c r="EO21" s="60">
        <f ca="1">AVERAGE(OFFSET($EN$3,0,0,'Données projet'!$E$15+1,1))-AVERAGE(OFFSET($H$3,0,0,'Données projet'!$E$15+1,1))</f>
        <v>698.30188737818639</v>
      </c>
      <c r="EP21" s="60">
        <f t="shared" si="46"/>
        <v>329.77977151358482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11.2</v>
      </c>
      <c r="FE21" s="13">
        <f>IF('Données projet'!$A$218&gt;35,FE20+FD21-FM20,IF(A21&lt;'Données projet'!$A$218,$FB$205^A21,IF(A21='Données projet'!$A$218,'Données projet'!$B$218,FE20+FD21-FM20)))</f>
        <v>106.6</v>
      </c>
      <c r="FF21" s="18">
        <f>FE21*VLOOKUP('Données projet'!$B$16,Paramètres!$A$1:$I$89,3,0)*VLOOKUP('Données projet'!$B$16,Paramètres!$A$1:$I$89,5,0)</f>
        <v>93.125760000000014</v>
      </c>
      <c r="FG21" s="14">
        <f t="shared" si="47"/>
        <v>25.317578585717406</v>
      </c>
      <c r="FH21" s="22">
        <f t="shared" si="22"/>
        <v>206.2888147034578</v>
      </c>
      <c r="FI21" s="60">
        <f t="shared" si="23"/>
        <v>423.20926103301002</v>
      </c>
      <c r="FJ21" s="60">
        <f ca="1">AVERAGE(OFFSET($FI$3,0,0,'Données projet'!$E$16+1,1))-AVERAGE(OFFSET($H$3,0,0,'Données projet'!$E$16+1,1))</f>
        <v>396.99335548279453</v>
      </c>
      <c r="FK21" s="60">
        <f t="shared" si="48"/>
        <v>388.89849573746335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53.160121726241513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4.6150000000000002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16.921666666666667</v>
      </c>
      <c r="H22" s="68">
        <f t="shared" si="1"/>
        <v>188.98000000000002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0">
        <f t="shared" si="0"/>
        <v>338.97090272549849</v>
      </c>
      <c r="S22" s="60">
        <f ca="1">AVERAGE(OFFSET($R$3,0,0,'Données projet'!$E$9+1,1))-AVERAGE(OFFSET($H$3,0,0,'Données projet'!$E$9+1,1))</f>
        <v>550.53475891182575</v>
      </c>
      <c r="T22" s="60">
        <f t="shared" si="34"/>
        <v>350.2500324347194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299.47002967178804</v>
      </c>
      <c r="AN22" s="60">
        <f ca="1">AVERAGE(OFFSET($AM$3,0,0,'Données projet'!$E$10+1,1))-AVERAGE(OFFSET($H$3,0,0,'Données projet'!$E$10+1,1))</f>
        <v>513.16577009788818</v>
      </c>
      <c r="AO22" s="60">
        <f t="shared" si="36"/>
        <v>289.37159333739146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13.760000000000002</v>
      </c>
      <c r="BD22" s="13">
        <f>IF('Données projet'!$A$88&gt;35,BD21+BC22-BL21,IF(A22&lt;'Données projet'!$A$88,$BA$205^A22,IF(A22='Données projet'!$A$88,'Données projet'!$B$88,BD21+BC22-BL21)))</f>
        <v>119.54000000000002</v>
      </c>
      <c r="BE22" s="14">
        <f>BD22*VLOOKUP('Données projet'!$B$11,Paramètres!$A$1:$I$89,3,0)*VLOOKUP('Données projet'!$B$11,Paramètres!$A$1:$I$89,5,0)</f>
        <v>87.64672800000001</v>
      </c>
      <c r="BF22" s="14">
        <f t="shared" si="37"/>
        <v>23.996800240409819</v>
      </c>
      <c r="BG22" s="22">
        <f t="shared" si="7"/>
        <v>194.44581168538045</v>
      </c>
      <c r="BH22" s="60">
        <f t="shared" si="8"/>
        <v>413.65963911613568</v>
      </c>
      <c r="BI22" s="60">
        <f ca="1">AVERAGE(OFFSET($BH$3,0,0,'Données projet'!$E$11+1,1))-AVERAGE(OFFSET($H$3,0,0,'Données projet'!$E$11+1,1))</f>
        <v>366.5170155168056</v>
      </c>
      <c r="BJ22" s="60">
        <f t="shared" si="38"/>
        <v>394.05057214541966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10</v>
      </c>
      <c r="BY22" s="13">
        <f>IF('Données projet'!$A$114&gt;35,BY21+BX22-CG21,IF(A22&lt;'Données projet'!$A$114,$BV$205^A22,IF(A22='Données projet'!$A$114,'Données projet'!$B$114,BY21+BX22-CG21)))</f>
        <v>177</v>
      </c>
      <c r="BZ22" s="14">
        <f>BY22*VLOOKUP('Données projet'!$B$12,Paramètres!$A$1:$I$89,3,0)*VLOOKUP('Données projet'!$B$12,Paramètres!$A$1:$I$89,5,0)</f>
        <v>160.14959999999999</v>
      </c>
      <c r="CA22" s="14">
        <f t="shared" si="39"/>
        <v>40.876256268741535</v>
      </c>
      <c r="CB22" s="22">
        <f t="shared" si="10"/>
        <v>350.1200330013915</v>
      </c>
      <c r="CC22" s="60">
        <f t="shared" si="11"/>
        <v>569.33386043214671</v>
      </c>
      <c r="CD22" s="60">
        <f ca="1">AVERAGE(OFFSET($CC$3,0,0,'Données projet'!$E$12+1,1))-AVERAGE(OFFSET($H$3,0,0,'Données projet'!$E$12+1,1))</f>
        <v>333.512642972663</v>
      </c>
      <c r="CE22" s="60">
        <f t="shared" si="40"/>
        <v>464.18634682168488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37.502525494917215</v>
      </c>
      <c r="CV22" s="14">
        <f t="shared" si="41"/>
        <v>11.334227770598273</v>
      </c>
      <c r="CW22" s="22">
        <f t="shared" si="13"/>
        <v>85.057345270772814</v>
      </c>
      <c r="CX22" s="60">
        <f t="shared" si="14"/>
        <v>304.27117270152803</v>
      </c>
      <c r="CY22" s="60">
        <f ca="1">AVERAGE(OFFSET($CX$3,0,0,'Données projet'!$E$13+1,1))-AVERAGE(OFFSET($H$3,0,0,'Données projet'!$E$13+1,1))</f>
        <v>539.76438066597848</v>
      </c>
      <c r="CZ22" s="60">
        <f t="shared" si="42"/>
        <v>303.47238367344937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0">
        <f t="shared" si="17"/>
        <v>295.86441052517176</v>
      </c>
      <c r="DT22" s="60">
        <f ca="1">AVERAGE(OFFSET($DS$3,0,0,'Données projet'!$E$14+1,1))-AVERAGE(OFFSET($H$3,0,0,'Données projet'!$E$14+1,1))</f>
        <v>493.19478874005267</v>
      </c>
      <c r="DU22" s="60">
        <f t="shared" si="44"/>
        <v>278.78337903007821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2.8</v>
      </c>
      <c r="EJ22" s="13">
        <f>IF('Données projet'!$A$192&gt;35,EJ21+EI22-ER21,IF(A22&lt;'Données projet'!$A$192,$EG$205^A22,IF(A22='Données projet'!$A$192,'Données projet'!$B$192,EJ21+EI22-ER21)))</f>
        <v>45.79084160638493</v>
      </c>
      <c r="EK22" s="18">
        <f>EJ22*VLOOKUP('Données projet'!$B$15,Paramètres!$A$1:$I$89,3,0)*VLOOKUP('Données projet'!$B$15,Paramètres!$A$1:$I$89,5,0)</f>
        <v>39.28854209827827</v>
      </c>
      <c r="EL22" s="14">
        <f t="shared" si="45"/>
        <v>11.809878402817876</v>
      </c>
      <c r="EM22" s="22">
        <f t="shared" si="19"/>
        <v>88.99641570607578</v>
      </c>
      <c r="EN22" s="60">
        <f t="shared" si="20"/>
        <v>308.21024313683102</v>
      </c>
      <c r="EO22" s="60">
        <f ca="1">AVERAGE(OFFSET($EN$3,0,0,'Données projet'!$E$15+1,1))-AVERAGE(OFFSET($H$3,0,0,'Données projet'!$E$15+1,1))</f>
        <v>698.30188737818639</v>
      </c>
      <c r="EP22" s="60">
        <f t="shared" si="46"/>
        <v>329.77977151358482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11.2</v>
      </c>
      <c r="FE22" s="13">
        <f>IF('Données projet'!$A$218&gt;35,FE21+FD22-FM21,IF(A22&lt;'Données projet'!$A$218,$FB$205^A22,IF(A22='Données projet'!$A$218,'Données projet'!$B$218,FE21+FD22-FM21)))</f>
        <v>117.8</v>
      </c>
      <c r="FF22" s="18">
        <f>FE22*VLOOKUP('Données projet'!$B$16,Paramètres!$A$1:$I$89,3,0)*VLOOKUP('Données projet'!$B$16,Paramètres!$A$1:$I$89,5,0)</f>
        <v>102.91008000000001</v>
      </c>
      <c r="FG22" s="14">
        <f t="shared" si="47"/>
        <v>27.654122306790427</v>
      </c>
      <c r="FH22" s="22">
        <f t="shared" si="22"/>
        <v>227.39931901765999</v>
      </c>
      <c r="FI22" s="60">
        <f t="shared" si="23"/>
        <v>446.61314644841525</v>
      </c>
      <c r="FJ22" s="60">
        <f ca="1">AVERAGE(OFFSET($FI$3,0,0,'Données projet'!$E$16+1,1))-AVERAGE(OFFSET($H$3,0,0,'Données projet'!$E$16+1,1))</f>
        <v>396.99335548279453</v>
      </c>
      <c r="FK22" s="60">
        <f t="shared" si="48"/>
        <v>388.89849573746335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53.452255965963538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4.6150000000000002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16.921666666666667</v>
      </c>
      <c r="H23" s="68">
        <f t="shared" si="1"/>
        <v>188.98000000000002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0">
        <f t="shared" si="0"/>
        <v>369.07701052450739</v>
      </c>
      <c r="S23" s="60">
        <f ca="1">AVERAGE(OFFSET($R$3,0,0,'Données projet'!$E$9+1,1))-AVERAGE(OFFSET($H$3,0,0,'Données projet'!$E$9+1,1))</f>
        <v>550.53475891182575</v>
      </c>
      <c r="T23" s="60">
        <f t="shared" si="34"/>
        <v>350.2500324347194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317.75067145976396</v>
      </c>
      <c r="AN23" s="60">
        <f ca="1">AVERAGE(OFFSET($AM$3,0,0,'Données projet'!$E$10+1,1))-AVERAGE(OFFSET($H$3,0,0,'Données projet'!$E$10+1,1))</f>
        <v>513.16577009788818</v>
      </c>
      <c r="AO23" s="60">
        <f t="shared" si="36"/>
        <v>289.37159333739146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133.30000000000001</v>
      </c>
      <c r="BB23" s="13">
        <f>VLOOKUP(A23,'Données projet'!$A$87:$I$107,9,0)</f>
        <v>13.760000000000002</v>
      </c>
      <c r="BC23" s="13">
        <f t="array" ref="BC23">INDEX(BB:BB,MIN(IF(ISNUMBER(BB23:BB219),ROW(BB23:BB219),"")))</f>
        <v>13.760000000000002</v>
      </c>
      <c r="BD23" s="13">
        <f>IF('Données projet'!$A$88&gt;35,BD22+BC23-BL22,IF(A23&lt;'Données projet'!$A$88,$BA$205^A23,IF(A23='Données projet'!$A$88,'Données projet'!$B$88,BD22+BC23-BL22)))</f>
        <v>133.30000000000001</v>
      </c>
      <c r="BE23" s="14">
        <f>BD23*VLOOKUP('Données projet'!$B$11,Paramètres!$A$1:$I$89,3,0)*VLOOKUP('Données projet'!$B$11,Paramètres!$A$1:$I$89,5,0)</f>
        <v>97.735560000000007</v>
      </c>
      <c r="BF23" s="14">
        <f t="shared" si="37"/>
        <v>26.421808908404628</v>
      </c>
      <c r="BG23" s="22">
        <f t="shared" si="7"/>
        <v>216.24075084880474</v>
      </c>
      <c r="BH23" s="60">
        <f t="shared" si="8"/>
        <v>437.72937716896502</v>
      </c>
      <c r="BI23" s="60">
        <f ca="1">AVERAGE(OFFSET($BH$3,0,0,'Données projet'!$E$11+1,1))-AVERAGE(OFFSET($H$3,0,0,'Données projet'!$E$11+1,1))</f>
        <v>366.5170155168056</v>
      </c>
      <c r="BJ23" s="60">
        <f t="shared" si="38"/>
        <v>394.05057214541966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66.5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187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187</v>
      </c>
      <c r="BZ23" s="14">
        <f>BY23*VLOOKUP('Données projet'!$B$12,Paramètres!$A$1:$I$89,3,0)*VLOOKUP('Données projet'!$B$12,Paramètres!$A$1:$I$89,5,0)</f>
        <v>169.19759999999999</v>
      </c>
      <c r="CA23" s="14">
        <f t="shared" si="39"/>
        <v>42.910263223432885</v>
      </c>
      <c r="CB23" s="22">
        <f t="shared" si="10"/>
        <v>369.42119511414558</v>
      </c>
      <c r="CC23" s="60">
        <f t="shared" si="11"/>
        <v>590.90982143430585</v>
      </c>
      <c r="CD23" s="60">
        <f ca="1">AVERAGE(OFFSET($CC$3,0,0,'Données projet'!$E$12+1,1))-AVERAGE(OFFSET($H$3,0,0,'Données projet'!$E$12+1,1))</f>
        <v>333.512642972663</v>
      </c>
      <c r="CE23" s="60">
        <f t="shared" si="40"/>
        <v>464.18634682168488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56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45.208799999999997</v>
      </c>
      <c r="CV23" s="14">
        <f t="shared" si="41"/>
        <v>13.369251386406743</v>
      </c>
      <c r="CW23" s="22">
        <f t="shared" si="13"/>
        <v>102.02343949799173</v>
      </c>
      <c r="CX23" s="60">
        <f t="shared" si="14"/>
        <v>323.512065818152</v>
      </c>
      <c r="CY23" s="60">
        <f ca="1">AVERAGE(OFFSET($CX$3,0,0,'Données projet'!$E$13+1,1))-AVERAGE(OFFSET($H$3,0,0,'Données projet'!$E$13+1,1))</f>
        <v>539.76438066597848</v>
      </c>
      <c r="CZ23" s="60">
        <f t="shared" si="42"/>
        <v>303.47238367344937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0">
        <f t="shared" si="17"/>
        <v>313.42400883766584</v>
      </c>
      <c r="DT23" s="60">
        <f ca="1">AVERAGE(OFFSET($DS$3,0,0,'Données projet'!$E$14+1,1))-AVERAGE(OFFSET($H$3,0,0,'Données projet'!$E$14+1,1))</f>
        <v>493.19478874005267</v>
      </c>
      <c r="DU23" s="60">
        <f t="shared" si="44"/>
        <v>278.78337903007821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56</v>
      </c>
      <c r="EH23" s="13">
        <f>VLOOKUP(A23,'Données projet'!$A$191:$I$211,9,0)</f>
        <v>2.8</v>
      </c>
      <c r="EI23" s="13">
        <f t="array" ref="EI23">INDEX(EH:EH,MIN(IF(ISNUMBER(EH23:EH219),ROW(EH23:EH219),"")))</f>
        <v>2.8</v>
      </c>
      <c r="EJ23" s="13">
        <f>IF('Données projet'!$A$192&gt;35,EJ22+EI23-ER22,IF(A23&lt;'Données projet'!$A$192,$EG$205^A23,IF(A23='Données projet'!$A$192,'Données projet'!$B$192,EJ22+EI23-ER22)))</f>
        <v>56</v>
      </c>
      <c r="EK23" s="18">
        <f>EJ23*VLOOKUP('Données projet'!$B$15,Paramètres!$A$1:$I$89,3,0)*VLOOKUP('Données projet'!$B$15,Paramètres!$A$1:$I$89,5,0)</f>
        <v>48.048000000000009</v>
      </c>
      <c r="EL23" s="14">
        <f t="shared" si="45"/>
        <v>14.108484750160622</v>
      </c>
      <c r="EM23" s="22">
        <f t="shared" si="19"/>
        <v>108.25587760652975</v>
      </c>
      <c r="EN23" s="60">
        <f t="shared" si="20"/>
        <v>329.74450392669002</v>
      </c>
      <c r="EO23" s="60">
        <f ca="1">AVERAGE(OFFSET($EN$3,0,0,'Données projet'!$E$15+1,1))-AVERAGE(OFFSET($H$3,0,0,'Données projet'!$E$15+1,1))</f>
        <v>698.30188737818639</v>
      </c>
      <c r="EP23" s="60">
        <f t="shared" si="46"/>
        <v>329.77977151358482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129</v>
      </c>
      <c r="FC23" s="13">
        <f>VLOOKUP(A23,'Données projet'!$A$217:$I$237,9,0)</f>
        <v>11.2</v>
      </c>
      <c r="FD23" s="13">
        <f t="array" ref="FD23">INDEX(FC:FC,MIN(IF(ISNUMBER(FC23:FC219),ROW(FC23:FC219),"")))</f>
        <v>11.2</v>
      </c>
      <c r="FE23" s="13">
        <f>IF('Données projet'!$A$218&gt;35,FE22+FD23-FM22,IF(A23&lt;'Données projet'!$A$218,$FB$205^A23,IF(A23='Données projet'!$A$218,'Données projet'!$B$218,FE22+FD23-FM22)))</f>
        <v>129</v>
      </c>
      <c r="FF23" s="18">
        <f>FE23*VLOOKUP('Données projet'!$B$16,Paramètres!$A$1:$I$89,3,0)*VLOOKUP('Données projet'!$B$16,Paramètres!$A$1:$I$89,5,0)</f>
        <v>112.69440000000002</v>
      </c>
      <c r="FG23" s="14">
        <f t="shared" si="47"/>
        <v>29.964909381330632</v>
      </c>
      <c r="FH23" s="22">
        <f t="shared" si="22"/>
        <v>248.46496383915087</v>
      </c>
      <c r="FI23" s="60">
        <f t="shared" si="23"/>
        <v>469.95359015931115</v>
      </c>
      <c r="FJ23" s="60">
        <f ca="1">AVERAGE(OFFSET($FI$3,0,0,'Données projet'!$E$16+1,1))-AVERAGE(OFFSET($H$3,0,0,'Données projet'!$E$16+1,1))</f>
        <v>396.99335548279453</v>
      </c>
      <c r="FK23" s="60">
        <f t="shared" si="48"/>
        <v>388.89849573746335</v>
      </c>
      <c r="FL23" s="16">
        <f>IF(ISNA(VLOOKUP(A23,'Données projet'!$A$217:$I$237,3,0)),0,VLOOKUP(A23,'Données projet'!$A$217:$I$237,3,0))</f>
        <v>1</v>
      </c>
      <c r="FM23" s="16">
        <f>IF(ISNA(VLOOKUP(A23,'Données projet'!$A$217:$I$237,4,0)),0,VLOOKUP(A23,'Données projet'!$A$217:$I$237,4,0))</f>
        <v>54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53.739322329740688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4.6150000000000002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16.921666666666667</v>
      </c>
      <c r="H24" s="68">
        <f t="shared" si="1"/>
        <v>188.98000000000002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0">
        <f t="shared" si="0"/>
        <v>373.69692727262378</v>
      </c>
      <c r="S24" s="60">
        <f ca="1">AVERAGE(OFFSET($R$3,0,0,'Données projet'!$E$9+1,1))-AVERAGE(OFFSET($H$3,0,0,'Données projet'!$E$9+1,1))</f>
        <v>550.53475891182575</v>
      </c>
      <c r="T24" s="60">
        <f t="shared" si="34"/>
        <v>350.2500324347194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332.48008810211769</v>
      </c>
      <c r="AN24" s="60">
        <f ca="1">AVERAGE(OFFSET($AM$3,0,0,'Données projet'!$E$10+1,1))-AVERAGE(OFFSET($H$3,0,0,'Données projet'!$E$10+1,1))</f>
        <v>513.16577009788818</v>
      </c>
      <c r="AO24" s="60">
        <f t="shared" si="36"/>
        <v>289.37159333739146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14.739999999999998</v>
      </c>
      <c r="BD24" s="13">
        <f>IF('Données projet'!$A$88&gt;35,BD23+BC24-BL23,IF(A24&lt;'Données projet'!$A$88,$BA$205^A24,IF(A24='Données projet'!$A$88,'Données projet'!$B$88,BD23+BC24-BL23)))</f>
        <v>81.54000000000002</v>
      </c>
      <c r="BE24" s="14">
        <f>BD24*VLOOKUP('Données projet'!$B$11,Paramètres!$A$1:$I$89,3,0)*VLOOKUP('Données projet'!$B$11,Paramètres!$A$1:$I$89,5,0)</f>
        <v>59.785128000000007</v>
      </c>
      <c r="BF24" s="14">
        <f t="shared" si="37"/>
        <v>17.113931291149598</v>
      </c>
      <c r="BG24" s="22">
        <f t="shared" si="7"/>
        <v>133.93252826541888</v>
      </c>
      <c r="BH24" s="60">
        <f t="shared" si="8"/>
        <v>357.6776936230176</v>
      </c>
      <c r="BI24" s="60">
        <f ca="1">AVERAGE(OFFSET($BH$3,0,0,'Données projet'!$E$11+1,1))-AVERAGE(OFFSET($H$3,0,0,'Données projet'!$E$11+1,1))</f>
        <v>366.5170155168056</v>
      </c>
      <c r="BJ24" s="60">
        <f t="shared" si="38"/>
        <v>394.05057214541966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0">
        <f t="shared" si="11"/>
        <v>501.06981711131027</v>
      </c>
      <c r="CD24" s="60">
        <f ca="1">AVERAGE(OFFSET($CC$3,0,0,'Données projet'!$E$12+1,1))-AVERAGE(OFFSET($H$3,0,0,'Données projet'!$E$12+1,1))</f>
        <v>333.512642972663</v>
      </c>
      <c r="CE24" s="60">
        <f t="shared" si="40"/>
        <v>464.18634682168488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51.236640000000001</v>
      </c>
      <c r="CV24" s="14">
        <f t="shared" si="41"/>
        <v>14.932671799321549</v>
      </c>
      <c r="CW24" s="22">
        <f t="shared" si="13"/>
        <v>115.24488471715169</v>
      </c>
      <c r="CX24" s="60">
        <f t="shared" si="14"/>
        <v>338.9900500747504</v>
      </c>
      <c r="CY24" s="60">
        <f ca="1">AVERAGE(OFFSET($CX$3,0,0,'Données projet'!$E$13+1,1))-AVERAGE(OFFSET($H$3,0,0,'Données projet'!$E$13+1,1))</f>
        <v>539.76438066597848</v>
      </c>
      <c r="CZ24" s="60">
        <f t="shared" si="42"/>
        <v>303.47238367344937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0">
        <f t="shared" si="17"/>
        <v>327.59134292604222</v>
      </c>
      <c r="DT24" s="60">
        <f ca="1">AVERAGE(OFFSET($DS$3,0,0,'Données projet'!$E$14+1,1))-AVERAGE(OFFSET($H$3,0,0,'Données projet'!$E$14+1,1))</f>
        <v>493.19478874005267</v>
      </c>
      <c r="DU24" s="60">
        <f t="shared" si="44"/>
        <v>278.78337903007821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11</v>
      </c>
      <c r="EJ24" s="13">
        <f>IF('Données projet'!$A$192&gt;35,EJ23+EI24-ER23,IF(A24&lt;'Données projet'!$A$192,$EG$205^A24,IF(A24='Données projet'!$A$192,'Données projet'!$B$192,EJ23+EI24-ER23)))</f>
        <v>67</v>
      </c>
      <c r="EK24" s="18">
        <f>EJ24*VLOOKUP('Données projet'!$B$15,Paramètres!$A$1:$I$89,3,0)*VLOOKUP('Données projet'!$B$15,Paramètres!$A$1:$I$89,5,0)</f>
        <v>57.486000000000004</v>
      </c>
      <c r="EL24" s="14">
        <f t="shared" si="45"/>
        <v>16.531076211754396</v>
      </c>
      <c r="EM24" s="22">
        <f t="shared" si="19"/>
        <v>128.9130744021389</v>
      </c>
      <c r="EN24" s="60">
        <f t="shared" si="20"/>
        <v>352.65823975973763</v>
      </c>
      <c r="EO24" s="60">
        <f ca="1">AVERAGE(OFFSET($EN$3,0,0,'Données projet'!$E$15+1,1))-AVERAGE(OFFSET($H$3,0,0,'Données projet'!$E$15+1,1))</f>
        <v>698.30188737818639</v>
      </c>
      <c r="EP24" s="60">
        <f t="shared" si="46"/>
        <v>329.77977151358482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10.199999999999999</v>
      </c>
      <c r="FE24" s="13">
        <f>IF('Données projet'!$A$218&gt;35,FE23+FD24-FM23,IF(A24&lt;'Données projet'!$A$218,$FB$205^A24,IF(A24='Données projet'!$A$218,'Données projet'!$B$218,FE23+FD24-FM23)))</f>
        <v>85.199999999999989</v>
      </c>
      <c r="FF24" s="18">
        <f>FE24*VLOOKUP('Données projet'!$B$16,Paramètres!$A$1:$I$89,3,0)*VLOOKUP('Données projet'!$B$16,Paramètres!$A$1:$I$89,5,0)</f>
        <v>74.430719999999994</v>
      </c>
      <c r="FG24" s="14">
        <f t="shared" si="47"/>
        <v>20.76980057385482</v>
      </c>
      <c r="FH24" s="22">
        <f t="shared" si="22"/>
        <v>165.80757333279712</v>
      </c>
      <c r="FI24" s="60">
        <f t="shared" si="23"/>
        <v>389.55273869039581</v>
      </c>
      <c r="FJ24" s="60">
        <f ca="1">AVERAGE(OFFSET($FI$3,0,0,'Données projet'!$E$16+1,1))-AVERAGE(OFFSET($H$3,0,0,'Données projet'!$E$16+1,1))</f>
        <v>396.99335548279453</v>
      </c>
      <c r="FK24" s="60">
        <f t="shared" si="48"/>
        <v>388.89849573746335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54.02140873389056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4.6150000000000002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16.921666666666667</v>
      </c>
      <c r="H25" s="68">
        <f t="shared" si="1"/>
        <v>188.98000000000002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0">
        <f t="shared" si="0"/>
        <v>390.09766761110598</v>
      </c>
      <c r="S25" s="60">
        <f ca="1">AVERAGE(OFFSET($R$3,0,0,'Données projet'!$E$9+1,1))-AVERAGE(OFFSET($H$3,0,0,'Données projet'!$E$9+1,1))</f>
        <v>550.53475891182575</v>
      </c>
      <c r="T25" s="60">
        <f t="shared" si="34"/>
        <v>350.2500324347194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347.15634521199445</v>
      </c>
      <c r="AN25" s="60">
        <f ca="1">AVERAGE(OFFSET($AM$3,0,0,'Données projet'!$E$10+1,1))-AVERAGE(OFFSET($H$3,0,0,'Données projet'!$E$10+1,1))</f>
        <v>513.16577009788818</v>
      </c>
      <c r="AO25" s="60">
        <f t="shared" si="36"/>
        <v>289.37159333739146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14.739999999999998</v>
      </c>
      <c r="BD25" s="13">
        <f>IF('Données projet'!$A$88&gt;35,BD24+BC25-BL24,IF(A25&lt;'Données projet'!$A$88,$BA$205^A25,IF(A25='Données projet'!$A$88,'Données projet'!$B$88,BD24+BC25-BL24)))</f>
        <v>96.280000000000015</v>
      </c>
      <c r="BE25" s="14">
        <f>BD25*VLOOKUP('Données projet'!$B$11,Paramètres!$A$1:$I$89,3,0)*VLOOKUP('Données projet'!$B$11,Paramètres!$A$1:$I$89,5,0)</f>
        <v>70.592496000000011</v>
      </c>
      <c r="BF25" s="14">
        <f t="shared" si="37"/>
        <v>19.82052295498838</v>
      </c>
      <c r="BG25" s="22">
        <f t="shared" si="7"/>
        <v>157.46934134660478</v>
      </c>
      <c r="BH25" s="60">
        <f t="shared" si="8"/>
        <v>383.45310265728381</v>
      </c>
      <c r="BI25" s="60">
        <f ca="1">AVERAGE(OFFSET($BH$3,0,0,'Données projet'!$E$11+1,1))-AVERAGE(OFFSET($H$3,0,0,'Données projet'!$E$11+1,1))</f>
        <v>366.5170155168056</v>
      </c>
      <c r="BJ25" s="60">
        <f t="shared" si="38"/>
        <v>394.05057214541966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0">
        <f t="shared" si="11"/>
        <v>519.6046213086338</v>
      </c>
      <c r="CD25" s="60">
        <f ca="1">AVERAGE(OFFSET($CC$3,0,0,'Données projet'!$E$12+1,1))-AVERAGE(OFFSET($H$3,0,0,'Données projet'!$E$12+1,1))</f>
        <v>333.512642972663</v>
      </c>
      <c r="CE25" s="60">
        <f t="shared" si="40"/>
        <v>464.18634682168488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57.264479999999999</v>
      </c>
      <c r="CV25" s="14">
        <f t="shared" si="41"/>
        <v>16.474776623807379</v>
      </c>
      <c r="CW25" s="22">
        <f t="shared" si="13"/>
        <v>128.42920528646451</v>
      </c>
      <c r="CX25" s="60">
        <f t="shared" si="14"/>
        <v>354.41296659714357</v>
      </c>
      <c r="CY25" s="60">
        <f ca="1">AVERAGE(OFFSET($CX$3,0,0,'Données projet'!$E$13+1,1))-AVERAGE(OFFSET($H$3,0,0,'Données projet'!$E$13+1,1))</f>
        <v>539.76438066597848</v>
      </c>
      <c r="CZ25" s="60">
        <f t="shared" si="42"/>
        <v>303.47238367344937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0">
        <f t="shared" si="17"/>
        <v>341.70695758860336</v>
      </c>
      <c r="DT25" s="60">
        <f ca="1">AVERAGE(OFFSET($DS$3,0,0,'Données projet'!$E$14+1,1))-AVERAGE(OFFSET($H$3,0,0,'Données projet'!$E$14+1,1))</f>
        <v>493.19478874005267</v>
      </c>
      <c r="DU25" s="60">
        <f t="shared" si="44"/>
        <v>278.78337903007821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11</v>
      </c>
      <c r="EJ25" s="13">
        <f>IF('Données projet'!$A$192&gt;35,EJ24+EI25-ER24,IF(A25&lt;'Données projet'!$A$192,$EG$205^A25,IF(A25='Données projet'!$A$192,'Données projet'!$B$192,EJ24+EI25-ER24)))</f>
        <v>78</v>
      </c>
      <c r="EK25" s="18">
        <f>EJ25*VLOOKUP('Données projet'!$B$15,Paramètres!$A$1:$I$89,3,0)*VLOOKUP('Données projet'!$B$15,Paramètres!$A$1:$I$89,5,0)</f>
        <v>66.924000000000007</v>
      </c>
      <c r="EL25" s="14">
        <f t="shared" si="45"/>
        <v>18.90759204786767</v>
      </c>
      <c r="EM25" s="22">
        <f t="shared" si="19"/>
        <v>149.49002281670286</v>
      </c>
      <c r="EN25" s="60">
        <f t="shared" si="20"/>
        <v>375.47378412738192</v>
      </c>
      <c r="EO25" s="60">
        <f ca="1">AVERAGE(OFFSET($EN$3,0,0,'Données projet'!$E$15+1,1))-AVERAGE(OFFSET($H$3,0,0,'Données projet'!$E$15+1,1))</f>
        <v>698.30188737818639</v>
      </c>
      <c r="EP25" s="60">
        <f t="shared" si="46"/>
        <v>329.77977151358482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10.199999999999999</v>
      </c>
      <c r="FE25" s="13">
        <f>IF('Données projet'!$A$218&gt;35,FE24+FD25-FM24,IF(A25&lt;'Données projet'!$A$218,$FB$205^A25,IF(A25='Données projet'!$A$218,'Données projet'!$B$218,FE24+FD25-FM24)))</f>
        <v>95.399999999999991</v>
      </c>
      <c r="FF25" s="18">
        <f>FE25*VLOOKUP('Données projet'!$B$16,Paramètres!$A$1:$I$89,3,0)*VLOOKUP('Données projet'!$B$16,Paramètres!$A$1:$I$89,5,0)</f>
        <v>83.341440000000006</v>
      </c>
      <c r="FG25" s="14">
        <f t="shared" si="47"/>
        <v>22.952227742446681</v>
      </c>
      <c r="FH25" s="22">
        <f t="shared" si="22"/>
        <v>185.12813798476131</v>
      </c>
      <c r="FI25" s="60">
        <f t="shared" si="23"/>
        <v>411.11189929544037</v>
      </c>
      <c r="FJ25" s="60">
        <f ca="1">AVERAGE(OFFSET($FI$3,0,0,'Données projet'!$E$16+1,1))-AVERAGE(OFFSET($H$3,0,0,'Données projet'!$E$16+1,1))</f>
        <v>396.99335548279453</v>
      </c>
      <c r="FK25" s="60">
        <f t="shared" si="48"/>
        <v>388.89849573746335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54.298601569579141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4.6150000000000002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16.921666666666667</v>
      </c>
      <c r="H26" s="68">
        <f t="shared" si="1"/>
        <v>188.98000000000002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0">
        <f t="shared" si="0"/>
        <v>406.45189260451679</v>
      </c>
      <c r="S26" s="60">
        <f ca="1">AVERAGE(OFFSET($R$3,0,0,'Données projet'!$E$9+1,1))-AVERAGE(OFFSET($H$3,0,0,'Données projet'!$E$9+1,1))</f>
        <v>550.53475891182575</v>
      </c>
      <c r="T26" s="60">
        <f t="shared" si="34"/>
        <v>350.2500324347194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361.7838834106476</v>
      </c>
      <c r="AN26" s="60">
        <f ca="1">AVERAGE(OFFSET($AM$3,0,0,'Données projet'!$E$10+1,1))-AVERAGE(OFFSET($H$3,0,0,'Données projet'!$E$10+1,1))</f>
        <v>513.16577009788818</v>
      </c>
      <c r="AO26" s="60">
        <f t="shared" si="36"/>
        <v>289.37159333739146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14.739999999999998</v>
      </c>
      <c r="BD26" s="13">
        <f>IF('Données projet'!$A$88&gt;35,BD25+BC26-BL25,IF(A26&lt;'Données projet'!$A$88,$BA$205^A26,IF(A26='Données projet'!$A$88,'Données projet'!$B$88,BD25+BC26-BL25)))</f>
        <v>111.02000000000001</v>
      </c>
      <c r="BE26" s="14">
        <f>BD26*VLOOKUP('Données projet'!$B$11,Paramètres!$A$1:$I$89,3,0)*VLOOKUP('Données projet'!$B$11,Paramètres!$A$1:$I$89,5,0)</f>
        <v>81.399864000000008</v>
      </c>
      <c r="BF26" s="14">
        <f t="shared" si="37"/>
        <v>22.479111830915393</v>
      </c>
      <c r="BG26" s="22">
        <f t="shared" si="7"/>
        <v>180.92254957217764</v>
      </c>
      <c r="BH26" s="60">
        <f t="shared" si="8"/>
        <v>409.12727502397797</v>
      </c>
      <c r="BI26" s="60">
        <f ca="1">AVERAGE(OFFSET($BH$3,0,0,'Données projet'!$E$11+1,1))-AVERAGE(OFFSET($H$3,0,0,'Données projet'!$E$11+1,1))</f>
        <v>366.5170155168056</v>
      </c>
      <c r="BJ26" s="60">
        <f t="shared" si="38"/>
        <v>394.05057214541966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0">
        <f t="shared" si="11"/>
        <v>538.10161253077251</v>
      </c>
      <c r="CD26" s="60">
        <f ca="1">AVERAGE(OFFSET($CC$3,0,0,'Données projet'!$E$12+1,1))-AVERAGE(OFFSET($H$3,0,0,'Données projet'!$E$12+1,1))</f>
        <v>333.512642972663</v>
      </c>
      <c r="CE26" s="60">
        <f t="shared" si="40"/>
        <v>464.18634682168488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63.292320000000004</v>
      </c>
      <c r="CV26" s="14">
        <f t="shared" si="41"/>
        <v>17.998065245956816</v>
      </c>
      <c r="CW26" s="22">
        <f t="shared" si="13"/>
        <v>141.58075430337479</v>
      </c>
      <c r="CX26" s="60">
        <f t="shared" si="14"/>
        <v>369.78547975517512</v>
      </c>
      <c r="CY26" s="60">
        <f ca="1">AVERAGE(OFFSET($CX$3,0,0,'Données projet'!$E$13+1,1))-AVERAGE(OFFSET($H$3,0,0,'Données projet'!$E$13+1,1))</f>
        <v>539.76438066597848</v>
      </c>
      <c r="CZ26" s="60">
        <f t="shared" si="42"/>
        <v>303.47238367344937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0">
        <f t="shared" si="17"/>
        <v>355.77512458508727</v>
      </c>
      <c r="DT26" s="60">
        <f ca="1">AVERAGE(OFFSET($DS$3,0,0,'Données projet'!$E$14+1,1))-AVERAGE(OFFSET($H$3,0,0,'Données projet'!$E$14+1,1))</f>
        <v>493.19478874005267</v>
      </c>
      <c r="DU26" s="60">
        <f t="shared" si="44"/>
        <v>278.78337903007821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11</v>
      </c>
      <c r="EJ26" s="13">
        <f>IF('Données projet'!$A$192&gt;35,EJ25+EI26-ER25,IF(A26&lt;'Données projet'!$A$192,$EG$205^A26,IF(A26='Données projet'!$A$192,'Données projet'!$B$192,EJ25+EI26-ER25)))</f>
        <v>89</v>
      </c>
      <c r="EK26" s="18">
        <f>EJ26*VLOOKUP('Données projet'!$B$15,Paramètres!$A$1:$I$89,3,0)*VLOOKUP('Données projet'!$B$15,Paramètres!$A$1:$I$89,5,0)</f>
        <v>76.362000000000009</v>
      </c>
      <c r="EL26" s="14">
        <f t="shared" si="45"/>
        <v>21.245279172340783</v>
      </c>
      <c r="EM26" s="22">
        <f t="shared" si="19"/>
        <v>169.99934455849356</v>
      </c>
      <c r="EN26" s="60">
        <f t="shared" si="20"/>
        <v>398.20407001029389</v>
      </c>
      <c r="EO26" s="60">
        <f ca="1">AVERAGE(OFFSET($EN$3,0,0,'Données projet'!$E$15+1,1))-AVERAGE(OFFSET($H$3,0,0,'Données projet'!$E$15+1,1))</f>
        <v>698.30188737818639</v>
      </c>
      <c r="EP26" s="60">
        <f t="shared" si="46"/>
        <v>329.77977151358482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10.199999999999999</v>
      </c>
      <c r="FE26" s="13">
        <f>IF('Données projet'!$A$218&gt;35,FE25+FD26-FM25,IF(A26&lt;'Données projet'!$A$218,$FB$205^A26,IF(A26='Données projet'!$A$218,'Données projet'!$B$218,FE25+FD26-FM25)))</f>
        <v>105.6</v>
      </c>
      <c r="FF26" s="18">
        <f>FE26*VLOOKUP('Données projet'!$B$16,Paramètres!$A$1:$I$89,3,0)*VLOOKUP('Données projet'!$B$16,Paramètres!$A$1:$I$89,5,0)</f>
        <v>92.252160000000003</v>
      </c>
      <c r="FG26" s="14">
        <f t="shared" si="47"/>
        <v>25.107607958259987</v>
      </c>
      <c r="FH26" s="22">
        <f t="shared" si="22"/>
        <v>204.40159586063612</v>
      </c>
      <c r="FI26" s="60">
        <f t="shared" si="23"/>
        <v>432.60632131243642</v>
      </c>
      <c r="FJ26" s="60">
        <f ca="1">AVERAGE(OFFSET($FI$3,0,0,'Données projet'!$E$16+1,1))-AVERAGE(OFFSET($H$3,0,0,'Données projet'!$E$16+1,1))</f>
        <v>396.99335548279453</v>
      </c>
      <c r="FK26" s="60">
        <f t="shared" si="48"/>
        <v>388.89849573746335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54.570985729278881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4.6150000000000002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16.921666666666667</v>
      </c>
      <c r="H27" s="68">
        <f t="shared" si="1"/>
        <v>188.98000000000002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0">
        <f t="shared" si="0"/>
        <v>422.76252217216484</v>
      </c>
      <c r="S27" s="60">
        <f ca="1">AVERAGE(OFFSET($R$3,0,0,'Données projet'!$E$9+1,1))-AVERAGE(OFFSET($H$3,0,0,'Données projet'!$E$9+1,1))</f>
        <v>550.53475891182575</v>
      </c>
      <c r="T27" s="60">
        <f t="shared" si="34"/>
        <v>350.2500324347194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376.3663060842556</v>
      </c>
      <c r="AN27" s="60">
        <f ca="1">AVERAGE(OFFSET($AM$3,0,0,'Données projet'!$E$10+1,1))-AVERAGE(OFFSET($H$3,0,0,'Données projet'!$E$10+1,1))</f>
        <v>513.16577009788818</v>
      </c>
      <c r="AO27" s="60">
        <f t="shared" si="36"/>
        <v>289.37159333739146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14.739999999999998</v>
      </c>
      <c r="BD27" s="13">
        <f>IF('Données projet'!$A$88&gt;35,BD26+BC27-BL26,IF(A27&lt;'Données projet'!$A$88,$BA$205^A27,IF(A27='Données projet'!$A$88,'Données projet'!$B$88,BD26+BC27-BL26)))</f>
        <v>125.76</v>
      </c>
      <c r="BE27" s="14">
        <f>BD27*VLOOKUP('Données projet'!$B$11,Paramètres!$A$1:$I$89,3,0)*VLOOKUP('Données projet'!$B$11,Paramètres!$A$1:$I$89,5,0)</f>
        <v>92.207232000000005</v>
      </c>
      <c r="BF27" s="14">
        <f t="shared" si="37"/>
        <v>25.096803228719384</v>
      </c>
      <c r="BG27" s="22">
        <f t="shared" si="7"/>
        <v>204.3045280233529</v>
      </c>
      <c r="BH27" s="60">
        <f t="shared" si="8"/>
        <v>434.71289167683398</v>
      </c>
      <c r="BI27" s="60">
        <f ca="1">AVERAGE(OFFSET($BH$3,0,0,'Données projet'!$E$11+1,1))-AVERAGE(OFFSET($H$3,0,0,'Données projet'!$E$11+1,1))</f>
        <v>366.5170155168056</v>
      </c>
      <c r="BJ27" s="60">
        <f t="shared" si="38"/>
        <v>394.05057214541966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0">
        <f t="shared" si="11"/>
        <v>556.56230567589751</v>
      </c>
      <c r="CD27" s="60">
        <f ca="1">AVERAGE(OFFSET($CC$3,0,0,'Données projet'!$E$12+1,1))-AVERAGE(OFFSET($H$3,0,0,'Données projet'!$E$12+1,1))</f>
        <v>333.512642972663</v>
      </c>
      <c r="CE27" s="60">
        <f t="shared" si="40"/>
        <v>464.18634682168488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69.320160000000001</v>
      </c>
      <c r="CV27" s="14">
        <f t="shared" si="41"/>
        <v>19.50453356393022</v>
      </c>
      <c r="CW27" s="22">
        <f t="shared" si="13"/>
        <v>154.70300795717847</v>
      </c>
      <c r="CX27" s="60">
        <f t="shared" si="14"/>
        <v>385.11137161065955</v>
      </c>
      <c r="CY27" s="60">
        <f ca="1">AVERAGE(OFFSET($CX$3,0,0,'Données projet'!$E$13+1,1))-AVERAGE(OFFSET($H$3,0,0,'Données projet'!$E$13+1,1))</f>
        <v>539.76438066597848</v>
      </c>
      <c r="CZ27" s="60">
        <f t="shared" si="42"/>
        <v>303.47238367344937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0">
        <f t="shared" si="17"/>
        <v>369.79931245640444</v>
      </c>
      <c r="DT27" s="60">
        <f ca="1">AVERAGE(OFFSET($DS$3,0,0,'Données projet'!$E$14+1,1))-AVERAGE(OFFSET($H$3,0,0,'Données projet'!$E$14+1,1))</f>
        <v>493.19478874005267</v>
      </c>
      <c r="DU27" s="60">
        <f t="shared" si="44"/>
        <v>278.78337903007821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11</v>
      </c>
      <c r="EJ27" s="13">
        <f>IF('Données projet'!$A$192&gt;35,EJ26+EI27-ER26,IF(A27&lt;'Données projet'!$A$192,$EG$205^A27,IF(A27='Données projet'!$A$192,'Données projet'!$B$192,EJ26+EI27-ER26)))</f>
        <v>100</v>
      </c>
      <c r="EK27" s="18">
        <f>EJ27*VLOOKUP('Données projet'!$B$15,Paramètres!$A$1:$I$89,3,0)*VLOOKUP('Données projet'!$B$15,Paramètres!$A$1:$I$89,5,0)</f>
        <v>85.800000000000011</v>
      </c>
      <c r="EL27" s="14">
        <f t="shared" si="45"/>
        <v>23.549485995669766</v>
      </c>
      <c r="EM27" s="22">
        <f t="shared" si="19"/>
        <v>190.45035477579154</v>
      </c>
      <c r="EN27" s="60">
        <f t="shared" si="20"/>
        <v>420.85871842927259</v>
      </c>
      <c r="EO27" s="60">
        <f ca="1">AVERAGE(OFFSET($EN$3,0,0,'Données projet'!$E$15+1,1))-AVERAGE(OFFSET($H$3,0,0,'Données projet'!$E$15+1,1))</f>
        <v>698.30188737818639</v>
      </c>
      <c r="EP27" s="60">
        <f t="shared" si="46"/>
        <v>329.77977151358482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10.199999999999999</v>
      </c>
      <c r="FE27" s="13">
        <f>IF('Données projet'!$A$218&gt;35,FE26+FD27-FM26,IF(A27&lt;'Données projet'!$A$218,$FB$205^A27,IF(A27='Données projet'!$A$218,'Données projet'!$B$218,FE26+FD27-FM26)))</f>
        <v>115.8</v>
      </c>
      <c r="FF27" s="18">
        <f>FE27*VLOOKUP('Données projet'!$B$16,Paramètres!$A$1:$I$89,3,0)*VLOOKUP('Données projet'!$B$16,Paramètres!$A$1:$I$89,5,0)</f>
        <v>101.16288</v>
      </c>
      <c r="FG27" s="14">
        <f t="shared" si="47"/>
        <v>27.238850979377386</v>
      </c>
      <c r="FH27" s="22">
        <f t="shared" si="22"/>
        <v>223.63301478908227</v>
      </c>
      <c r="FI27" s="60">
        <f t="shared" si="23"/>
        <v>454.04137844256331</v>
      </c>
      <c r="FJ27" s="60">
        <f ca="1">AVERAGE(OFFSET($FI$3,0,0,'Données projet'!$E$16+1,1))-AVERAGE(OFFSET($H$3,0,0,'Données projet'!$E$16+1,1))</f>
        <v>396.99335548279453</v>
      </c>
      <c r="FK27" s="60">
        <f t="shared" si="48"/>
        <v>388.89849573746335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54.838644632767569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4.6150000000000002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16.921666666666667</v>
      </c>
      <c r="H28" s="68">
        <f t="shared" si="1"/>
        <v>188.98000000000002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0">
        <f t="shared" si="0"/>
        <v>439.03205570049647</v>
      </c>
      <c r="S28" s="60">
        <f ca="1">AVERAGE(OFFSET($R$3,0,0,'Données projet'!$E$9+1,1))-AVERAGE(OFFSET($H$3,0,0,'Données projet'!$E$9+1,1))</f>
        <v>550.53475891182575</v>
      </c>
      <c r="T28" s="60">
        <f t="shared" si="34"/>
        <v>350.2500324347194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390.90660504459476</v>
      </c>
      <c r="AN28" s="60">
        <f ca="1">AVERAGE(OFFSET($AM$3,0,0,'Données projet'!$E$10+1,1))-AVERAGE(OFFSET($H$3,0,0,'Données projet'!$E$10+1,1))</f>
        <v>513.16577009788818</v>
      </c>
      <c r="AO28" s="60">
        <f t="shared" si="36"/>
        <v>289.37159333739146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140.5</v>
      </c>
      <c r="BB28" s="13">
        <f>VLOOKUP(A28,'Données projet'!$A$87:$I$107,9,0)</f>
        <v>14.739999999999998</v>
      </c>
      <c r="BC28" s="13">
        <f t="array" ref="BC28">INDEX(BB:BB,MIN(IF(ISNUMBER(BB28:BB224),ROW(BB28:BB224),"")))</f>
        <v>14.739999999999998</v>
      </c>
      <c r="BD28" s="13">
        <f>IF('Données projet'!$A$88&gt;35,BD27+BC28-BL27,IF(A28&lt;'Données projet'!$A$88,$BA$205^A28,IF(A28='Données projet'!$A$88,'Données projet'!$B$88,BD27+BC28-BL27)))</f>
        <v>140.5</v>
      </c>
      <c r="BE28" s="14">
        <f>BD28*VLOOKUP('Données projet'!$B$11,Paramètres!$A$1:$I$89,3,0)*VLOOKUP('Données projet'!$B$11,Paramètres!$A$1:$I$89,5,0)</f>
        <v>103.0146</v>
      </c>
      <c r="BF28" s="14">
        <f t="shared" si="37"/>
        <v>27.678938285581953</v>
      </c>
      <c r="BG28" s="22">
        <f t="shared" si="7"/>
        <v>227.62457918072189</v>
      </c>
      <c r="BH28" s="60">
        <f t="shared" si="8"/>
        <v>460.21955566275756</v>
      </c>
      <c r="BI28" s="60">
        <f ca="1">AVERAGE(OFFSET($BH$3,0,0,'Données projet'!$E$11+1,1))-AVERAGE(OFFSET($H$3,0,0,'Données projet'!$E$11+1,1))</f>
        <v>366.5170155168056</v>
      </c>
      <c r="BJ28" s="60">
        <f t="shared" si="38"/>
        <v>394.05057214541966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0">
        <f t="shared" si="11"/>
        <v>574.98807996582775</v>
      </c>
      <c r="CD28" s="60">
        <f ca="1">AVERAGE(OFFSET($CC$3,0,0,'Données projet'!$E$12+1,1))-AVERAGE(OFFSET($H$3,0,0,'Données projet'!$E$12+1,1))</f>
        <v>333.512642972663</v>
      </c>
      <c r="CE28" s="60">
        <f t="shared" si="40"/>
        <v>464.18634682168488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75.347999999999999</v>
      </c>
      <c r="CV28" s="14">
        <f t="shared" si="41"/>
        <v>20.99581051771704</v>
      </c>
      <c r="CW28" s="22">
        <f t="shared" si="13"/>
        <v>167.79880331835713</v>
      </c>
      <c r="CX28" s="60">
        <f t="shared" si="14"/>
        <v>400.39377980039279</v>
      </c>
      <c r="CY28" s="60">
        <f ca="1">AVERAGE(OFFSET($CX$3,0,0,'Données projet'!$E$13+1,1))-AVERAGE(OFFSET($H$3,0,0,'Données projet'!$E$13+1,1))</f>
        <v>539.76438066597848</v>
      </c>
      <c r="CZ28" s="60">
        <f t="shared" si="42"/>
        <v>303.47238367344937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0">
        <f t="shared" si="17"/>
        <v>383.78240296119606</v>
      </c>
      <c r="DT28" s="60">
        <f ca="1">AVERAGE(OFFSET($DS$3,0,0,'Données projet'!$E$14+1,1))-AVERAGE(OFFSET($H$3,0,0,'Données projet'!$E$14+1,1))</f>
        <v>493.19478874005267</v>
      </c>
      <c r="DU28" s="60">
        <f t="shared" si="44"/>
        <v>278.78337903007821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111</v>
      </c>
      <c r="EH28" s="13">
        <f>VLOOKUP(A28,'Données projet'!$A$191:$I$211,9,0)</f>
        <v>11</v>
      </c>
      <c r="EI28" s="13">
        <f t="array" ref="EI28">INDEX(EH:EH,MIN(IF(ISNUMBER(EH28:EH224),ROW(EH28:EH224),"")))</f>
        <v>11</v>
      </c>
      <c r="EJ28" s="13">
        <f>IF('Données projet'!$A$192&gt;35,EJ27+EI28-ER27,IF(A28&lt;'Données projet'!$A$192,$EG$205^A28,IF(A28='Données projet'!$A$192,'Données projet'!$B$192,EJ27+EI28-ER27)))</f>
        <v>111</v>
      </c>
      <c r="EK28" s="18">
        <f>EJ28*VLOOKUP('Données projet'!$B$15,Paramètres!$A$1:$I$89,3,0)*VLOOKUP('Données projet'!$B$15,Paramètres!$A$1:$I$89,5,0)</f>
        <v>95.238000000000014</v>
      </c>
      <c r="EL28" s="14">
        <f t="shared" si="45"/>
        <v>25.824315354051141</v>
      </c>
      <c r="EM28" s="22">
        <f t="shared" si="19"/>
        <v>210.85019924163907</v>
      </c>
      <c r="EN28" s="60">
        <f t="shared" si="20"/>
        <v>443.44517572367477</v>
      </c>
      <c r="EO28" s="60">
        <f ca="1">AVERAGE(OFFSET($EN$3,0,0,'Données projet'!$E$15+1,1))-AVERAGE(OFFSET($H$3,0,0,'Données projet'!$E$15+1,1))</f>
        <v>698.30188737818639</v>
      </c>
      <c r="EP28" s="60">
        <f t="shared" si="46"/>
        <v>329.77977151358482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26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126</v>
      </c>
      <c r="FC28" s="13">
        <f>VLOOKUP(A28,'Données projet'!$A$217:$I$237,9,0)</f>
        <v>10.199999999999999</v>
      </c>
      <c r="FD28" s="13">
        <f t="array" ref="FD28">INDEX(FC:FC,MIN(IF(ISNUMBER(FC28:FC224),ROW(FC28:FC224),"")))</f>
        <v>10.199999999999999</v>
      </c>
      <c r="FE28" s="13">
        <f>IF('Données projet'!$A$218&gt;35,FE27+FD28-FM27,IF(A28&lt;'Données projet'!$A$218,$FB$205^A28,IF(A28='Données projet'!$A$218,'Données projet'!$B$218,FE27+FD28-FM27)))</f>
        <v>126</v>
      </c>
      <c r="FF28" s="18">
        <f>FE28*VLOOKUP('Données projet'!$B$16,Paramètres!$A$1:$I$89,3,0)*VLOOKUP('Données projet'!$B$16,Paramètres!$A$1:$I$89,5,0)</f>
        <v>110.07360000000001</v>
      </c>
      <c r="FG28" s="14">
        <f t="shared" si="47"/>
        <v>29.348324631518828</v>
      </c>
      <c r="FH28" s="22">
        <f t="shared" si="22"/>
        <v>242.8265187332286</v>
      </c>
      <c r="FI28" s="60">
        <f t="shared" si="23"/>
        <v>475.42149521526426</v>
      </c>
      <c r="FJ28" s="60">
        <f ca="1">AVERAGE(OFFSET($FI$3,0,0,'Données projet'!$E$16+1,1))-AVERAGE(OFFSET($H$3,0,0,'Données projet'!$E$16+1,1))</f>
        <v>396.99335548279453</v>
      </c>
      <c r="FK28" s="60">
        <f t="shared" si="48"/>
        <v>388.89849573746335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55.101660252676389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4.6150000000000002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16.921666666666667</v>
      </c>
      <c r="H29" s="68">
        <f t="shared" si="1"/>
        <v>188.98000000000002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112.20000000000002</v>
      </c>
      <c r="O29" s="14">
        <f>N29*VLOOKUP('Données projet'!$B$9,Paramètres!$A$1:$I$89,3,0)*VLOOKUP('Données projet'!$B$9,Paramètres!$A$1:$I$89,5,0)</f>
        <v>101.51856000000002</v>
      </c>
      <c r="P29" s="14">
        <f t="shared" si="33"/>
        <v>27.323455582096614</v>
      </c>
      <c r="Q29" s="22">
        <f t="shared" si="2"/>
        <v>224.39984380548495</v>
      </c>
      <c r="R29" s="60">
        <f t="shared" si="0"/>
        <v>459.1647030951097</v>
      </c>
      <c r="S29" s="60">
        <f ca="1">AVERAGE(OFFSET($R$3,0,0,'Données projet'!$E$9+1,1))-AVERAGE(OFFSET($H$3,0,0,'Données projet'!$E$9+1,1))</f>
        <v>550.53475891182575</v>
      </c>
      <c r="T29" s="60">
        <f t="shared" si="34"/>
        <v>350.2500324347194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408.48667309923468</v>
      </c>
      <c r="AN29" s="60">
        <f ca="1">AVERAGE(OFFSET($AM$3,0,0,'Données projet'!$E$10+1,1))-AVERAGE(OFFSET($H$3,0,0,'Données projet'!$E$10+1,1))</f>
        <v>513.16577009788818</v>
      </c>
      <c r="AO29" s="60">
        <f t="shared" si="36"/>
        <v>289.37159333739146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14.260000000000002</v>
      </c>
      <c r="BD29" s="13">
        <f>IF('Données projet'!$A$88&gt;35,BD28+BC29-BL28,IF(A29&lt;'Données projet'!$A$88,$BA$205^A29,IF(A29='Données projet'!$A$88,'Données projet'!$B$88,BD28+BC29-BL28)))</f>
        <v>154.76</v>
      </c>
      <c r="BE29" s="14">
        <f>BD29*VLOOKUP('Données projet'!$B$11,Paramètres!$A$1:$I$89,3,0)*VLOOKUP('Données projet'!$B$11,Paramètres!$A$1:$I$89,5,0)</f>
        <v>113.47003199999999</v>
      </c>
      <c r="BF29" s="14">
        <f t="shared" si="37"/>
        <v>30.147067487856493</v>
      </c>
      <c r="BG29" s="22">
        <f t="shared" si="7"/>
        <v>250.13311494134999</v>
      </c>
      <c r="BH29" s="60">
        <f t="shared" si="8"/>
        <v>484.89797423097474</v>
      </c>
      <c r="BI29" s="60">
        <f ca="1">AVERAGE(OFFSET($BH$3,0,0,'Données projet'!$E$11+1,1))-AVERAGE(OFFSET($H$3,0,0,'Données projet'!$E$11+1,1))</f>
        <v>366.5170155168056</v>
      </c>
      <c r="BJ29" s="60">
        <f t="shared" si="38"/>
        <v>394.05057214541966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180.00000000000003</v>
      </c>
      <c r="BZ29" s="14">
        <f>BY29*VLOOKUP('Données projet'!$B$12,Paramètres!$A$1:$I$89,3,0)*VLOOKUP('Données projet'!$B$12,Paramètres!$A$1:$I$89,5,0)</f>
        <v>162.864</v>
      </c>
      <c r="CA29" s="14">
        <f t="shared" si="39"/>
        <v>41.487830069509123</v>
      </c>
      <c r="CB29" s="22">
        <f t="shared" si="10"/>
        <v>355.91277070439509</v>
      </c>
      <c r="CC29" s="60">
        <f t="shared" si="11"/>
        <v>590.67762999401987</v>
      </c>
      <c r="CD29" s="60">
        <f ca="1">AVERAGE(OFFSET($CC$3,0,0,'Données projet'!$E$12+1,1))-AVERAGE(OFFSET($H$3,0,0,'Données projet'!$E$12+1,1))</f>
        <v>333.512642972663</v>
      </c>
      <c r="CE29" s="60">
        <f t="shared" si="40"/>
        <v>464.18634682168488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82.882799999999989</v>
      </c>
      <c r="CV29" s="14">
        <f t="shared" si="41"/>
        <v>22.840584911380041</v>
      </c>
      <c r="CW29" s="22">
        <f t="shared" si="13"/>
        <v>184.1348953873202</v>
      </c>
      <c r="CX29" s="60">
        <f t="shared" si="14"/>
        <v>418.89975467694495</v>
      </c>
      <c r="CY29" s="60">
        <f ca="1">AVERAGE(OFFSET($CX$3,0,0,'Données projet'!$E$13+1,1))-AVERAGE(OFFSET($H$3,0,0,'Données projet'!$E$13+1,1))</f>
        <v>539.76438066597848</v>
      </c>
      <c r="CZ29" s="60">
        <f t="shared" si="42"/>
        <v>303.47238367344937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74.474400000000003</v>
      </c>
      <c r="DQ29" s="14">
        <f t="shared" si="43"/>
        <v>20.780570274034375</v>
      </c>
      <c r="DR29" s="22">
        <f t="shared" si="16"/>
        <v>165.90240656060988</v>
      </c>
      <c r="DS29" s="60">
        <f t="shared" si="17"/>
        <v>400.66726585023463</v>
      </c>
      <c r="DT29" s="60">
        <f ca="1">AVERAGE(OFFSET($DS$3,0,0,'Données projet'!$E$14+1,1))-AVERAGE(OFFSET($H$3,0,0,'Données projet'!$E$14+1,1))</f>
        <v>493.19478874005267</v>
      </c>
      <c r="DU29" s="60">
        <f t="shared" si="44"/>
        <v>278.78337903007821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12.2</v>
      </c>
      <c r="EJ29" s="13">
        <f>IF('Données projet'!$A$192&gt;35,EJ28+EI29-ER28,IF(A29&lt;'Données projet'!$A$192,$EG$205^A29,IF(A29='Données projet'!$A$192,'Données projet'!$B$192,EJ28+EI29-ER28)))</f>
        <v>97.2</v>
      </c>
      <c r="EK29" s="18">
        <f>EJ29*VLOOKUP('Données projet'!$B$15,Paramètres!$A$1:$I$89,3,0)*VLOOKUP('Données projet'!$B$15,Paramètres!$A$1:$I$89,5,0)</f>
        <v>83.397600000000011</v>
      </c>
      <c r="EL29" s="14">
        <f t="shared" si="45"/>
        <v>22.965893371329315</v>
      </c>
      <c r="EM29" s="22">
        <f t="shared" si="19"/>
        <v>185.24975095506522</v>
      </c>
      <c r="EN29" s="60">
        <f t="shared" si="20"/>
        <v>420.01461024468995</v>
      </c>
      <c r="EO29" s="60">
        <f ca="1">AVERAGE(OFFSET($EN$3,0,0,'Données projet'!$E$15+1,1))-AVERAGE(OFFSET($H$3,0,0,'Données projet'!$E$15+1,1))</f>
        <v>698.30188737818639</v>
      </c>
      <c r="EP29" s="60">
        <f t="shared" si="46"/>
        <v>329.77977151358482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9.8000000000000007</v>
      </c>
      <c r="FE29" s="13">
        <f>IF('Données projet'!$A$218&gt;35,FE28+FD29-FM28,IF(A29&lt;'Données projet'!$A$218,$FB$205^A29,IF(A29='Données projet'!$A$218,'Données projet'!$B$218,FE28+FD29-FM28)))</f>
        <v>135.80000000000001</v>
      </c>
      <c r="FF29" s="18">
        <f>FE29*VLOOKUP('Données projet'!$B$16,Paramètres!$A$1:$I$89,3,0)*VLOOKUP('Données projet'!$B$16,Paramètres!$A$1:$I$89,5,0)</f>
        <v>118.63488000000002</v>
      </c>
      <c r="FG29" s="14">
        <f t="shared" si="47"/>
        <v>31.356395772245804</v>
      </c>
      <c r="FH29" s="22">
        <f t="shared" si="22"/>
        <v>261.23480530332813</v>
      </c>
      <c r="FI29" s="60">
        <f t="shared" si="23"/>
        <v>495.99966459295285</v>
      </c>
      <c r="FJ29" s="60">
        <f ca="1">AVERAGE(OFFSET($FI$3,0,0,'Données projet'!$E$16+1,1))-AVERAGE(OFFSET($H$3,0,0,'Données projet'!$E$16+1,1))</f>
        <v>396.99335548279453</v>
      </c>
      <c r="FK29" s="60">
        <f t="shared" si="48"/>
        <v>388.89849573746335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55.360113139594638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4.6150000000000002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16.921666666666667</v>
      </c>
      <c r="H30" s="68">
        <f t="shared" si="1"/>
        <v>188.98000000000002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121.40000000000002</v>
      </c>
      <c r="O30" s="14">
        <f>N30*VLOOKUP('Données projet'!$B$9,Paramètres!$A$1:$I$89,3,0)*VLOOKUP('Données projet'!$B$9,Paramètres!$A$1:$I$89,5,0)</f>
        <v>109.84272000000001</v>
      </c>
      <c r="P30" s="14">
        <f t="shared" si="33"/>
        <v>29.293925092514947</v>
      </c>
      <c r="Q30" s="22">
        <f t="shared" si="2"/>
        <v>242.32965686946352</v>
      </c>
      <c r="R30" s="60">
        <f t="shared" si="0"/>
        <v>479.24795917417293</v>
      </c>
      <c r="S30" s="60">
        <f ca="1">AVERAGE(OFFSET($R$3,0,0,'Données projet'!$E$9+1,1))-AVERAGE(OFFSET($H$3,0,0,'Données projet'!$E$9+1,1))</f>
        <v>550.53475891182575</v>
      </c>
      <c r="T30" s="60">
        <f t="shared" si="34"/>
        <v>350.2500324347194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426.0181730873777</v>
      </c>
      <c r="AN30" s="60">
        <f ca="1">AVERAGE(OFFSET($AM$3,0,0,'Données projet'!$E$10+1,1))-AVERAGE(OFFSET($H$3,0,0,'Données projet'!$E$10+1,1))</f>
        <v>513.16577009788818</v>
      </c>
      <c r="AO30" s="60">
        <f t="shared" si="36"/>
        <v>289.37159333739146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14.260000000000002</v>
      </c>
      <c r="BD30" s="13">
        <f>IF('Données projet'!$A$88&gt;35,BD29+BC30-BL29,IF(A30&lt;'Données projet'!$A$88,$BA$205^A30,IF(A30='Données projet'!$A$88,'Données projet'!$B$88,BD29+BC30-BL29)))</f>
        <v>169.01999999999998</v>
      </c>
      <c r="BE30" s="14">
        <f>BD30*VLOOKUP('Données projet'!$B$11,Paramètres!$A$1:$I$89,3,0)*VLOOKUP('Données projet'!$B$11,Paramètres!$A$1:$I$89,5,0)</f>
        <v>123.92546399999999</v>
      </c>
      <c r="BF30" s="14">
        <f t="shared" si="37"/>
        <v>32.58882709773377</v>
      </c>
      <c r="BG30" s="22">
        <f t="shared" si="7"/>
        <v>272.59572366188627</v>
      </c>
      <c r="BH30" s="60">
        <f t="shared" si="8"/>
        <v>509.51402596659568</v>
      </c>
      <c r="BI30" s="60">
        <f ca="1">AVERAGE(OFFSET($BH$3,0,0,'Données projet'!$E$11+1,1))-AVERAGE(OFFSET($H$3,0,0,'Données projet'!$E$11+1,1))</f>
        <v>366.5170155168056</v>
      </c>
      <c r="BJ30" s="60">
        <f t="shared" si="38"/>
        <v>394.05057214541966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187.00000000000003</v>
      </c>
      <c r="BZ30" s="14">
        <f>BY30*VLOOKUP('Données projet'!$B$12,Paramètres!$A$1:$I$89,3,0)*VLOOKUP('Données projet'!$B$12,Paramètres!$A$1:$I$89,5,0)</f>
        <v>169.19760000000002</v>
      </c>
      <c r="CA30" s="14">
        <f t="shared" si="39"/>
        <v>42.910263223432885</v>
      </c>
      <c r="CB30" s="22">
        <f t="shared" si="10"/>
        <v>369.42119511414558</v>
      </c>
      <c r="CC30" s="60">
        <f t="shared" si="11"/>
        <v>606.33949741885499</v>
      </c>
      <c r="CD30" s="60">
        <f ca="1">AVERAGE(OFFSET($CC$3,0,0,'Données projet'!$E$12+1,1))-AVERAGE(OFFSET($H$3,0,0,'Données projet'!$E$12+1,1))</f>
        <v>333.512642972663</v>
      </c>
      <c r="CE30" s="60">
        <f t="shared" si="40"/>
        <v>464.18634682168488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90.417599999999993</v>
      </c>
      <c r="CV30" s="14">
        <f t="shared" si="41"/>
        <v>24.665912907068826</v>
      </c>
      <c r="CW30" s="22">
        <f t="shared" si="13"/>
        <v>200.43711831314488</v>
      </c>
      <c r="CX30" s="60">
        <f t="shared" si="14"/>
        <v>437.35542061785429</v>
      </c>
      <c r="CY30" s="60">
        <f ca="1">AVERAGE(OFFSET($CX$3,0,0,'Données projet'!$E$13+1,1))-AVERAGE(OFFSET($H$3,0,0,'Données projet'!$E$13+1,1))</f>
        <v>539.76438066597848</v>
      </c>
      <c r="CZ30" s="60">
        <f t="shared" si="42"/>
        <v>303.47238367344937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81.244799999999998</v>
      </c>
      <c r="DQ30" s="14">
        <f t="shared" si="43"/>
        <v>22.441270156928962</v>
      </c>
      <c r="DR30" s="22">
        <f t="shared" si="16"/>
        <v>180.58657218998462</v>
      </c>
      <c r="DS30" s="60">
        <f t="shared" si="17"/>
        <v>417.50487449469404</v>
      </c>
      <c r="DT30" s="60">
        <f ca="1">AVERAGE(OFFSET($DS$3,0,0,'Données projet'!$E$14+1,1))-AVERAGE(OFFSET($H$3,0,0,'Données projet'!$E$14+1,1))</f>
        <v>493.19478874005267</v>
      </c>
      <c r="DU30" s="60">
        <f t="shared" si="44"/>
        <v>278.78337903007821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12.2</v>
      </c>
      <c r="EJ30" s="13">
        <f>IF('Données projet'!$A$192&gt;35,EJ29+EI30-ER29,IF(A30&lt;'Données projet'!$A$192,$EG$205^A30,IF(A30='Données projet'!$A$192,'Données projet'!$B$192,EJ29+EI30-ER29)))</f>
        <v>109.4</v>
      </c>
      <c r="EK30" s="18">
        <f>EJ30*VLOOKUP('Données projet'!$B$15,Paramètres!$A$1:$I$89,3,0)*VLOOKUP('Données projet'!$B$15,Paramètres!$A$1:$I$89,5,0)</f>
        <v>93.865200000000016</v>
      </c>
      <c r="EL30" s="14">
        <f t="shared" si="45"/>
        <v>25.495124560846406</v>
      </c>
      <c r="EM30" s="22">
        <f t="shared" si="19"/>
        <v>207.88589861014086</v>
      </c>
      <c r="EN30" s="60">
        <f t="shared" si="20"/>
        <v>444.8042009148503</v>
      </c>
      <c r="EO30" s="60">
        <f ca="1">AVERAGE(OFFSET($EN$3,0,0,'Données projet'!$E$15+1,1))-AVERAGE(OFFSET($H$3,0,0,'Données projet'!$E$15+1,1))</f>
        <v>698.30188737818639</v>
      </c>
      <c r="EP30" s="60">
        <f t="shared" si="46"/>
        <v>329.77977151358482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9.8000000000000007</v>
      </c>
      <c r="FE30" s="13">
        <f>IF('Données projet'!$A$218&gt;35,FE29+FD30-FM29,IF(A30&lt;'Données projet'!$A$218,$FB$205^A30,IF(A30='Données projet'!$A$218,'Données projet'!$B$218,FE29+FD30-FM29)))</f>
        <v>145.60000000000002</v>
      </c>
      <c r="FF30" s="18">
        <f>FE30*VLOOKUP('Données projet'!$B$16,Paramètres!$A$1:$I$89,3,0)*VLOOKUP('Données projet'!$B$16,Paramètres!$A$1:$I$89,5,0)</f>
        <v>127.19616000000003</v>
      </c>
      <c r="FG30" s="14">
        <f t="shared" si="47"/>
        <v>33.347654365530353</v>
      </c>
      <c r="FH30" s="22">
        <f t="shared" si="22"/>
        <v>279.6138100199654</v>
      </c>
      <c r="FI30" s="60">
        <f t="shared" si="23"/>
        <v>516.53211232467481</v>
      </c>
      <c r="FJ30" s="60">
        <f ca="1">AVERAGE(OFFSET($FI$3,0,0,'Données projet'!$E$16+1,1))-AVERAGE(OFFSET($H$3,0,0,'Données projet'!$E$16+1,1))</f>
        <v>396.99335548279453</v>
      </c>
      <c r="FK30" s="60">
        <f t="shared" si="48"/>
        <v>388.89849573746335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55.614082446738941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4.6150000000000002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16.921666666666667</v>
      </c>
      <c r="H31" s="68">
        <f t="shared" si="1"/>
        <v>188.98000000000002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130.60000000000002</v>
      </c>
      <c r="O31" s="14">
        <f>N31*VLOOKUP('Données projet'!$B$9,Paramètres!$A$1:$I$89,3,0)*VLOOKUP('Données projet'!$B$9,Paramètres!$A$1:$I$89,5,0)</f>
        <v>118.16688000000001</v>
      </c>
      <c r="P31" s="14">
        <f t="shared" si="33"/>
        <v>31.247071864249254</v>
      </c>
      <c r="Q31" s="22">
        <f t="shared" si="2"/>
        <v>260.22929949690081</v>
      </c>
      <c r="R31" s="60">
        <f t="shared" si="0"/>
        <v>499.28489021783662</v>
      </c>
      <c r="S31" s="60">
        <f ca="1">AVERAGE(OFFSET($R$3,0,0,'Données projet'!$E$9+1,1))-AVERAGE(OFFSET($H$3,0,0,'Données projet'!$E$9+1,1))</f>
        <v>550.53475891182575</v>
      </c>
      <c r="T31" s="60">
        <f t="shared" si="34"/>
        <v>350.2500324347194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443.50437195045498</v>
      </c>
      <c r="AN31" s="60">
        <f ca="1">AVERAGE(OFFSET($AM$3,0,0,'Données projet'!$E$10+1,1))-AVERAGE(OFFSET($H$3,0,0,'Données projet'!$E$10+1,1))</f>
        <v>513.16577009788818</v>
      </c>
      <c r="AO31" s="60">
        <f t="shared" si="36"/>
        <v>289.37159333739146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14.260000000000002</v>
      </c>
      <c r="BD31" s="13">
        <f>IF('Données projet'!$A$88&gt;35,BD30+BC31-BL30,IF(A31&lt;'Données projet'!$A$88,$BA$205^A31,IF(A31='Données projet'!$A$88,'Données projet'!$B$88,BD30+BC31-BL30)))</f>
        <v>183.27999999999997</v>
      </c>
      <c r="BE31" s="14">
        <f>BD31*VLOOKUP('Données projet'!$B$11,Paramètres!$A$1:$I$89,3,0)*VLOOKUP('Données projet'!$B$11,Paramètres!$A$1:$I$89,5,0)</f>
        <v>134.38089599999998</v>
      </c>
      <c r="BF31" s="14">
        <f t="shared" si="37"/>
        <v>35.006694824713001</v>
      </c>
      <c r="BG31" s="22">
        <f t="shared" si="7"/>
        <v>295.01672068637509</v>
      </c>
      <c r="BH31" s="60">
        <f t="shared" si="8"/>
        <v>534.07231140731085</v>
      </c>
      <c r="BI31" s="60">
        <f ca="1">AVERAGE(OFFSET($BH$3,0,0,'Données projet'!$E$11+1,1))-AVERAGE(OFFSET($H$3,0,0,'Données projet'!$E$11+1,1))</f>
        <v>366.5170155168056</v>
      </c>
      <c r="BJ31" s="60">
        <f t="shared" si="38"/>
        <v>394.05057214541966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194.00000000000003</v>
      </c>
      <c r="BZ31" s="14">
        <f>BY31*VLOOKUP('Données projet'!$B$12,Paramètres!$A$1:$I$89,3,0)*VLOOKUP('Données projet'!$B$12,Paramètres!$A$1:$I$89,5,0)</f>
        <v>175.53120000000001</v>
      </c>
      <c r="CA31" s="14">
        <f t="shared" si="39"/>
        <v>44.326510481422488</v>
      </c>
      <c r="CB31" s="22">
        <f t="shared" si="10"/>
        <v>382.9188457551441</v>
      </c>
      <c r="CC31" s="60">
        <f t="shared" si="11"/>
        <v>621.97443647607986</v>
      </c>
      <c r="CD31" s="60">
        <f ca="1">AVERAGE(OFFSET($CC$3,0,0,'Données projet'!$E$12+1,1))-AVERAGE(OFFSET($H$3,0,0,'Données projet'!$E$12+1,1))</f>
        <v>333.512642972663</v>
      </c>
      <c r="CE31" s="60">
        <f t="shared" si="40"/>
        <v>464.18634682168488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97.952399999999997</v>
      </c>
      <c r="CV31" s="14">
        <f t="shared" si="41"/>
        <v>26.473599278177087</v>
      </c>
      <c r="CW31" s="22">
        <f t="shared" si="13"/>
        <v>216.70861540949173</v>
      </c>
      <c r="CX31" s="60">
        <f t="shared" si="14"/>
        <v>455.76420613042751</v>
      </c>
      <c r="CY31" s="60">
        <f ca="1">AVERAGE(OFFSET($CX$3,0,0,'Données projet'!$E$13+1,1))-AVERAGE(OFFSET($H$3,0,0,'Données projet'!$E$13+1,1))</f>
        <v>539.76438066597848</v>
      </c>
      <c r="CZ31" s="60">
        <f t="shared" si="42"/>
        <v>303.47238367344937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88.015200000000007</v>
      </c>
      <c r="DQ31" s="14">
        <f t="shared" si="43"/>
        <v>24.085919530575829</v>
      </c>
      <c r="DR31" s="22">
        <f t="shared" si="16"/>
        <v>195.24278318241954</v>
      </c>
      <c r="DS31" s="60">
        <f t="shared" si="17"/>
        <v>434.29837390335535</v>
      </c>
      <c r="DT31" s="60">
        <f ca="1">AVERAGE(OFFSET($DS$3,0,0,'Données projet'!$E$14+1,1))-AVERAGE(OFFSET($H$3,0,0,'Données projet'!$E$14+1,1))</f>
        <v>493.19478874005267</v>
      </c>
      <c r="DU31" s="60">
        <f t="shared" si="44"/>
        <v>278.78337903007821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12.2</v>
      </c>
      <c r="EJ31" s="13">
        <f>IF('Données projet'!$A$192&gt;35,EJ30+EI31-ER30,IF(A31&lt;'Données projet'!$A$192,$EG$205^A31,IF(A31='Données projet'!$A$192,'Données projet'!$B$192,EJ30+EI31-ER30)))</f>
        <v>121.60000000000001</v>
      </c>
      <c r="EK31" s="18">
        <f>EJ31*VLOOKUP('Données projet'!$B$15,Paramètres!$A$1:$I$89,3,0)*VLOOKUP('Données projet'!$B$15,Paramètres!$A$1:$I$89,5,0)</f>
        <v>104.33280000000002</v>
      </c>
      <c r="EL31" s="14">
        <f t="shared" si="45"/>
        <v>27.991665469945552</v>
      </c>
      <c r="EM31" s="22">
        <f t="shared" si="19"/>
        <v>230.46511069348855</v>
      </c>
      <c r="EN31" s="60">
        <f t="shared" si="20"/>
        <v>469.52070141442437</v>
      </c>
      <c r="EO31" s="60">
        <f ca="1">AVERAGE(OFFSET($EN$3,0,0,'Données projet'!$E$15+1,1))-AVERAGE(OFFSET($H$3,0,0,'Données projet'!$E$15+1,1))</f>
        <v>698.30188737818639</v>
      </c>
      <c r="EP31" s="60">
        <f t="shared" si="46"/>
        <v>329.77977151358482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9.8000000000000007</v>
      </c>
      <c r="FE31" s="13">
        <f>IF('Données projet'!$A$218&gt;35,FE30+FD31-FM30,IF(A31&lt;'Données projet'!$A$218,$FB$205^A31,IF(A31='Données projet'!$A$218,'Données projet'!$B$218,FE30+FD31-FM30)))</f>
        <v>155.40000000000003</v>
      </c>
      <c r="FF31" s="18">
        <f>FE31*VLOOKUP('Données projet'!$B$16,Paramètres!$A$1:$I$89,3,0)*VLOOKUP('Données projet'!$B$16,Paramètres!$A$1:$I$89,5,0)</f>
        <v>135.75744000000006</v>
      </c>
      <c r="FG31" s="14">
        <f t="shared" si="47"/>
        <v>35.323360776061499</v>
      </c>
      <c r="FH31" s="22">
        <f t="shared" si="22"/>
        <v>297.96572801830717</v>
      </c>
      <c r="FI31" s="60">
        <f t="shared" si="23"/>
        <v>537.02131873924293</v>
      </c>
      <c r="FJ31" s="60">
        <f ca="1">AVERAGE(OFFSET($FI$3,0,0,'Données projet'!$E$16+1,1))-AVERAGE(OFFSET($H$3,0,0,'Données projet'!$E$16+1,1))</f>
        <v>396.99335548279453</v>
      </c>
      <c r="FK31" s="60">
        <f t="shared" si="48"/>
        <v>388.89849573746335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55.863645954194602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4.6150000000000002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16.921666666666667</v>
      </c>
      <c r="H32" s="68">
        <f t="shared" si="1"/>
        <v>188.98000000000002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139.80000000000001</v>
      </c>
      <c r="O32" s="14">
        <f>N32*VLOOKUP('Données projet'!$B$9,Paramètres!$A$1:$I$89,3,0)*VLOOKUP('Données projet'!$B$9,Paramètres!$A$1:$I$89,5,0)</f>
        <v>126.49104000000001</v>
      </c>
      <c r="P32" s="14">
        <f t="shared" si="33"/>
        <v>33.184254980539251</v>
      </c>
      <c r="Q32" s="22">
        <f t="shared" si="2"/>
        <v>278.10113875777256</v>
      </c>
      <c r="R32" s="60">
        <f t="shared" si="0"/>
        <v>519.27814354225018</v>
      </c>
      <c r="S32" s="60">
        <f ca="1">AVERAGE(OFFSET($R$3,0,0,'Données projet'!$E$9+1,1))-AVERAGE(OFFSET($H$3,0,0,'Données projet'!$E$9+1,1))</f>
        <v>550.53475891182575</v>
      </c>
      <c r="T32" s="60">
        <f t="shared" si="34"/>
        <v>350.2500324347194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460.94804689315674</v>
      </c>
      <c r="AN32" s="60">
        <f ca="1">AVERAGE(OFFSET($AM$3,0,0,'Données projet'!$E$10+1,1))-AVERAGE(OFFSET($H$3,0,0,'Données projet'!$E$10+1,1))</f>
        <v>513.16577009788818</v>
      </c>
      <c r="AO32" s="60">
        <f t="shared" si="36"/>
        <v>289.37159333739146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14.260000000000002</v>
      </c>
      <c r="BD32" s="13">
        <f>IF('Données projet'!$A$88&gt;35,BD31+BC32-BL31,IF(A32&lt;'Données projet'!$A$88,$BA$205^A32,IF(A32='Données projet'!$A$88,'Données projet'!$B$88,BD31+BC32-BL31)))</f>
        <v>197.53999999999996</v>
      </c>
      <c r="BE32" s="14">
        <f>BD32*VLOOKUP('Données projet'!$B$11,Paramètres!$A$1:$I$89,3,0)*VLOOKUP('Données projet'!$B$11,Paramètres!$A$1:$I$89,5,0)</f>
        <v>144.83632799999995</v>
      </c>
      <c r="BF32" s="14">
        <f t="shared" si="37"/>
        <v>37.402740912462832</v>
      </c>
      <c r="BG32" s="22">
        <f t="shared" si="7"/>
        <v>317.39971168920596</v>
      </c>
      <c r="BH32" s="60">
        <f t="shared" si="8"/>
        <v>558.57671647368363</v>
      </c>
      <c r="BI32" s="60">
        <f ca="1">AVERAGE(OFFSET($BH$3,0,0,'Données projet'!$E$11+1,1))-AVERAGE(OFFSET($H$3,0,0,'Données projet'!$E$11+1,1))</f>
        <v>366.5170155168056</v>
      </c>
      <c r="BJ32" s="60">
        <f t="shared" si="38"/>
        <v>394.05057214541966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201.00000000000003</v>
      </c>
      <c r="BZ32" s="14">
        <f>BY32*VLOOKUP('Données projet'!$B$12,Paramètres!$A$1:$I$89,3,0)*VLOOKUP('Données projet'!$B$12,Paramètres!$A$1:$I$89,5,0)</f>
        <v>181.86480000000003</v>
      </c>
      <c r="CA32" s="14">
        <f t="shared" si="39"/>
        <v>45.73682061391029</v>
      </c>
      <c r="CB32" s="22">
        <f t="shared" si="10"/>
        <v>396.40615590256044</v>
      </c>
      <c r="CC32" s="60">
        <f t="shared" si="11"/>
        <v>637.58316068703812</v>
      </c>
      <c r="CD32" s="60">
        <f ca="1">AVERAGE(OFFSET($CC$3,0,0,'Données projet'!$E$12+1,1))-AVERAGE(OFFSET($H$3,0,0,'Données projet'!$E$12+1,1))</f>
        <v>333.512642972663</v>
      </c>
      <c r="CE32" s="60">
        <f t="shared" si="40"/>
        <v>464.18634682168488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105.48719999999999</v>
      </c>
      <c r="CV32" s="14">
        <f t="shared" si="41"/>
        <v>28.265155367923839</v>
      </c>
      <c r="CW32" s="22">
        <f t="shared" si="13"/>
        <v>232.95201893246733</v>
      </c>
      <c r="CX32" s="60">
        <f t="shared" si="14"/>
        <v>474.12902371694497</v>
      </c>
      <c r="CY32" s="60">
        <f ca="1">AVERAGE(OFFSET($CX$3,0,0,'Données projet'!$E$13+1,1))-AVERAGE(OFFSET($H$3,0,0,'Données projet'!$E$13+1,1))</f>
        <v>539.76438066597848</v>
      </c>
      <c r="CZ32" s="60">
        <f t="shared" si="42"/>
        <v>303.47238367344937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94.785600000000002</v>
      </c>
      <c r="DQ32" s="14">
        <f t="shared" si="43"/>
        <v>25.715893428674526</v>
      </c>
      <c r="DR32" s="22">
        <f t="shared" si="16"/>
        <v>209.87343438827483</v>
      </c>
      <c r="DS32" s="60">
        <f t="shared" si="17"/>
        <v>451.05043917275248</v>
      </c>
      <c r="DT32" s="60">
        <f ca="1">AVERAGE(OFFSET($DS$3,0,0,'Données projet'!$E$14+1,1))-AVERAGE(OFFSET($H$3,0,0,'Données projet'!$E$14+1,1))</f>
        <v>493.19478874005267</v>
      </c>
      <c r="DU32" s="60">
        <f t="shared" si="44"/>
        <v>278.78337903007821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12.2</v>
      </c>
      <c r="EJ32" s="13">
        <f>IF('Données projet'!$A$192&gt;35,EJ31+EI32-ER31,IF(A32&lt;'Données projet'!$A$192,$EG$205^A32,IF(A32='Données projet'!$A$192,'Données projet'!$B$192,EJ31+EI32-ER31)))</f>
        <v>133.80000000000001</v>
      </c>
      <c r="EK32" s="18">
        <f>EJ32*VLOOKUP('Données projet'!$B$15,Paramètres!$A$1:$I$89,3,0)*VLOOKUP('Données projet'!$B$15,Paramètres!$A$1:$I$89,5,0)</f>
        <v>114.80040000000002</v>
      </c>
      <c r="EL32" s="14">
        <f t="shared" si="45"/>
        <v>30.459169258522444</v>
      </c>
      <c r="EM32" s="22">
        <f t="shared" si="19"/>
        <v>252.99374979192666</v>
      </c>
      <c r="EN32" s="60">
        <f t="shared" si="20"/>
        <v>494.17075457640431</v>
      </c>
      <c r="EO32" s="60">
        <f ca="1">AVERAGE(OFFSET($EN$3,0,0,'Données projet'!$E$15+1,1))-AVERAGE(OFFSET($H$3,0,0,'Données projet'!$E$15+1,1))</f>
        <v>698.30188737818639</v>
      </c>
      <c r="EP32" s="60">
        <f t="shared" si="46"/>
        <v>329.77977151358482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9.8000000000000007</v>
      </c>
      <c r="FE32" s="13">
        <f>IF('Données projet'!$A$218&gt;35,FE31+FD32-FM31,IF(A32&lt;'Données projet'!$A$218,$FB$205^A32,IF(A32='Données projet'!$A$218,'Données projet'!$B$218,FE31+FD32-FM31)))</f>
        <v>165.20000000000005</v>
      </c>
      <c r="FF32" s="18">
        <f>FE32*VLOOKUP('Données projet'!$B$16,Paramètres!$A$1:$I$89,3,0)*VLOOKUP('Données projet'!$B$16,Paramètres!$A$1:$I$89,5,0)</f>
        <v>144.31872000000004</v>
      </c>
      <c r="FG32" s="14">
        <f t="shared" si="47"/>
        <v>37.284607417926182</v>
      </c>
      <c r="FH32" s="22">
        <f t="shared" si="22"/>
        <v>316.2924619195548</v>
      </c>
      <c r="FI32" s="60">
        <f t="shared" si="23"/>
        <v>557.46946670403247</v>
      </c>
      <c r="FJ32" s="60">
        <f ca="1">AVERAGE(OFFSET($FI$3,0,0,'Données projet'!$E$16+1,1))-AVERAGE(OFFSET($H$3,0,0,'Données projet'!$E$16+1,1))</f>
        <v>396.99335548279453</v>
      </c>
      <c r="FK32" s="60">
        <f t="shared" si="48"/>
        <v>388.89849573746335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56.108880092736328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4.6150000000000002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16.921666666666667</v>
      </c>
      <c r="H33" s="68">
        <f t="shared" si="1"/>
        <v>188.98000000000002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149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134.81519999999998</v>
      </c>
      <c r="P33" s="14">
        <f t="shared" si="33"/>
        <v>35.106644529103392</v>
      </c>
      <c r="Q33" s="22">
        <f t="shared" si="2"/>
        <v>295.94721255485501</v>
      </c>
      <c r="R33" s="60">
        <f t="shared" si="0"/>
        <v>539.23003243471942</v>
      </c>
      <c r="S33" s="60">
        <f ca="1">AVERAGE(OFFSET($R$3,0,0,'Données projet'!$E$9+1,1))-AVERAGE(OFFSET($H$3,0,0,'Données projet'!$E$9+1,1))</f>
        <v>550.53475891182575</v>
      </c>
      <c r="T33" s="60">
        <f t="shared" si="34"/>
        <v>350.2500324347194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56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478.35159333739148</v>
      </c>
      <c r="AN33" s="60">
        <f ca="1">AVERAGE(OFFSET($AM$3,0,0,'Données projet'!$E$10+1,1))-AVERAGE(OFFSET($H$3,0,0,'Données projet'!$E$10+1,1))</f>
        <v>513.16577009788818</v>
      </c>
      <c r="AO33" s="60">
        <f t="shared" si="36"/>
        <v>289.37159333739146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211.8</v>
      </c>
      <c r="BB33" s="13">
        <f>VLOOKUP(A33,'Données projet'!$A$87:$I$107,9,0)</f>
        <v>14.260000000000002</v>
      </c>
      <c r="BC33" s="13">
        <f t="array" ref="BC33">INDEX(BB:BB,MIN(IF(ISNUMBER(BB33:BB229),ROW(BB33:BB229),"")))</f>
        <v>14.260000000000002</v>
      </c>
      <c r="BD33" s="13">
        <f>IF('Données projet'!$A$88&gt;35,BD32+BC33-BL32,IF(A33&lt;'Données projet'!$A$88,$BA$205^A33,IF(A33='Données projet'!$A$88,'Données projet'!$B$88,BD32+BC33-BL32)))</f>
        <v>211.79999999999995</v>
      </c>
      <c r="BE33" s="14">
        <f>BD33*VLOOKUP('Données projet'!$B$11,Paramètres!$A$1:$I$89,3,0)*VLOOKUP('Données projet'!$B$11,Paramètres!$A$1:$I$89,5,0)</f>
        <v>155.29175999999998</v>
      </c>
      <c r="BF33" s="14">
        <f t="shared" si="37"/>
        <v>39.778719769696814</v>
      </c>
      <c r="BG33" s="22">
        <f t="shared" si="7"/>
        <v>339.74775226555522</v>
      </c>
      <c r="BH33" s="60">
        <f t="shared" si="8"/>
        <v>583.03057214541968</v>
      </c>
      <c r="BI33" s="60">
        <f ca="1">AVERAGE(OFFSET($BH$3,0,0,'Données projet'!$E$11+1,1))-AVERAGE(OFFSET($H$3,0,0,'Données projet'!$E$11+1,1))</f>
        <v>366.5170155168056</v>
      </c>
      <c r="BJ33" s="60">
        <f t="shared" si="38"/>
        <v>394.05057214541966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208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208.00000000000003</v>
      </c>
      <c r="BZ33" s="14">
        <f>BY33*VLOOKUP('Données projet'!$B$12,Paramètres!$A$1:$I$89,3,0)*VLOOKUP('Données projet'!$B$12,Paramètres!$A$1:$I$89,5,0)</f>
        <v>188.19840000000002</v>
      </c>
      <c r="CA33" s="14">
        <f t="shared" si="39"/>
        <v>47.141424081428013</v>
      </c>
      <c r="CB33" s="22">
        <f t="shared" si="10"/>
        <v>409.88352694182049</v>
      </c>
      <c r="CC33" s="60">
        <f t="shared" si="11"/>
        <v>653.1663468216849</v>
      </c>
      <c r="CD33" s="60">
        <f ca="1">AVERAGE(OFFSET($CC$3,0,0,'Données projet'!$E$12+1,1))-AVERAGE(OFFSET($H$3,0,0,'Données projet'!$E$12+1,1))</f>
        <v>333.512642972663</v>
      </c>
      <c r="CE33" s="60">
        <f t="shared" si="40"/>
        <v>464.18634682168488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113.02199999999999</v>
      </c>
      <c r="CV33" s="14">
        <f t="shared" si="41"/>
        <v>30.041864379091852</v>
      </c>
      <c r="CW33" s="22">
        <f t="shared" si="13"/>
        <v>249.16956379358496</v>
      </c>
      <c r="CX33" s="60">
        <f t="shared" si="14"/>
        <v>492.45238367344939</v>
      </c>
      <c r="CY33" s="60">
        <f ca="1">AVERAGE(OFFSET($CX$3,0,0,'Données projet'!$E$13+1,1))-AVERAGE(OFFSET($H$3,0,0,'Données projet'!$E$13+1,1))</f>
        <v>539.76438066597848</v>
      </c>
      <c r="CZ33" s="60">
        <f t="shared" si="42"/>
        <v>303.47238367344937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101.556</v>
      </c>
      <c r="DQ33" s="14">
        <f t="shared" si="43"/>
        <v>27.332359320696909</v>
      </c>
      <c r="DR33" s="22">
        <f t="shared" si="16"/>
        <v>224.48055915021379</v>
      </c>
      <c r="DS33" s="60">
        <f t="shared" si="17"/>
        <v>467.76337903007823</v>
      </c>
      <c r="DT33" s="60">
        <f ca="1">AVERAGE(OFFSET($DS$3,0,0,'Données projet'!$E$14+1,1))-AVERAGE(OFFSET($H$3,0,0,'Données projet'!$E$14+1,1))</f>
        <v>493.19478874005267</v>
      </c>
      <c r="DU33" s="60">
        <f t="shared" si="44"/>
        <v>278.78337903007821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12.2</v>
      </c>
      <c r="EI33" s="13">
        <f t="array" ref="EI33">INDEX(EH:EH,MIN(IF(ISNUMBER(EH33:EH229),ROW(EH33:EH229),"")))</f>
        <v>12.2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125.26800000000003</v>
      </c>
      <c r="EL33" s="14">
        <f t="shared" si="45"/>
        <v>32.9005846700787</v>
      </c>
      <c r="EM33" s="22">
        <f t="shared" si="19"/>
        <v>275.47695163372049</v>
      </c>
      <c r="EN33" s="60">
        <f t="shared" si="20"/>
        <v>518.75977151358484</v>
      </c>
      <c r="EO33" s="60">
        <f ca="1">AVERAGE(OFFSET($EN$3,0,0,'Données projet'!$E$15+1,1))-AVERAGE(OFFSET($H$3,0,0,'Données projet'!$E$15+1,1))</f>
        <v>698.30188737818639</v>
      </c>
      <c r="EP33" s="60">
        <f t="shared" si="46"/>
        <v>329.77977151358482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175</v>
      </c>
      <c r="FC33" s="13">
        <f>VLOOKUP(A33,'Données projet'!$A$217:$I$237,9,0)</f>
        <v>9.8000000000000007</v>
      </c>
      <c r="FD33" s="13">
        <f t="array" ref="FD33">INDEX(FC:FC,MIN(IF(ISNUMBER(FC33:FC229),ROW(FC33:FC229),"")))</f>
        <v>9.8000000000000007</v>
      </c>
      <c r="FE33" s="13">
        <f>IF('Données projet'!$A$218&gt;35,FE32+FD33-FM32,IF(A33&lt;'Données projet'!$A$218,$FB$205^A33,IF(A33='Données projet'!$A$218,'Données projet'!$B$218,FE32+FD33-FM32)))</f>
        <v>175.00000000000006</v>
      </c>
      <c r="FF33" s="18">
        <f>FE33*VLOOKUP('Données projet'!$B$16,Paramètres!$A$1:$I$89,3,0)*VLOOKUP('Données projet'!$B$16,Paramètres!$A$1:$I$89,5,0)</f>
        <v>152.88000000000008</v>
      </c>
      <c r="FG33" s="14">
        <f t="shared" si="47"/>
        <v>39.232349774697887</v>
      </c>
      <c r="FH33" s="22">
        <f t="shared" si="22"/>
        <v>334.59567585759896</v>
      </c>
      <c r="FI33" s="60">
        <f t="shared" si="23"/>
        <v>577.87849573746337</v>
      </c>
      <c r="FJ33" s="60">
        <f ca="1">AVERAGE(OFFSET($FI$3,0,0,'Données projet'!$E$16+1,1))-AVERAGE(OFFSET($H$3,0,0,'Données projet'!$E$16+1,1))</f>
        <v>396.99335548279453</v>
      </c>
      <c r="FK33" s="60">
        <f t="shared" si="48"/>
        <v>388.89849573746335</v>
      </c>
      <c r="FL33" s="16">
        <f>IF(ISNA(VLOOKUP(A33,'Données projet'!$A$217:$I$237,3,0)),0,VLOOKUP(A33,'Données projet'!$A$217:$I$237,3,0))</f>
        <v>2</v>
      </c>
      <c r="FM33" s="16">
        <f>IF(ISNA(VLOOKUP(A33,'Données projet'!$A$217:$I$237,4,0)),0,VLOOKUP(A33,'Données projet'!$A$217:$I$237,4,0))</f>
        <v>53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56.349859967235744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4.6150000000000002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16.921666666666667</v>
      </c>
      <c r="H34" s="68">
        <f t="shared" si="1"/>
        <v>188.98000000000002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103.80000000000001</v>
      </c>
      <c r="O34" s="14">
        <f>N34*VLOOKUP('Données projet'!$B$9,Paramètres!$A$1:$I$89,3,0)*VLOOKUP('Données projet'!$B$9,Paramètres!$A$1:$I$89,5,0)</f>
        <v>93.918239999999997</v>
      </c>
      <c r="P34" s="14">
        <f t="shared" si="33"/>
        <v>25.507853654186022</v>
      </c>
      <c r="Q34" s="22">
        <f t="shared" si="2"/>
        <v>208.0004464477073</v>
      </c>
      <c r="R34" s="60">
        <f t="shared" si="0"/>
        <v>452.15153083980454</v>
      </c>
      <c r="S34" s="60">
        <f ca="1">AVERAGE(OFFSET($R$3,0,0,'Données projet'!$E$9+1,1))-AVERAGE(OFFSET($H$3,0,0,'Données projet'!$E$9+1,1))</f>
        <v>550.53475891182575</v>
      </c>
      <c r="T34" s="60">
        <f t="shared" si="34"/>
        <v>350.2500324347194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433.25095517476552</v>
      </c>
      <c r="AN34" s="60">
        <f ca="1">AVERAGE(OFFSET($AM$3,0,0,'Données projet'!$E$10+1,1))-AVERAGE(OFFSET($H$3,0,0,'Données projet'!$E$10+1,1))</f>
        <v>513.16577009788818</v>
      </c>
      <c r="AO34" s="60">
        <f t="shared" si="36"/>
        <v>289.37159333739146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12.919999999999998</v>
      </c>
      <c r="BD34" s="13">
        <f>IF('Données projet'!$A$88&gt;35,BD33+BC34-BL33,IF(A34&lt;'Données projet'!$A$88,$BA$205^A34,IF(A34='Données projet'!$A$88,'Données projet'!$B$88,BD33+BC34-BL33)))</f>
        <v>154.71999999999994</v>
      </c>
      <c r="BE34" s="14">
        <f>BD34*VLOOKUP('Données projet'!$B$11,Paramètres!$A$1:$I$89,3,0)*VLOOKUP('Données projet'!$B$11,Paramètres!$A$1:$I$89,5,0)</f>
        <v>113.44070399999997</v>
      </c>
      <c r="BF34" s="14">
        <f t="shared" si="37"/>
        <v>30.140182414303599</v>
      </c>
      <c r="BG34" s="22">
        <f t="shared" si="7"/>
        <v>250.07004383824537</v>
      </c>
      <c r="BH34" s="60">
        <f t="shared" si="8"/>
        <v>494.22112823034263</v>
      </c>
      <c r="BI34" s="60">
        <f ca="1">AVERAGE(OFFSET($BH$3,0,0,'Données projet'!$E$11+1,1))-AVERAGE(OFFSET($H$3,0,0,'Données projet'!$E$11+1,1))</f>
        <v>366.5170155168056</v>
      </c>
      <c r="BJ34" s="60">
        <f t="shared" si="38"/>
        <v>394.05057214541966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5.6</v>
      </c>
      <c r="BY34" s="13">
        <f>IF('Données projet'!$A$114&gt;35,BY33+BX34-CG33,IF(A34&lt;'Données projet'!$A$114,$BV$205^A34,IF(A34='Données projet'!$A$114,'Données projet'!$B$114,BY33+BX34-CG33)))</f>
        <v>193.60000000000002</v>
      </c>
      <c r="BZ34" s="14">
        <f>BY34*VLOOKUP('Données projet'!$B$12,Paramètres!$A$1:$I$89,3,0)*VLOOKUP('Données projet'!$B$12,Paramètres!$A$1:$I$89,5,0)</f>
        <v>175.16928000000001</v>
      </c>
      <c r="CA34" s="14">
        <f t="shared" si="39"/>
        <v>44.245744278741803</v>
      </c>
      <c r="CB34" s="22">
        <f t="shared" si="10"/>
        <v>382.14783395214198</v>
      </c>
      <c r="CC34" s="60">
        <f t="shared" si="11"/>
        <v>626.29891834423927</v>
      </c>
      <c r="CD34" s="60">
        <f ca="1">AVERAGE(OFFSET($CC$3,0,0,'Données projet'!$E$12+1,1))-AVERAGE(OFFSET($H$3,0,0,'Données projet'!$E$12+1,1))</f>
        <v>333.512642972663</v>
      </c>
      <c r="CE34" s="60">
        <f t="shared" si="40"/>
        <v>464.18634682168488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90.417599999999993</v>
      </c>
      <c r="CV34" s="14">
        <f t="shared" si="41"/>
        <v>24.665912907068826</v>
      </c>
      <c r="CW34" s="22">
        <f t="shared" si="13"/>
        <v>200.43711831314488</v>
      </c>
      <c r="CX34" s="60">
        <f t="shared" si="14"/>
        <v>444.58820270524211</v>
      </c>
      <c r="CY34" s="60">
        <f ca="1">AVERAGE(OFFSET($CX$3,0,0,'Données projet'!$E$13+1,1))-AVERAGE(OFFSET($H$3,0,0,'Données projet'!$E$13+1,1))</f>
        <v>539.76438066597848</v>
      </c>
      <c r="CZ34" s="60">
        <f t="shared" si="42"/>
        <v>303.47238367344937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81.244799999999998</v>
      </c>
      <c r="DQ34" s="14">
        <f t="shared" si="43"/>
        <v>22.441270156928962</v>
      </c>
      <c r="DR34" s="22">
        <f t="shared" si="16"/>
        <v>180.58657218998462</v>
      </c>
      <c r="DS34" s="60">
        <f t="shared" si="17"/>
        <v>424.73765658208185</v>
      </c>
      <c r="DT34" s="60">
        <f ca="1">AVERAGE(OFFSET($DS$3,0,0,'Données projet'!$E$14+1,1))-AVERAGE(OFFSET($H$3,0,0,'Données projet'!$E$14+1,1))</f>
        <v>493.19478874005267</v>
      </c>
      <c r="DU34" s="60">
        <f t="shared" si="44"/>
        <v>278.78337903007821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12.8</v>
      </c>
      <c r="EJ34" s="13">
        <f>IF('Données projet'!$A$192&gt;35,EJ33+EI34-ER33,IF(A34&lt;'Données projet'!$A$192,$EG$205^A34,IF(A34='Données projet'!$A$192,'Données projet'!$B$192,EJ33+EI34-ER33)))</f>
        <v>158.80000000000001</v>
      </c>
      <c r="EK34" s="18">
        <f>EJ34*VLOOKUP('Données projet'!$B$15,Paramètres!$A$1:$I$89,3,0)*VLOOKUP('Données projet'!$B$15,Paramètres!$A$1:$I$89,5,0)</f>
        <v>136.25040000000004</v>
      </c>
      <c r="EL34" s="14">
        <f t="shared" si="45"/>
        <v>35.436672304560773</v>
      </c>
      <c r="EM34" s="22">
        <f t="shared" si="19"/>
        <v>299.0216509304434</v>
      </c>
      <c r="EN34" s="60">
        <f t="shared" si="20"/>
        <v>543.17273532254069</v>
      </c>
      <c r="EO34" s="60">
        <f ca="1">AVERAGE(OFFSET($EN$3,0,0,'Données projet'!$E$15+1,1))-AVERAGE(OFFSET($H$3,0,0,'Données projet'!$E$15+1,1))</f>
        <v>698.30188737818639</v>
      </c>
      <c r="EP34" s="60">
        <f t="shared" si="46"/>
        <v>329.77977151358482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9.1999999999999993</v>
      </c>
      <c r="FE34" s="13">
        <f>IF('Données projet'!$A$218&gt;35,FE33+FD34-FM33,IF(A34&lt;'Données projet'!$A$218,$FB$205^A34,IF(A34='Données projet'!$A$218,'Données projet'!$B$218,FE33+FD34-FM33)))</f>
        <v>131.20000000000005</v>
      </c>
      <c r="FF34" s="18">
        <f>FE34*VLOOKUP('Données projet'!$B$16,Paramètres!$A$1:$I$89,3,0)*VLOOKUP('Données projet'!$B$16,Paramètres!$A$1:$I$89,5,0)</f>
        <v>114.61632000000006</v>
      </c>
      <c r="FG34" s="14">
        <f t="shared" si="47"/>
        <v>30.416009647934438</v>
      </c>
      <c r="FH34" s="22">
        <f t="shared" si="22"/>
        <v>252.5979741368192</v>
      </c>
      <c r="FI34" s="60">
        <f t="shared" si="23"/>
        <v>496.74905852891646</v>
      </c>
      <c r="FJ34" s="60">
        <f ca="1">AVERAGE(OFFSET($FI$3,0,0,'Données projet'!$E$16+1,1))-AVERAGE(OFFSET($H$3,0,0,'Données projet'!$E$16+1,1))</f>
        <v>396.99335548279453</v>
      </c>
      <c r="FK34" s="60">
        <f t="shared" si="48"/>
        <v>388.89849573746335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56.586659379662891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4.6150000000000002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16.921666666666667</v>
      </c>
      <c r="H35" s="68">
        <f t="shared" si="1"/>
        <v>188.98000000000002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114.60000000000001</v>
      </c>
      <c r="O35" s="14">
        <f>N35*VLOOKUP('Données projet'!$B$9,Paramètres!$A$1:$I$89,3,0)*VLOOKUP('Données projet'!$B$9,Paramètres!$A$1:$I$89,5,0)</f>
        <v>103.69008000000001</v>
      </c>
      <c r="P35" s="14">
        <f t="shared" si="33"/>
        <v>27.83924565319537</v>
      </c>
      <c r="Q35" s="22">
        <f t="shared" ref="Q35:Q66" si="53">(O35+P35)*0.475*44/12</f>
        <v>229.08024217931526</v>
      </c>
      <c r="R35" s="60">
        <f t="shared" si="0"/>
        <v>474.08452863550679</v>
      </c>
      <c r="S35" s="60">
        <f ca="1">AVERAGE(OFFSET($R$3,0,0,'Données projet'!$E$9+1,1))-AVERAGE(OFFSET($H$3,0,0,'Données projet'!$E$9+1,1))</f>
        <v>550.53475891182575</v>
      </c>
      <c r="T35" s="60">
        <f t="shared" si="34"/>
        <v>350.2500324347194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451.64354059177123</v>
      </c>
      <c r="AN35" s="60">
        <f ca="1">AVERAGE(OFFSET($AM$3,0,0,'Données projet'!$E$10+1,1))-AVERAGE(OFFSET($H$3,0,0,'Données projet'!$E$10+1,1))</f>
        <v>513.16577009788818</v>
      </c>
      <c r="AO35" s="60">
        <f t="shared" si="36"/>
        <v>289.37159333739146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12.919999999999998</v>
      </c>
      <c r="BD35" s="13">
        <f>IF('Données projet'!$A$88&gt;35,BD34+BC35-BL34,IF(A35&lt;'Données projet'!$A$88,$BA$205^A35,IF(A35='Données projet'!$A$88,'Données projet'!$B$88,BD34+BC35-BL34)))</f>
        <v>167.63999999999993</v>
      </c>
      <c r="BE35" s="14">
        <f>BD35*VLOOKUP('Données projet'!$B$11,Paramètres!$A$1:$I$89,3,0)*VLOOKUP('Données projet'!$B$11,Paramètres!$A$1:$I$89,5,0)</f>
        <v>122.91364799999994</v>
      </c>
      <c r="BF35" s="14">
        <f t="shared" si="37"/>
        <v>32.353608109504151</v>
      </c>
      <c r="BG35" s="22">
        <f t="shared" si="7"/>
        <v>270.42380439071962</v>
      </c>
      <c r="BH35" s="60">
        <f t="shared" si="8"/>
        <v>515.42809084691112</v>
      </c>
      <c r="BI35" s="60">
        <f ca="1">AVERAGE(OFFSET($BH$3,0,0,'Données projet'!$E$11+1,1))-AVERAGE(OFFSET($H$3,0,0,'Données projet'!$E$11+1,1))</f>
        <v>366.5170155168056</v>
      </c>
      <c r="BJ35" s="60">
        <f t="shared" si="38"/>
        <v>394.05057214541966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5.6</v>
      </c>
      <c r="BY35" s="13">
        <f>IF('Données projet'!$A$114&gt;35,BY34+BX35-CG34,IF(A35&lt;'Données projet'!$A$114,$BV$205^A35,IF(A35='Données projet'!$A$114,'Données projet'!$B$114,BY34+BX35-CG34)))</f>
        <v>199.20000000000002</v>
      </c>
      <c r="BZ35" s="14">
        <f>BY35*VLOOKUP('Données projet'!$B$12,Paramètres!$A$1:$I$89,3,0)*VLOOKUP('Données projet'!$B$12,Paramètres!$A$1:$I$89,5,0)</f>
        <v>180.23616000000001</v>
      </c>
      <c r="CA35" s="14">
        <f t="shared" si="39"/>
        <v>45.374723405565916</v>
      </c>
      <c r="CB35" s="22">
        <f t="shared" si="10"/>
        <v>392.93895526469396</v>
      </c>
      <c r="CC35" s="60">
        <f t="shared" si="11"/>
        <v>637.94324172088545</v>
      </c>
      <c r="CD35" s="60">
        <f ca="1">AVERAGE(OFFSET($CC$3,0,0,'Données projet'!$E$12+1,1))-AVERAGE(OFFSET($H$3,0,0,'Données projet'!$E$12+1,1))</f>
        <v>333.512642972663</v>
      </c>
      <c r="CE35" s="60">
        <f t="shared" si="40"/>
        <v>464.18634682168488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99.028800000000004</v>
      </c>
      <c r="CV35" s="14">
        <f t="shared" si="41"/>
        <v>26.730491283721712</v>
      </c>
      <c r="CW35" s="22">
        <f t="shared" si="13"/>
        <v>219.03076565248196</v>
      </c>
      <c r="CX35" s="60">
        <f t="shared" si="14"/>
        <v>464.03505210867348</v>
      </c>
      <c r="CY35" s="60">
        <f ca="1">AVERAGE(OFFSET($CX$3,0,0,'Données projet'!$E$13+1,1))-AVERAGE(OFFSET($H$3,0,0,'Données projet'!$E$13+1,1))</f>
        <v>539.76438066597848</v>
      </c>
      <c r="CZ35" s="60">
        <f t="shared" si="42"/>
        <v>303.47238367344937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88.982399999999998</v>
      </c>
      <c r="DQ35" s="14">
        <f t="shared" si="43"/>
        <v>24.31964219550628</v>
      </c>
      <c r="DR35" s="22">
        <f t="shared" si="16"/>
        <v>197.3343901571734</v>
      </c>
      <c r="DS35" s="60">
        <f t="shared" si="17"/>
        <v>442.3386766133649</v>
      </c>
      <c r="DT35" s="60">
        <f ca="1">AVERAGE(OFFSET($DS$3,0,0,'Données projet'!$E$14+1,1))-AVERAGE(OFFSET($H$3,0,0,'Données projet'!$E$14+1,1))</f>
        <v>493.19478874005267</v>
      </c>
      <c r="DU35" s="60">
        <f t="shared" si="44"/>
        <v>278.78337903007821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12.8</v>
      </c>
      <c r="EJ35" s="13">
        <f>IF('Données projet'!$A$192&gt;35,EJ34+EI35-ER34,IF(A35&lt;'Données projet'!$A$192,$EG$205^A35,IF(A35='Données projet'!$A$192,'Données projet'!$B$192,EJ34+EI35-ER34)))</f>
        <v>171.60000000000002</v>
      </c>
      <c r="EK35" s="18">
        <f>EJ35*VLOOKUP('Données projet'!$B$15,Paramètres!$A$1:$I$89,3,0)*VLOOKUP('Données projet'!$B$15,Paramètres!$A$1:$I$89,5,0)</f>
        <v>147.23280000000005</v>
      </c>
      <c r="EL35" s="14">
        <f t="shared" si="45"/>
        <v>37.949049623906205</v>
      </c>
      <c r="EM35" s="22">
        <f t="shared" si="19"/>
        <v>322.52505476163668</v>
      </c>
      <c r="EN35" s="60">
        <f t="shared" si="20"/>
        <v>567.52934121782823</v>
      </c>
      <c r="EO35" s="60">
        <f ca="1">AVERAGE(OFFSET($EN$3,0,0,'Données projet'!$E$15+1,1))-AVERAGE(OFFSET($H$3,0,0,'Données projet'!$E$15+1,1))</f>
        <v>698.30188737818639</v>
      </c>
      <c r="EP35" s="60">
        <f t="shared" si="46"/>
        <v>329.77977151358482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9.1999999999999993</v>
      </c>
      <c r="FE35" s="13">
        <f>IF('Données projet'!$A$218&gt;35,FE34+FD35-FM34,IF(A35&lt;'Données projet'!$A$218,$FB$205^A35,IF(A35='Données projet'!$A$218,'Données projet'!$B$218,FE34+FD35-FM34)))</f>
        <v>140.40000000000003</v>
      </c>
      <c r="FF35" s="18">
        <f>FE35*VLOOKUP('Données projet'!$B$16,Paramètres!$A$1:$I$89,3,0)*VLOOKUP('Données projet'!$B$16,Paramètres!$A$1:$I$89,5,0)</f>
        <v>122.65344000000005</v>
      </c>
      <c r="FG35" s="14">
        <f t="shared" si="47"/>
        <v>32.293080640759037</v>
      </c>
      <c r="FH35" s="22">
        <f t="shared" si="22"/>
        <v>269.8651901159887</v>
      </c>
      <c r="FI35" s="60">
        <f t="shared" si="23"/>
        <v>514.86947657218025</v>
      </c>
      <c r="FJ35" s="60">
        <f ca="1">AVERAGE(OFFSET($FI$3,0,0,'Données projet'!$E$16+1,1))-AVERAGE(OFFSET($H$3,0,0,'Données projet'!$E$16+1,1))</f>
        <v>396.99335548279453</v>
      </c>
      <c r="FK35" s="60">
        <f t="shared" si="48"/>
        <v>388.89849573746335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56.819350851688597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4.6150000000000002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16.921666666666667</v>
      </c>
      <c r="H36" s="68">
        <f t="shared" si="1"/>
        <v>188.98000000000002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</v>
      </c>
      <c r="O36" s="14">
        <f>N36*VLOOKUP('Données projet'!$B$9,Paramètres!$A$1:$I$89,3,0)*VLOOKUP('Données projet'!$B$9,Paramètres!$A$1:$I$89,5,0)</f>
        <v>113.46192000000001</v>
      </c>
      <c r="P36" s="14">
        <f t="shared" si="33"/>
        <v>30.145163126535493</v>
      </c>
      <c r="Q36" s="22">
        <f t="shared" si="53"/>
        <v>250.11566977871595</v>
      </c>
      <c r="R36" s="60">
        <f t="shared" si="0"/>
        <v>495.9583571506638</v>
      </c>
      <c r="S36" s="60">
        <f ca="1">AVERAGE(OFFSET($R$3,0,0,'Données projet'!$E$9+1,1))-AVERAGE(OFFSET($H$3,0,0,'Données projet'!$E$9+1,1))</f>
        <v>550.53475891182575</v>
      </c>
      <c r="T36" s="60">
        <f t="shared" si="34"/>
        <v>350.2500324347194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469.98692819259657</v>
      </c>
      <c r="AN36" s="60">
        <f ca="1">AVERAGE(OFFSET($AM$3,0,0,'Données projet'!$E$10+1,1))-AVERAGE(OFFSET($H$3,0,0,'Données projet'!$E$10+1,1))</f>
        <v>513.16577009788818</v>
      </c>
      <c r="AO36" s="60">
        <f t="shared" si="36"/>
        <v>289.37159333739146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12.919999999999998</v>
      </c>
      <c r="BD36" s="13">
        <f>IF('Données projet'!$A$88&gt;35,BD35+BC36-BL35,IF(A36&lt;'Données projet'!$A$88,$BA$205^A36,IF(A36='Données projet'!$A$88,'Données projet'!$B$88,BD35+BC36-BL35)))</f>
        <v>180.55999999999992</v>
      </c>
      <c r="BE36" s="14">
        <f>BD36*VLOOKUP('Données projet'!$B$11,Paramètres!$A$1:$I$89,3,0)*VLOOKUP('Données projet'!$B$11,Paramètres!$A$1:$I$89,5,0)</f>
        <v>132.38659199999992</v>
      </c>
      <c r="BF36" s="14">
        <f t="shared" si="37"/>
        <v>34.547245433823143</v>
      </c>
      <c r="BG36" s="22">
        <f t="shared" si="7"/>
        <v>290.74310019724186</v>
      </c>
      <c r="BH36" s="60">
        <f t="shared" si="8"/>
        <v>536.58578756918973</v>
      </c>
      <c r="BI36" s="60">
        <f ca="1">AVERAGE(OFFSET($BH$3,0,0,'Données projet'!$E$11+1,1))-AVERAGE(OFFSET($H$3,0,0,'Données projet'!$E$11+1,1))</f>
        <v>366.5170155168056</v>
      </c>
      <c r="BJ36" s="60">
        <f t="shared" si="38"/>
        <v>394.05057214541966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5.6</v>
      </c>
      <c r="BY36" s="13">
        <f>IF('Données projet'!$A$114&gt;35,BY35+BX36-CG35,IF(A36&lt;'Données projet'!$A$114,$BV$205^A36,IF(A36='Données projet'!$A$114,'Données projet'!$B$114,BY35+BX36-CG35)))</f>
        <v>204.8</v>
      </c>
      <c r="BZ36" s="14">
        <f>BY36*VLOOKUP('Données projet'!$B$12,Paramètres!$A$1:$I$89,3,0)*VLOOKUP('Données projet'!$B$12,Paramètres!$A$1:$I$89,5,0)</f>
        <v>185.30303999999998</v>
      </c>
      <c r="CA36" s="14">
        <f t="shared" si="39"/>
        <v>46.500013710710547</v>
      </c>
      <c r="CB36" s="22">
        <f t="shared" si="10"/>
        <v>403.72365187948748</v>
      </c>
      <c r="CC36" s="60">
        <f t="shared" si="11"/>
        <v>649.56633925143535</v>
      </c>
      <c r="CD36" s="60">
        <f ca="1">AVERAGE(OFFSET($CC$3,0,0,'Données projet'!$E$12+1,1))-AVERAGE(OFFSET($H$3,0,0,'Données projet'!$E$12+1,1))</f>
        <v>333.512642972663</v>
      </c>
      <c r="CE36" s="60">
        <f t="shared" si="40"/>
        <v>464.18634682168488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107.64</v>
      </c>
      <c r="CV36" s="14">
        <f t="shared" si="41"/>
        <v>28.774250263353583</v>
      </c>
      <c r="CW36" s="22">
        <f t="shared" si="13"/>
        <v>237.58815254200749</v>
      </c>
      <c r="CX36" s="60">
        <f t="shared" si="14"/>
        <v>483.43083991395531</v>
      </c>
      <c r="CY36" s="60">
        <f ca="1">AVERAGE(OFFSET($CX$3,0,0,'Données projet'!$E$13+1,1))-AVERAGE(OFFSET($H$3,0,0,'Données projet'!$E$13+1,1))</f>
        <v>539.76438066597848</v>
      </c>
      <c r="CZ36" s="60">
        <f t="shared" si="42"/>
        <v>303.47238367344937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96.72</v>
      </c>
      <c r="DQ36" s="14">
        <f t="shared" si="43"/>
        <v>26.179072558792139</v>
      </c>
      <c r="DR36" s="22">
        <f t="shared" si="16"/>
        <v>214.04921803989632</v>
      </c>
      <c r="DS36" s="60">
        <f t="shared" si="17"/>
        <v>459.89190541184416</v>
      </c>
      <c r="DT36" s="60">
        <f ca="1">AVERAGE(OFFSET($DS$3,0,0,'Données projet'!$E$14+1,1))-AVERAGE(OFFSET($H$3,0,0,'Données projet'!$E$14+1,1))</f>
        <v>493.19478874005267</v>
      </c>
      <c r="DU36" s="60">
        <f t="shared" si="44"/>
        <v>278.78337903007821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12.8</v>
      </c>
      <c r="EJ36" s="13">
        <f>IF('Données projet'!$A$192&gt;35,EJ35+EI36-ER35,IF(A36&lt;'Données projet'!$A$192,$EG$205^A36,IF(A36='Données projet'!$A$192,'Données projet'!$B$192,EJ35+EI36-ER35)))</f>
        <v>184.40000000000003</v>
      </c>
      <c r="EK36" s="18">
        <f>EJ36*VLOOKUP('Données projet'!$B$15,Paramètres!$A$1:$I$89,3,0)*VLOOKUP('Données projet'!$B$15,Paramètres!$A$1:$I$89,5,0)</f>
        <v>158.21520000000004</v>
      </c>
      <c r="EL36" s="14">
        <f t="shared" si="45"/>
        <v>40.439686338648897</v>
      </c>
      <c r="EM36" s="22">
        <f t="shared" si="19"/>
        <v>345.99059370648024</v>
      </c>
      <c r="EN36" s="60">
        <f t="shared" si="20"/>
        <v>591.83328107842806</v>
      </c>
      <c r="EO36" s="60">
        <f ca="1">AVERAGE(OFFSET($EN$3,0,0,'Données projet'!$E$15+1,1))-AVERAGE(OFFSET($H$3,0,0,'Données projet'!$E$15+1,1))</f>
        <v>698.30188737818639</v>
      </c>
      <c r="EP36" s="60">
        <f t="shared" si="46"/>
        <v>329.77977151358482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9.1999999999999993</v>
      </c>
      <c r="FE36" s="13">
        <f>IF('Données projet'!$A$218&gt;35,FE35+FD36-FM35,IF(A36&lt;'Données projet'!$A$218,$FB$205^A36,IF(A36='Données projet'!$A$218,'Données projet'!$B$218,FE35+FD36-FM35)))</f>
        <v>149.60000000000002</v>
      </c>
      <c r="FF36" s="18">
        <f>FE36*VLOOKUP('Données projet'!$B$16,Paramètres!$A$1:$I$89,3,0)*VLOOKUP('Données projet'!$B$16,Paramètres!$A$1:$I$89,5,0)</f>
        <v>130.69056000000003</v>
      </c>
      <c r="FG36" s="14">
        <f t="shared" si="47"/>
        <v>34.155878238422723</v>
      </c>
      <c r="FH36" s="22">
        <f t="shared" si="22"/>
        <v>287.10754659858628</v>
      </c>
      <c r="FI36" s="60">
        <f t="shared" si="23"/>
        <v>532.9502339705341</v>
      </c>
      <c r="FJ36" s="60">
        <f ca="1">AVERAGE(OFFSET($FI$3,0,0,'Données projet'!$E$16+1,1))-AVERAGE(OFFSET($H$3,0,0,'Données projet'!$E$16+1,1))</f>
        <v>396.99335548279453</v>
      </c>
      <c r="FK36" s="60">
        <f t="shared" si="48"/>
        <v>388.89849573746335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57.048005646894858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4.6150000000000002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16.921666666666667</v>
      </c>
      <c r="H37" s="68">
        <f t="shared" si="1"/>
        <v>188.98000000000002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136.20000000000002</v>
      </c>
      <c r="O37" s="14">
        <f>N37*VLOOKUP('Données projet'!$B$9,Paramètres!$A$1:$I$89,3,0)*VLOOKUP('Données projet'!$B$9,Paramètres!$A$1:$I$89,5,0)</f>
        <v>123.23376000000002</v>
      </c>
      <c r="P37" s="14">
        <f t="shared" si="33"/>
        <v>32.428049504876491</v>
      </c>
      <c r="Q37" s="22">
        <f t="shared" si="53"/>
        <v>271.11098488765992</v>
      </c>
      <c r="R37" s="60">
        <f t="shared" si="0"/>
        <v>517.77752879385923</v>
      </c>
      <c r="S37" s="60">
        <f ca="1">AVERAGE(OFFSET($R$3,0,0,'Données projet'!$E$9+1,1))-AVERAGE(OFFSET($H$3,0,0,'Données projet'!$E$9+1,1))</f>
        <v>550.53475891182575</v>
      </c>
      <c r="T37" s="60">
        <f t="shared" si="34"/>
        <v>350.2500324347194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488.28443932455104</v>
      </c>
      <c r="AN37" s="60">
        <f ca="1">AVERAGE(OFFSET($AM$3,0,0,'Données projet'!$E$10+1,1))-AVERAGE(OFFSET($H$3,0,0,'Données projet'!$E$10+1,1))</f>
        <v>513.16577009788818</v>
      </c>
      <c r="AO37" s="60">
        <f t="shared" si="36"/>
        <v>289.37159333739146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12.919999999999998</v>
      </c>
      <c r="BD37" s="13">
        <f>IF('Données projet'!$A$88&gt;35,BD36+BC37-BL36,IF(A37&lt;'Données projet'!$A$88,$BA$205^A37,IF(A37='Données projet'!$A$88,'Données projet'!$B$88,BD36+BC37-BL36)))</f>
        <v>193.4799999999999</v>
      </c>
      <c r="BE37" s="14">
        <f>BD37*VLOOKUP('Données projet'!$B$11,Paramètres!$A$1:$I$89,3,0)*VLOOKUP('Données projet'!$B$11,Paramètres!$A$1:$I$89,5,0)</f>
        <v>141.85953599999993</v>
      </c>
      <c r="BF37" s="14">
        <f t="shared" si="37"/>
        <v>36.722671388271863</v>
      </c>
      <c r="BG37" s="22">
        <f t="shared" si="7"/>
        <v>311.03067786790672</v>
      </c>
      <c r="BH37" s="60">
        <f t="shared" si="8"/>
        <v>557.69722177410608</v>
      </c>
      <c r="BI37" s="60">
        <f ca="1">AVERAGE(OFFSET($BH$3,0,0,'Données projet'!$E$11+1,1))-AVERAGE(OFFSET($H$3,0,0,'Données projet'!$E$11+1,1))</f>
        <v>366.5170155168056</v>
      </c>
      <c r="BJ37" s="60">
        <f t="shared" si="38"/>
        <v>394.05057214541966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5.6</v>
      </c>
      <c r="BY37" s="13">
        <f>IF('Données projet'!$A$114&gt;35,BY36+BX37-CG36,IF(A37&lt;'Données projet'!$A$114,$BV$205^A37,IF(A37='Données projet'!$A$114,'Données projet'!$B$114,BY36+BX37-CG36)))</f>
        <v>210.4</v>
      </c>
      <c r="BZ37" s="14">
        <f>BY37*VLOOKUP('Données projet'!$B$12,Paramètres!$A$1:$I$89,3,0)*VLOOKUP('Données projet'!$B$12,Paramètres!$A$1:$I$89,5,0)</f>
        <v>190.36992000000001</v>
      </c>
      <c r="CA37" s="14">
        <f t="shared" si="39"/>
        <v>47.621727650589136</v>
      </c>
      <c r="CB37" s="22">
        <f t="shared" si="10"/>
        <v>414.50211965810939</v>
      </c>
      <c r="CC37" s="60">
        <f t="shared" si="11"/>
        <v>661.16866356430876</v>
      </c>
      <c r="CD37" s="60">
        <f ca="1">AVERAGE(OFFSET($CC$3,0,0,'Données projet'!$E$12+1,1))-AVERAGE(OFFSET($H$3,0,0,'Données projet'!$E$12+1,1))</f>
        <v>333.512642972663</v>
      </c>
      <c r="CE37" s="60">
        <f t="shared" si="40"/>
        <v>464.18634682168488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116.2512</v>
      </c>
      <c r="CV37" s="14">
        <f t="shared" si="41"/>
        <v>30.799044755804328</v>
      </c>
      <c r="CW37" s="22">
        <f t="shared" si="13"/>
        <v>256.1125096163592</v>
      </c>
      <c r="CX37" s="60">
        <f t="shared" si="14"/>
        <v>502.77905352255857</v>
      </c>
      <c r="CY37" s="60">
        <f ca="1">AVERAGE(OFFSET($CX$3,0,0,'Données projet'!$E$13+1,1))-AVERAGE(OFFSET($H$3,0,0,'Données projet'!$E$13+1,1))</f>
        <v>539.76438066597848</v>
      </c>
      <c r="CZ37" s="60">
        <f t="shared" si="42"/>
        <v>303.47238367344937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104.4576</v>
      </c>
      <c r="DQ37" s="14">
        <f t="shared" si="43"/>
        <v>28.021248860498272</v>
      </c>
      <c r="DR37" s="22">
        <f t="shared" si="16"/>
        <v>230.73399509870114</v>
      </c>
      <c r="DS37" s="60">
        <f t="shared" si="17"/>
        <v>477.40053900490045</v>
      </c>
      <c r="DT37" s="60">
        <f ca="1">AVERAGE(OFFSET($DS$3,0,0,'Données projet'!$E$14+1,1))-AVERAGE(OFFSET($H$3,0,0,'Données projet'!$E$14+1,1))</f>
        <v>493.19478874005267</v>
      </c>
      <c r="DU37" s="60">
        <f t="shared" si="44"/>
        <v>278.78337903007821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12.8</v>
      </c>
      <c r="EJ37" s="13">
        <f>IF('Données projet'!$A$192&gt;35,EJ36+EI37-ER36,IF(A37&lt;'Données projet'!$A$192,$EG$205^A37,IF(A37='Données projet'!$A$192,'Données projet'!$B$192,EJ36+EI37-ER36)))</f>
        <v>197.20000000000005</v>
      </c>
      <c r="EK37" s="18">
        <f>EJ37*VLOOKUP('Données projet'!$B$15,Paramètres!$A$1:$I$89,3,0)*VLOOKUP('Données projet'!$B$15,Paramètres!$A$1:$I$89,5,0)</f>
        <v>169.19760000000005</v>
      </c>
      <c r="EL37" s="14">
        <f t="shared" si="45"/>
        <v>42.910263223432885</v>
      </c>
      <c r="EM37" s="22">
        <f t="shared" si="19"/>
        <v>369.42119511414563</v>
      </c>
      <c r="EN37" s="60">
        <f t="shared" si="20"/>
        <v>616.087739020345</v>
      </c>
      <c r="EO37" s="60">
        <f ca="1">AVERAGE(OFFSET($EN$3,0,0,'Données projet'!$E$15+1,1))-AVERAGE(OFFSET($H$3,0,0,'Données projet'!$E$15+1,1))</f>
        <v>698.30188737818639</v>
      </c>
      <c r="EP37" s="60">
        <f t="shared" si="46"/>
        <v>329.77977151358482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9.1999999999999993</v>
      </c>
      <c r="FE37" s="13">
        <f>IF('Données projet'!$A$218&gt;35,FE36+FD37-FM36,IF(A37&lt;'Données projet'!$A$218,$FB$205^A37,IF(A37='Données projet'!$A$218,'Données projet'!$B$218,FE36+FD37-FM36)))</f>
        <v>158.80000000000001</v>
      </c>
      <c r="FF37" s="18">
        <f>FE37*VLOOKUP('Données projet'!$B$16,Paramètres!$A$1:$I$89,3,0)*VLOOKUP('Données projet'!$B$16,Paramètres!$A$1:$I$89,5,0)</f>
        <v>138.72768000000002</v>
      </c>
      <c r="FG37" s="14">
        <f t="shared" si="47"/>
        <v>36.005380160492741</v>
      </c>
      <c r="FH37" s="22">
        <f t="shared" si="22"/>
        <v>304.32674644619152</v>
      </c>
      <c r="FI37" s="60">
        <f t="shared" si="23"/>
        <v>550.99329035239089</v>
      </c>
      <c r="FJ37" s="60">
        <f ca="1">AVERAGE(OFFSET($FI$3,0,0,'Données projet'!$E$16+1,1))-AVERAGE(OFFSET($H$3,0,0,'Données projet'!$E$16+1,1))</f>
        <v>396.99335548279453</v>
      </c>
      <c r="FK37" s="60">
        <f t="shared" si="48"/>
        <v>388.89849573746335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57.272693792599831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4.6150000000000002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16.921666666666667</v>
      </c>
      <c r="H38" s="68">
        <f t="shared" si="1"/>
        <v>188.98000000000002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147.00000000000003</v>
      </c>
      <c r="O38" s="14">
        <f>N38*VLOOKUP('Données projet'!$B$9,Paramètres!$A$1:$I$89,3,0)*VLOOKUP('Données projet'!$B$9,Paramètres!$A$1:$I$89,5,0)</f>
        <v>133.00560000000002</v>
      </c>
      <c r="P38" s="14">
        <f t="shared" si="33"/>
        <v>34.689938673073549</v>
      </c>
      <c r="Q38" s="22">
        <f t="shared" si="53"/>
        <v>292.06972985560316</v>
      </c>
      <c r="R38" s="60">
        <f t="shared" si="0"/>
        <v>539.54583822705217</v>
      </c>
      <c r="S38" s="60">
        <f ca="1">AVERAGE(OFFSET($R$3,0,0,'Données projet'!$E$9+1,1))-AVERAGE(OFFSET($H$3,0,0,'Données projet'!$E$9+1,1))</f>
        <v>550.53475891182575</v>
      </c>
      <c r="T38" s="60">
        <f t="shared" si="34"/>
        <v>350.2500324347194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506.53891111357353</v>
      </c>
      <c r="AN38" s="60">
        <f ca="1">AVERAGE(OFFSET($AM$3,0,0,'Données projet'!$E$10+1,1))-AVERAGE(OFFSET($H$3,0,0,'Données projet'!$E$10+1,1))</f>
        <v>513.16577009788818</v>
      </c>
      <c r="AO38" s="60">
        <f t="shared" si="36"/>
        <v>289.37159333739146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206.4</v>
      </c>
      <c r="BB38" s="13">
        <f>VLOOKUP(A38,'Données projet'!$A$87:$I$107,9,0)</f>
        <v>12.919999999999998</v>
      </c>
      <c r="BC38" s="13">
        <f t="array" ref="BC38">INDEX(BB:BB,MIN(IF(ISNUMBER(BB38:BB234),ROW(BB38:BB234),"")))</f>
        <v>12.919999999999998</v>
      </c>
      <c r="BD38" s="13">
        <f>IF('Données projet'!$A$88&gt;35,BD37+BC38-BL37,IF(A38&lt;'Données projet'!$A$88,$BA$205^A38,IF(A38='Données projet'!$A$88,'Données projet'!$B$88,BD37+BC38-BL37)))</f>
        <v>206.39999999999989</v>
      </c>
      <c r="BE38" s="14">
        <f>BD38*VLOOKUP('Données projet'!$B$11,Paramètres!$A$1:$I$89,3,0)*VLOOKUP('Données projet'!$B$11,Paramètres!$A$1:$I$89,5,0)</f>
        <v>151.33247999999992</v>
      </c>
      <c r="BF38" s="14">
        <f t="shared" si="37"/>
        <v>38.881240443489794</v>
      </c>
      <c r="BG38" s="22">
        <f t="shared" si="7"/>
        <v>331.28889643907786</v>
      </c>
      <c r="BH38" s="60">
        <f t="shared" si="8"/>
        <v>578.76500481052676</v>
      </c>
      <c r="BI38" s="60">
        <f ca="1">AVERAGE(OFFSET($BH$3,0,0,'Données projet'!$E$11+1,1))-AVERAGE(OFFSET($H$3,0,0,'Données projet'!$E$11+1,1))</f>
        <v>366.5170155168056</v>
      </c>
      <c r="BJ38" s="60">
        <f t="shared" si="38"/>
        <v>394.05057214541966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5.6</v>
      </c>
      <c r="BX38" s="13">
        <f t="array" ref="BX38">INDEX(BW:BW,MIN(IF(ISNUMBER(BW38:BW234),ROW(BW38:BW234),"")))</f>
        <v>5.6</v>
      </c>
      <c r="BY38" s="13">
        <f>IF('Données projet'!$A$114&gt;35,BY37+BX38-CG37,IF(A38&lt;'Données projet'!$A$114,$BV$205^A38,IF(A38='Données projet'!$A$114,'Données projet'!$B$114,BY37+BX38-CG37)))</f>
        <v>216</v>
      </c>
      <c r="BZ38" s="14">
        <f>BY38*VLOOKUP('Données projet'!$B$12,Paramètres!$A$1:$I$89,3,0)*VLOOKUP('Données projet'!$B$12,Paramètres!$A$1:$I$89,5,0)</f>
        <v>195.43679999999998</v>
      </c>
      <c r="CA38" s="14">
        <f t="shared" si="39"/>
        <v>48.739971354487849</v>
      </c>
      <c r="CB38" s="22">
        <f t="shared" si="10"/>
        <v>425.27454344239959</v>
      </c>
      <c r="CC38" s="60">
        <f t="shared" si="11"/>
        <v>672.75065181384855</v>
      </c>
      <c r="CD38" s="60">
        <f ca="1">AVERAGE(OFFSET($CC$3,0,0,'Données projet'!$E$12+1,1))-AVERAGE(OFFSET($H$3,0,0,'Données projet'!$E$12+1,1))</f>
        <v>333.512642972663</v>
      </c>
      <c r="CE38" s="60">
        <f t="shared" si="40"/>
        <v>464.18634682168488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124.86239999999999</v>
      </c>
      <c r="CV38" s="14">
        <f t="shared" si="41"/>
        <v>32.806439280561598</v>
      </c>
      <c r="CW38" s="22">
        <f t="shared" si="13"/>
        <v>274.60656174697812</v>
      </c>
      <c r="CX38" s="60">
        <f t="shared" si="14"/>
        <v>522.08267011842713</v>
      </c>
      <c r="CY38" s="60">
        <f ca="1">AVERAGE(OFFSET($CX$3,0,0,'Données projet'!$E$13+1,1))-AVERAGE(OFFSET($H$3,0,0,'Données projet'!$E$13+1,1))</f>
        <v>539.76438066597848</v>
      </c>
      <c r="CZ38" s="60">
        <f t="shared" si="42"/>
        <v>303.47238367344937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112.1952</v>
      </c>
      <c r="DQ38" s="14">
        <f t="shared" si="43"/>
        <v>29.847594514573263</v>
      </c>
      <c r="DR38" s="22">
        <f t="shared" si="16"/>
        <v>247.39120044621509</v>
      </c>
      <c r="DS38" s="60">
        <f t="shared" si="17"/>
        <v>494.86730881766402</v>
      </c>
      <c r="DT38" s="60">
        <f ca="1">AVERAGE(OFFSET($DS$3,0,0,'Données projet'!$E$14+1,1))-AVERAGE(OFFSET($H$3,0,0,'Données projet'!$E$14+1,1))</f>
        <v>493.19478874005267</v>
      </c>
      <c r="DU38" s="60">
        <f t="shared" si="44"/>
        <v>278.78337903007821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210</v>
      </c>
      <c r="EH38" s="13">
        <f>VLOOKUP(A38,'Données projet'!$A$191:$I$211,9,0)</f>
        <v>12.8</v>
      </c>
      <c r="EI38" s="13">
        <f t="array" ref="EI38">INDEX(EH:EH,MIN(IF(ISNUMBER(EH38:EH234),ROW(EH38:EH234),"")))</f>
        <v>12.8</v>
      </c>
      <c r="EJ38" s="13">
        <f>IF('Données projet'!$A$192&gt;35,EJ37+EI38-ER37,IF(A38&lt;'Données projet'!$A$192,$EG$205^A38,IF(A38='Données projet'!$A$192,'Données projet'!$B$192,EJ37+EI38-ER37)))</f>
        <v>210.00000000000006</v>
      </c>
      <c r="EK38" s="18">
        <f>EJ38*VLOOKUP('Données projet'!$B$15,Paramètres!$A$1:$I$89,3,0)*VLOOKUP('Données projet'!$B$15,Paramètres!$A$1:$I$89,5,0)</f>
        <v>180.18000000000006</v>
      </c>
      <c r="EL38" s="14">
        <f t="shared" si="45"/>
        <v>45.362230520410691</v>
      </c>
      <c r="EM38" s="22">
        <f t="shared" si="19"/>
        <v>392.81938482304872</v>
      </c>
      <c r="EN38" s="60">
        <f t="shared" si="20"/>
        <v>640.29549319449768</v>
      </c>
      <c r="EO38" s="60">
        <f ca="1">AVERAGE(OFFSET($EN$3,0,0,'Données projet'!$E$15+1,1))-AVERAGE(OFFSET($H$3,0,0,'Données projet'!$E$15+1,1))</f>
        <v>698.30188737818639</v>
      </c>
      <c r="EP38" s="60">
        <f t="shared" si="46"/>
        <v>329.77977151358482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70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168</v>
      </c>
      <c r="FC38" s="13">
        <f>VLOOKUP(A38,'Données projet'!$A$217:$I$237,9,0)</f>
        <v>9.1999999999999993</v>
      </c>
      <c r="FD38" s="13">
        <f t="array" ref="FD38">INDEX(FC:FC,MIN(IF(ISNUMBER(FC38:FC234),ROW(FC38:FC234),"")))</f>
        <v>9.1999999999999993</v>
      </c>
      <c r="FE38" s="13">
        <f>IF('Données projet'!$A$218&gt;35,FE37+FD38-FM37,IF(A38&lt;'Données projet'!$A$218,$FB$205^A38,IF(A38='Données projet'!$A$218,'Données projet'!$B$218,FE37+FD38-FM37)))</f>
        <v>168</v>
      </c>
      <c r="FF38" s="18">
        <f>FE38*VLOOKUP('Données projet'!$B$16,Paramètres!$A$1:$I$89,3,0)*VLOOKUP('Données projet'!$B$16,Paramètres!$A$1:$I$89,5,0)</f>
        <v>146.76480000000004</v>
      </c>
      <c r="FG38" s="14">
        <f t="shared" si="47"/>
        <v>37.842444439956665</v>
      </c>
      <c r="FH38" s="22">
        <f t="shared" si="22"/>
        <v>321.52428406625791</v>
      </c>
      <c r="FI38" s="60">
        <f t="shared" si="23"/>
        <v>569.00039243770686</v>
      </c>
      <c r="FJ38" s="60">
        <f ca="1">AVERAGE(OFFSET($FI$3,0,0,'Données projet'!$E$16+1,1))-AVERAGE(OFFSET($H$3,0,0,'Données projet'!$E$16+1,1))</f>
        <v>396.99335548279453</v>
      </c>
      <c r="FK38" s="60">
        <f t="shared" si="48"/>
        <v>388.89849573746335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57.493484101304254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4.6150000000000002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16.921666666666667</v>
      </c>
      <c r="H39" s="68">
        <f t="shared" si="1"/>
        <v>188.98000000000002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158.20000000000002</v>
      </c>
      <c r="O39" s="14">
        <f>N39*VLOOKUP('Données projet'!$B$9,Paramètres!$A$1:$I$89,3,0)*VLOOKUP('Données projet'!$B$9,Paramètres!$A$1:$I$89,5,0)</f>
        <v>143.13936000000001</v>
      </c>
      <c r="P39" s="14">
        <f t="shared" si="33"/>
        <v>37.015257937854066</v>
      </c>
      <c r="Q39" s="22">
        <f t="shared" si="53"/>
        <v>313.76929290842918</v>
      </c>
      <c r="R39" s="60">
        <f t="shared" si="0"/>
        <v>562.04092161157064</v>
      </c>
      <c r="S39" s="60">
        <f ca="1">AVERAGE(OFFSET($R$3,0,0,'Données projet'!$E$9+1,1))-AVERAGE(OFFSET($H$3,0,0,'Données projet'!$E$9+1,1))</f>
        <v>550.53475891182575</v>
      </c>
      <c r="T39" s="60">
        <f t="shared" si="34"/>
        <v>350.2500324347194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525.62305668259432</v>
      </c>
      <c r="AN39" s="60">
        <f ca="1">AVERAGE(OFFSET($AM$3,0,0,'Données projet'!$E$10+1,1))-AVERAGE(OFFSET($H$3,0,0,'Données projet'!$E$10+1,1))</f>
        <v>513.16577009788818</v>
      </c>
      <c r="AO39" s="60">
        <f t="shared" si="36"/>
        <v>289.37159333739146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11.340000000000003</v>
      </c>
      <c r="BD39" s="13">
        <f>IF('Données projet'!$A$88&gt;35,BD38+BC39-BL38,IF(A39&lt;'Données projet'!$A$88,$BA$205^A39,IF(A39='Données projet'!$A$88,'Données projet'!$B$88,BD38+BC39-BL38)))</f>
        <v>217.7399999999999</v>
      </c>
      <c r="BE39" s="14">
        <f>BD39*VLOOKUP('Données projet'!$B$11,Paramètres!$A$1:$I$89,3,0)*VLOOKUP('Données projet'!$B$11,Paramètres!$A$1:$I$89,5,0)</f>
        <v>159.64696799999993</v>
      </c>
      <c r="BF39" s="14">
        <f t="shared" si="37"/>
        <v>40.762877819882384</v>
      </c>
      <c r="BG39" s="22">
        <f t="shared" si="7"/>
        <v>349.04714813629499</v>
      </c>
      <c r="BH39" s="60">
        <f t="shared" si="8"/>
        <v>597.3187768394364</v>
      </c>
      <c r="BI39" s="60">
        <f ca="1">AVERAGE(OFFSET($BH$3,0,0,'Données projet'!$E$11+1,1))-AVERAGE(OFFSET($H$3,0,0,'Données projet'!$E$11+1,1))</f>
        <v>366.5170155168056</v>
      </c>
      <c r="BJ39" s="60">
        <f t="shared" si="38"/>
        <v>394.05057214541966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</v>
      </c>
      <c r="BY39" s="13">
        <f>IF('Données projet'!$A$114&gt;35,BY38+BX39-CG38,IF(A39&lt;'Données projet'!$A$114,$BV$205^A39,IF(A39='Données projet'!$A$114,'Données projet'!$B$114,BY38+BX39-CG38)))</f>
        <v>221</v>
      </c>
      <c r="BZ39" s="14">
        <f>BY39*VLOOKUP('Données projet'!$B$12,Paramètres!$A$1:$I$89,3,0)*VLOOKUP('Données projet'!$B$12,Paramètres!$A$1:$I$89,5,0)</f>
        <v>199.96079999999998</v>
      </c>
      <c r="CA39" s="14">
        <f t="shared" si="39"/>
        <v>49.735552653569222</v>
      </c>
      <c r="CB39" s="22">
        <f t="shared" si="10"/>
        <v>434.88781420496633</v>
      </c>
      <c r="CC39" s="60">
        <f t="shared" si="11"/>
        <v>683.15944290810774</v>
      </c>
      <c r="CD39" s="60">
        <f ca="1">AVERAGE(OFFSET($CC$3,0,0,'Données projet'!$E$12+1,1))-AVERAGE(OFFSET($H$3,0,0,'Données projet'!$E$12+1,1))</f>
        <v>333.512642972663</v>
      </c>
      <c r="CE39" s="60">
        <f t="shared" si="40"/>
        <v>464.18634682168488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133.90415999999999</v>
      </c>
      <c r="CV39" s="14">
        <f t="shared" si="41"/>
        <v>34.896936615903982</v>
      </c>
      <c r="CW39" s="22">
        <f t="shared" si="13"/>
        <v>293.99524327269938</v>
      </c>
      <c r="CX39" s="60">
        <f t="shared" si="14"/>
        <v>542.26687197584079</v>
      </c>
      <c r="CY39" s="60">
        <f ca="1">AVERAGE(OFFSET($CX$3,0,0,'Données projet'!$E$13+1,1))-AVERAGE(OFFSET($H$3,0,0,'Données projet'!$E$13+1,1))</f>
        <v>539.76438066597848</v>
      </c>
      <c r="CZ39" s="60">
        <f t="shared" si="42"/>
        <v>303.47238367344937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120.31968000000001</v>
      </c>
      <c r="DQ39" s="14">
        <f t="shared" si="43"/>
        <v>31.74954785566829</v>
      </c>
      <c r="DR39" s="22">
        <f t="shared" si="16"/>
        <v>264.85390518195555</v>
      </c>
      <c r="DS39" s="60">
        <f t="shared" si="17"/>
        <v>513.12553388509696</v>
      </c>
      <c r="DT39" s="60">
        <f ca="1">AVERAGE(OFFSET($DS$3,0,0,'Données projet'!$E$14+1,1))-AVERAGE(OFFSET($H$3,0,0,'Données projet'!$E$14+1,1))</f>
        <v>493.19478874005267</v>
      </c>
      <c r="DU39" s="60">
        <f t="shared" si="44"/>
        <v>278.78337903007821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13.4</v>
      </c>
      <c r="EJ39" s="13">
        <f>IF('Données projet'!$A$192&gt;35,EJ38+EI39-ER38,IF(A39&lt;'Données projet'!$A$192,$EG$205^A39,IF(A39='Données projet'!$A$192,'Données projet'!$B$192,EJ38+EI39-ER38)))</f>
        <v>153.40000000000006</v>
      </c>
      <c r="EK39" s="18">
        <f>EJ39*VLOOKUP('Données projet'!$B$15,Paramètres!$A$1:$I$89,3,0)*VLOOKUP('Données projet'!$B$15,Paramètres!$A$1:$I$89,5,0)</f>
        <v>131.61720000000008</v>
      </c>
      <c r="EL39" s="14">
        <f t="shared" si="45"/>
        <v>34.369777461794328</v>
      </c>
      <c r="EM39" s="22">
        <f t="shared" si="19"/>
        <v>289.09398574595861</v>
      </c>
      <c r="EN39" s="60">
        <f t="shared" si="20"/>
        <v>537.36561444910001</v>
      </c>
      <c r="EO39" s="60">
        <f ca="1">AVERAGE(OFFSET($EN$3,0,0,'Données projet'!$E$15+1,1))-AVERAGE(OFFSET($H$3,0,0,'Données projet'!$E$15+1,1))</f>
        <v>698.30188737818639</v>
      </c>
      <c r="EP39" s="60">
        <f t="shared" si="46"/>
        <v>329.77977151358482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8.8000000000000007</v>
      </c>
      <c r="FE39" s="13">
        <f>IF('Données projet'!$A$218&gt;35,FE38+FD39-FM38,IF(A39&lt;'Données projet'!$A$218,$FB$205^A39,IF(A39='Données projet'!$A$218,'Données projet'!$B$218,FE38+FD39-FM38)))</f>
        <v>176.8</v>
      </c>
      <c r="FF39" s="18">
        <f>FE39*VLOOKUP('Données projet'!$B$16,Paramètres!$A$1:$I$89,3,0)*VLOOKUP('Données projet'!$B$16,Paramètres!$A$1:$I$89,5,0)</f>
        <v>154.45248000000001</v>
      </c>
      <c r="FG39" s="14">
        <f t="shared" si="47"/>
        <v>39.588698668907178</v>
      </c>
      <c r="FH39" s="22">
        <f t="shared" si="22"/>
        <v>337.95505284834667</v>
      </c>
      <c r="FI39" s="60">
        <f t="shared" si="23"/>
        <v>586.22668155148813</v>
      </c>
      <c r="FJ39" s="60">
        <f ca="1">AVERAGE(OFFSET($FI$3,0,0,'Données projet'!$E$16+1,1))-AVERAGE(OFFSET($H$3,0,0,'Données projet'!$E$16+1,1))</f>
        <v>396.99335548279453</v>
      </c>
      <c r="FK39" s="60">
        <f t="shared" si="48"/>
        <v>388.89849573746335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57.710444191765852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4.6150000000000002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16.921666666666667</v>
      </c>
      <c r="H40" s="68">
        <f t="shared" si="1"/>
        <v>188.98000000000002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169.4</v>
      </c>
      <c r="O40" s="14">
        <f>N40*VLOOKUP('Données projet'!$B$9,Paramètres!$A$1:$I$89,3,0)*VLOOKUP('Données projet'!$B$9,Paramètres!$A$1:$I$89,5,0)</f>
        <v>153.27312000000001</v>
      </c>
      <c r="P40" s="14">
        <f t="shared" si="33"/>
        <v>39.321476829336504</v>
      </c>
      <c r="Q40" s="22">
        <f t="shared" si="53"/>
        <v>335.43558947776108</v>
      </c>
      <c r="R40" s="60">
        <f t="shared" si="0"/>
        <v>584.48893801335726</v>
      </c>
      <c r="S40" s="60">
        <f ca="1">AVERAGE(OFFSET($R$3,0,0,'Données projet'!$E$9+1,1))-AVERAGE(OFFSET($H$3,0,0,'Données projet'!$E$9+1,1))</f>
        <v>550.53475891182575</v>
      </c>
      <c r="T40" s="60">
        <f t="shared" si="34"/>
        <v>350.2500324347194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544.66634021270625</v>
      </c>
      <c r="AN40" s="60">
        <f ca="1">AVERAGE(OFFSET($AM$3,0,0,'Données projet'!$E$10+1,1))-AVERAGE(OFFSET($H$3,0,0,'Données projet'!$E$10+1,1))</f>
        <v>513.16577009788818</v>
      </c>
      <c r="AO40" s="60">
        <f t="shared" si="36"/>
        <v>289.37159333739146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11.340000000000003</v>
      </c>
      <c r="BD40" s="13">
        <f>IF('Données projet'!$A$88&gt;35,BD39+BC40-BL39,IF(A40&lt;'Données projet'!$A$88,$BA$205^A40,IF(A40='Données projet'!$A$88,'Données projet'!$B$88,BD39+BC40-BL39)))</f>
        <v>229.0799999999999</v>
      </c>
      <c r="BE40" s="14">
        <f>BD40*VLOOKUP('Données projet'!$B$11,Paramètres!$A$1:$I$89,3,0)*VLOOKUP('Données projet'!$B$11,Paramètres!$A$1:$I$89,5,0)</f>
        <v>167.96145599999994</v>
      </c>
      <c r="BF40" s="14">
        <f t="shared" si="37"/>
        <v>42.633137473671702</v>
      </c>
      <c r="BG40" s="22">
        <f t="shared" si="7"/>
        <v>366.78558363331143</v>
      </c>
      <c r="BH40" s="60">
        <f t="shared" si="8"/>
        <v>615.8389321689076</v>
      </c>
      <c r="BI40" s="60">
        <f ca="1">AVERAGE(OFFSET($BH$3,0,0,'Données projet'!$E$11+1,1))-AVERAGE(OFFSET($H$3,0,0,'Données projet'!$E$11+1,1))</f>
        <v>366.5170155168056</v>
      </c>
      <c r="BJ40" s="60">
        <f t="shared" si="38"/>
        <v>394.05057214541966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</v>
      </c>
      <c r="BY40" s="13">
        <f>IF('Données projet'!$A$114&gt;35,BY39+BX40-CG39,IF(A40&lt;'Données projet'!$A$114,$BV$205^A40,IF(A40='Données projet'!$A$114,'Données projet'!$B$114,BY39+BX40-CG39)))</f>
        <v>226</v>
      </c>
      <c r="BZ40" s="14">
        <f>BY40*VLOOKUP('Données projet'!$B$12,Paramètres!$A$1:$I$89,3,0)*VLOOKUP('Données projet'!$B$12,Paramètres!$A$1:$I$89,5,0)</f>
        <v>204.48479999999998</v>
      </c>
      <c r="CA40" s="14">
        <f t="shared" si="39"/>
        <v>50.728515318217369</v>
      </c>
      <c r="CB40" s="22">
        <f t="shared" si="10"/>
        <v>444.49652417922852</v>
      </c>
      <c r="CC40" s="60">
        <f t="shared" si="11"/>
        <v>693.54987271482469</v>
      </c>
      <c r="CD40" s="60">
        <f ca="1">AVERAGE(OFFSET($CC$3,0,0,'Données projet'!$E$12+1,1))-AVERAGE(OFFSET($H$3,0,0,'Données projet'!$E$12+1,1))</f>
        <v>333.512642972663</v>
      </c>
      <c r="CE40" s="60">
        <f t="shared" si="40"/>
        <v>464.18634682168488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142.94592</v>
      </c>
      <c r="CV40" s="14">
        <f t="shared" si="41"/>
        <v>36.971054314096854</v>
      </c>
      <c r="CW40" s="22">
        <f t="shared" si="13"/>
        <v>313.35539693038533</v>
      </c>
      <c r="CX40" s="60">
        <f t="shared" si="14"/>
        <v>562.40874546598138</v>
      </c>
      <c r="CY40" s="60">
        <f ca="1">AVERAGE(OFFSET($CX$3,0,0,'Données projet'!$E$13+1,1))-AVERAGE(OFFSET($H$3,0,0,'Données projet'!$E$13+1,1))</f>
        <v>539.76438066597848</v>
      </c>
      <c r="CZ40" s="60">
        <f t="shared" si="42"/>
        <v>303.47238367344937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128.44416000000001</v>
      </c>
      <c r="DQ40" s="14">
        <f t="shared" si="43"/>
        <v>33.636598855068925</v>
      </c>
      <c r="DR40" s="22">
        <f t="shared" si="16"/>
        <v>282.29065500591173</v>
      </c>
      <c r="DS40" s="60">
        <f t="shared" si="17"/>
        <v>531.34400354150785</v>
      </c>
      <c r="DT40" s="60">
        <f ca="1">AVERAGE(OFFSET($DS$3,0,0,'Données projet'!$E$14+1,1))-AVERAGE(OFFSET($H$3,0,0,'Données projet'!$E$14+1,1))</f>
        <v>493.19478874005267</v>
      </c>
      <c r="DU40" s="60">
        <f t="shared" si="44"/>
        <v>278.78337903007821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13.4</v>
      </c>
      <c r="EJ40" s="13">
        <f>IF('Données projet'!$A$192&gt;35,EJ39+EI40-ER39,IF(A40&lt;'Données projet'!$A$192,$EG$205^A40,IF(A40='Données projet'!$A$192,'Données projet'!$B$192,EJ39+EI40-ER39)))</f>
        <v>166.80000000000007</v>
      </c>
      <c r="EK40" s="18">
        <f>EJ40*VLOOKUP('Données projet'!$B$15,Paramètres!$A$1:$I$89,3,0)*VLOOKUP('Données projet'!$B$15,Paramètres!$A$1:$I$89,5,0)</f>
        <v>143.11440000000007</v>
      </c>
      <c r="EL40" s="14">
        <f t="shared" si="45"/>
        <v>37.009554635379814</v>
      </c>
      <c r="EM40" s="22">
        <f t="shared" si="19"/>
        <v>313.71588765662</v>
      </c>
      <c r="EN40" s="60">
        <f t="shared" si="20"/>
        <v>562.76923619221611</v>
      </c>
      <c r="EO40" s="60">
        <f ca="1">AVERAGE(OFFSET($EN$3,0,0,'Données projet'!$E$15+1,1))-AVERAGE(OFFSET($H$3,0,0,'Données projet'!$E$15+1,1))</f>
        <v>698.30188737818639</v>
      </c>
      <c r="EP40" s="60">
        <f t="shared" si="46"/>
        <v>329.77977151358482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8.8000000000000007</v>
      </c>
      <c r="FE40" s="13">
        <f>IF('Données projet'!$A$218&gt;35,FE39+FD40-FM39,IF(A40&lt;'Données projet'!$A$218,$FB$205^A40,IF(A40='Données projet'!$A$218,'Données projet'!$B$218,FE39+FD40-FM39)))</f>
        <v>185.60000000000002</v>
      </c>
      <c r="FF40" s="18">
        <f>FE40*VLOOKUP('Données projet'!$B$16,Paramètres!$A$1:$I$89,3,0)*VLOOKUP('Données projet'!$B$16,Paramètres!$A$1:$I$89,5,0)</f>
        <v>162.14016000000004</v>
      </c>
      <c r="FG40" s="14">
        <f t="shared" si="47"/>
        <v>41.324860537333713</v>
      </c>
      <c r="FH40" s="22">
        <f t="shared" si="22"/>
        <v>354.36824410252297</v>
      </c>
      <c r="FI40" s="60">
        <f t="shared" si="23"/>
        <v>603.42159263811914</v>
      </c>
      <c r="FJ40" s="60">
        <f ca="1">AVERAGE(OFFSET($FI$3,0,0,'Données projet'!$E$16+1,1))-AVERAGE(OFFSET($H$3,0,0,'Données projet'!$E$16+1,1))</f>
        <v>396.99335548279453</v>
      </c>
      <c r="FK40" s="60">
        <f t="shared" si="48"/>
        <v>388.89849573746335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57.923640509708029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4.6150000000000002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16.921666666666667</v>
      </c>
      <c r="H41" s="68">
        <f t="shared" si="1"/>
        <v>188.98000000000002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180.6</v>
      </c>
      <c r="O41" s="14">
        <f>N41*VLOOKUP('Données projet'!$B$9,Paramètres!$A$1:$I$89,3,0)*VLOOKUP('Données projet'!$B$9,Paramètres!$A$1:$I$89,5,0)</f>
        <v>163.40688</v>
      </c>
      <c r="P41" s="14">
        <f t="shared" si="33"/>
        <v>41.610001881769797</v>
      </c>
      <c r="Q41" s="22">
        <f t="shared" si="53"/>
        <v>357.07106927741569</v>
      </c>
      <c r="R41" s="60">
        <f t="shared" si="0"/>
        <v>606.89257655403708</v>
      </c>
      <c r="S41" s="60">
        <f ca="1">AVERAGE(OFFSET($R$3,0,0,'Données projet'!$E$9+1,1))-AVERAGE(OFFSET($H$3,0,0,'Données projet'!$E$9+1,1))</f>
        <v>550.53475891182575</v>
      </c>
      <c r="T41" s="60">
        <f t="shared" si="34"/>
        <v>350.2500324347194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563.67090768474645</v>
      </c>
      <c r="AN41" s="60">
        <f ca="1">AVERAGE(OFFSET($AM$3,0,0,'Données projet'!$E$10+1,1))-AVERAGE(OFFSET($H$3,0,0,'Données projet'!$E$10+1,1))</f>
        <v>513.16577009788818</v>
      </c>
      <c r="AO41" s="60">
        <f t="shared" si="36"/>
        <v>289.37159333739146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11.340000000000003</v>
      </c>
      <c r="BD41" s="13">
        <f>IF('Données projet'!$A$88&gt;35,BD40+BC41-BL40,IF(A41&lt;'Données projet'!$A$88,$BA$205^A41,IF(A41='Données projet'!$A$88,'Données projet'!$B$88,BD40+BC41-BL40)))</f>
        <v>240.4199999999999</v>
      </c>
      <c r="BE41" s="14">
        <f>BD41*VLOOKUP('Données projet'!$B$11,Paramètres!$A$1:$I$89,3,0)*VLOOKUP('Données projet'!$B$11,Paramètres!$A$1:$I$89,5,0)</f>
        <v>176.27594399999992</v>
      </c>
      <c r="BF41" s="14">
        <f t="shared" si="37"/>
        <v>44.492646904932492</v>
      </c>
      <c r="BG41" s="22">
        <f t="shared" si="7"/>
        <v>384.50529582609062</v>
      </c>
      <c r="BH41" s="60">
        <f t="shared" si="8"/>
        <v>634.32680310271201</v>
      </c>
      <c r="BI41" s="60">
        <f ca="1">AVERAGE(OFFSET($BH$3,0,0,'Données projet'!$E$11+1,1))-AVERAGE(OFFSET($H$3,0,0,'Données projet'!$E$11+1,1))</f>
        <v>366.5170155168056</v>
      </c>
      <c r="BJ41" s="60">
        <f t="shared" si="38"/>
        <v>394.05057214541966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</v>
      </c>
      <c r="BY41" s="13">
        <f>IF('Données projet'!$A$114&gt;35,BY40+BX41-CG40,IF(A41&lt;'Données projet'!$A$114,$BV$205^A41,IF(A41='Données projet'!$A$114,'Données projet'!$B$114,BY40+BX41-CG40)))</f>
        <v>231</v>
      </c>
      <c r="BZ41" s="14">
        <f>BY41*VLOOKUP('Données projet'!$B$12,Paramètres!$A$1:$I$89,3,0)*VLOOKUP('Données projet'!$B$12,Paramètres!$A$1:$I$89,5,0)</f>
        <v>209.00879999999998</v>
      </c>
      <c r="CA41" s="14">
        <f t="shared" si="39"/>
        <v>51.718923953824202</v>
      </c>
      <c r="CB41" s="22">
        <f t="shared" si="10"/>
        <v>454.10078588624373</v>
      </c>
      <c r="CC41" s="60">
        <f t="shared" si="11"/>
        <v>703.92229316286512</v>
      </c>
      <c r="CD41" s="60">
        <f ca="1">AVERAGE(OFFSET($CC$3,0,0,'Données projet'!$E$12+1,1))-AVERAGE(OFFSET($H$3,0,0,'Données projet'!$E$12+1,1))</f>
        <v>333.512642972663</v>
      </c>
      <c r="CE41" s="60">
        <f t="shared" si="40"/>
        <v>464.18634682168488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151.98768000000001</v>
      </c>
      <c r="CV41" s="14">
        <f t="shared" si="41"/>
        <v>39.029946373574369</v>
      </c>
      <c r="CW41" s="22">
        <f t="shared" si="13"/>
        <v>332.68903260064207</v>
      </c>
      <c r="CX41" s="60">
        <f t="shared" si="14"/>
        <v>582.51053987726345</v>
      </c>
      <c r="CY41" s="60">
        <f ca="1">AVERAGE(OFFSET($CX$3,0,0,'Données projet'!$E$13+1,1))-AVERAGE(OFFSET($H$3,0,0,'Données projet'!$E$13+1,1))</f>
        <v>539.76438066597848</v>
      </c>
      <c r="CZ41" s="60">
        <f t="shared" si="42"/>
        <v>303.47238367344937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136.56864000000002</v>
      </c>
      <c r="DQ41" s="14">
        <f t="shared" si="43"/>
        <v>35.509797430964703</v>
      </c>
      <c r="DR41" s="22">
        <f t="shared" si="16"/>
        <v>299.70327852559689</v>
      </c>
      <c r="DS41" s="60">
        <f t="shared" si="17"/>
        <v>549.52478580221828</v>
      </c>
      <c r="DT41" s="60">
        <f ca="1">AVERAGE(OFFSET($DS$3,0,0,'Données projet'!$E$14+1,1))-AVERAGE(OFFSET($H$3,0,0,'Données projet'!$E$14+1,1))</f>
        <v>493.19478874005267</v>
      </c>
      <c r="DU41" s="60">
        <f t="shared" si="44"/>
        <v>278.78337903007821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13.4</v>
      </c>
      <c r="EJ41" s="13">
        <f>IF('Données projet'!$A$192&gt;35,EJ40+EI41-ER40,IF(A41&lt;'Données projet'!$A$192,$EG$205^A41,IF(A41='Données projet'!$A$192,'Données projet'!$B$192,EJ40+EI41-ER40)))</f>
        <v>180.20000000000007</v>
      </c>
      <c r="EK41" s="18">
        <f>EJ41*VLOOKUP('Données projet'!$B$15,Paramètres!$A$1:$I$89,3,0)*VLOOKUP('Données projet'!$B$15,Paramètres!$A$1:$I$89,5,0)</f>
        <v>154.61160000000007</v>
      </c>
      <c r="EL41" s="14">
        <f t="shared" si="45"/>
        <v>39.624734188365885</v>
      </c>
      <c r="EM41" s="22">
        <f t="shared" si="19"/>
        <v>338.294948711404</v>
      </c>
      <c r="EN41" s="60">
        <f t="shared" si="20"/>
        <v>588.11645598802534</v>
      </c>
      <c r="EO41" s="60">
        <f ca="1">AVERAGE(OFFSET($EN$3,0,0,'Données projet'!$E$15+1,1))-AVERAGE(OFFSET($H$3,0,0,'Données projet'!$E$15+1,1))</f>
        <v>698.30188737818639</v>
      </c>
      <c r="EP41" s="60">
        <f t="shared" si="46"/>
        <v>329.77977151358482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8.8000000000000007</v>
      </c>
      <c r="FE41" s="13">
        <f>IF('Données projet'!$A$218&gt;35,FE40+FD41-FM40,IF(A41&lt;'Données projet'!$A$218,$FB$205^A41,IF(A41='Données projet'!$A$218,'Données projet'!$B$218,FE40+FD41-FM40)))</f>
        <v>194.40000000000003</v>
      </c>
      <c r="FF41" s="18">
        <f>FE41*VLOOKUP('Données projet'!$B$16,Paramètres!$A$1:$I$89,3,0)*VLOOKUP('Données projet'!$B$16,Paramètres!$A$1:$I$89,5,0)</f>
        <v>169.82784000000007</v>
      </c>
      <c r="FG41" s="14">
        <f t="shared" si="47"/>
        <v>43.051463198873812</v>
      </c>
      <c r="FH41" s="22">
        <f t="shared" si="22"/>
        <v>370.76478640470532</v>
      </c>
      <c r="FI41" s="60">
        <f t="shared" si="23"/>
        <v>620.58629368132665</v>
      </c>
      <c r="FJ41" s="60">
        <f ca="1">AVERAGE(OFFSET($FI$3,0,0,'Données projet'!$E$16+1,1))-AVERAGE(OFFSET($H$3,0,0,'Données projet'!$E$16+1,1))</f>
        <v>396.99335548279453</v>
      </c>
      <c r="FK41" s="60">
        <f t="shared" si="48"/>
        <v>388.89849573746335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58.133138348169474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4.6150000000000002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16.921666666666667</v>
      </c>
      <c r="H42" s="68">
        <f t="shared" si="1"/>
        <v>188.98000000000002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191.79999999999998</v>
      </c>
      <c r="O42" s="14">
        <f>N42*VLOOKUP('Données projet'!$B$9,Paramètres!$A$1:$I$89,3,0)*VLOOKUP('Données projet'!$B$9,Paramètres!$A$1:$I$89,5,0)</f>
        <v>173.54064</v>
      </c>
      <c r="P42" s="14">
        <f t="shared" si="33"/>
        <v>43.882055316228445</v>
      </c>
      <c r="Q42" s="22">
        <f t="shared" si="53"/>
        <v>378.67786100909785</v>
      </c>
      <c r="R42" s="60">
        <f t="shared" si="0"/>
        <v>629.25420118993338</v>
      </c>
      <c r="S42" s="60">
        <f ca="1">AVERAGE(OFFSET($R$3,0,0,'Données projet'!$E$9+1,1))-AVERAGE(OFFSET($H$3,0,0,'Données projet'!$E$9+1,1))</f>
        <v>550.53475891182575</v>
      </c>
      <c r="T42" s="60">
        <f t="shared" si="34"/>
        <v>350.2500324347194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582.63866126645269</v>
      </c>
      <c r="AN42" s="60">
        <f ca="1">AVERAGE(OFFSET($AM$3,0,0,'Données projet'!$E$10+1,1))-AVERAGE(OFFSET($H$3,0,0,'Données projet'!$E$10+1,1))</f>
        <v>513.16577009788818</v>
      </c>
      <c r="AO42" s="60">
        <f t="shared" si="36"/>
        <v>289.37159333739146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11.340000000000003</v>
      </c>
      <c r="BD42" s="13">
        <f>IF('Données projet'!$A$88&gt;35,BD41+BC42-BL41,IF(A42&lt;'Données projet'!$A$88,$BA$205^A42,IF(A42='Données projet'!$A$88,'Données projet'!$B$88,BD41+BC42-BL41)))</f>
        <v>251.75999999999991</v>
      </c>
      <c r="BE42" s="14">
        <f>BD42*VLOOKUP('Données projet'!$B$11,Paramètres!$A$1:$I$89,3,0)*VLOOKUP('Données projet'!$B$11,Paramètres!$A$1:$I$89,5,0)</f>
        <v>184.59043199999994</v>
      </c>
      <c r="BF42" s="14">
        <f t="shared" si="37"/>
        <v>46.341971073486597</v>
      </c>
      <c r="BG42" s="22">
        <f t="shared" si="7"/>
        <v>402.20726868632238</v>
      </c>
      <c r="BH42" s="60">
        <f t="shared" si="8"/>
        <v>652.78360886715791</v>
      </c>
      <c r="BI42" s="60">
        <f ca="1">AVERAGE(OFFSET($BH$3,0,0,'Données projet'!$E$11+1,1))-AVERAGE(OFFSET($H$3,0,0,'Données projet'!$E$11+1,1))</f>
        <v>366.5170155168056</v>
      </c>
      <c r="BJ42" s="60">
        <f t="shared" si="38"/>
        <v>394.05057214541966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</v>
      </c>
      <c r="BY42" s="13">
        <f>IF('Données projet'!$A$114&gt;35,BY41+BX42-CG41,IF(A42&lt;'Données projet'!$A$114,$BV$205^A42,IF(A42='Données projet'!$A$114,'Données projet'!$B$114,BY41+BX42-CG41)))</f>
        <v>236</v>
      </c>
      <c r="BZ42" s="14">
        <f>BY42*VLOOKUP('Données projet'!$B$12,Paramètres!$A$1:$I$89,3,0)*VLOOKUP('Données projet'!$B$12,Paramètres!$A$1:$I$89,5,0)</f>
        <v>213.53280000000001</v>
      </c>
      <c r="CA42" s="14">
        <f t="shared" si="39"/>
        <v>52.706840209271235</v>
      </c>
      <c r="CB42" s="22">
        <f t="shared" si="10"/>
        <v>463.70070669781398</v>
      </c>
      <c r="CC42" s="60">
        <f t="shared" si="11"/>
        <v>714.27704687864946</v>
      </c>
      <c r="CD42" s="60">
        <f ca="1">AVERAGE(OFFSET($CC$3,0,0,'Données projet'!$E$12+1,1))-AVERAGE(OFFSET($H$3,0,0,'Données projet'!$E$12+1,1))</f>
        <v>333.512642972663</v>
      </c>
      <c r="CE42" s="60">
        <f t="shared" si="40"/>
        <v>464.18634682168488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161.02944000000002</v>
      </c>
      <c r="CV42" s="14">
        <f t="shared" si="41"/>
        <v>41.074621732940685</v>
      </c>
      <c r="CW42" s="22">
        <f t="shared" si="13"/>
        <v>351.99790751820501</v>
      </c>
      <c r="CX42" s="60">
        <f t="shared" si="14"/>
        <v>602.57424769904048</v>
      </c>
      <c r="CY42" s="60">
        <f ca="1">AVERAGE(OFFSET($CX$3,0,0,'Données projet'!$E$13+1,1))-AVERAGE(OFFSET($H$3,0,0,'Données projet'!$E$13+1,1))</f>
        <v>539.76438066597848</v>
      </c>
      <c r="CZ42" s="60">
        <f t="shared" si="42"/>
        <v>303.47238367344937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144.69312000000002</v>
      </c>
      <c r="DQ42" s="14">
        <f t="shared" si="43"/>
        <v>37.370061524802772</v>
      </c>
      <c r="DR42" s="22">
        <f t="shared" si="16"/>
        <v>317.09337448903148</v>
      </c>
      <c r="DS42" s="60">
        <f t="shared" si="17"/>
        <v>567.66971466986695</v>
      </c>
      <c r="DT42" s="60">
        <f ca="1">AVERAGE(OFFSET($DS$3,0,0,'Données projet'!$E$14+1,1))-AVERAGE(OFFSET($H$3,0,0,'Données projet'!$E$14+1,1))</f>
        <v>493.19478874005267</v>
      </c>
      <c r="DU42" s="60">
        <f t="shared" si="44"/>
        <v>278.78337903007821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13.4</v>
      </c>
      <c r="EJ42" s="13">
        <f>IF('Données projet'!$A$192&gt;35,EJ41+EI42-ER41,IF(A42&lt;'Données projet'!$A$192,$EG$205^A42,IF(A42='Données projet'!$A$192,'Données projet'!$B$192,EJ41+EI42-ER41)))</f>
        <v>193.60000000000008</v>
      </c>
      <c r="EK42" s="18">
        <f>EJ42*VLOOKUP('Données projet'!$B$15,Paramètres!$A$1:$I$89,3,0)*VLOOKUP('Données projet'!$B$15,Paramètres!$A$1:$I$89,5,0)</f>
        <v>166.10880000000009</v>
      </c>
      <c r="EL42" s="14">
        <f t="shared" si="45"/>
        <v>42.217353238107833</v>
      </c>
      <c r="EM42" s="22">
        <f t="shared" si="19"/>
        <v>362.83471688970462</v>
      </c>
      <c r="EN42" s="60">
        <f t="shared" si="20"/>
        <v>613.4110570705401</v>
      </c>
      <c r="EO42" s="60">
        <f ca="1">AVERAGE(OFFSET($EN$3,0,0,'Données projet'!$E$15+1,1))-AVERAGE(OFFSET($H$3,0,0,'Données projet'!$E$15+1,1))</f>
        <v>698.30188737818639</v>
      </c>
      <c r="EP42" s="60">
        <f t="shared" si="46"/>
        <v>329.77977151358482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8.8000000000000007</v>
      </c>
      <c r="FE42" s="13">
        <f>IF('Données projet'!$A$218&gt;35,FE41+FD42-FM41,IF(A42&lt;'Données projet'!$A$218,$FB$205^A42,IF(A42='Données projet'!$A$218,'Données projet'!$B$218,FE41+FD42-FM41)))</f>
        <v>203.20000000000005</v>
      </c>
      <c r="FF42" s="18">
        <f>FE42*VLOOKUP('Données projet'!$B$16,Paramètres!$A$1:$I$89,3,0)*VLOOKUP('Données projet'!$B$16,Paramètres!$A$1:$I$89,5,0)</f>
        <v>177.51552000000007</v>
      </c>
      <c r="FG42" s="14">
        <f t="shared" si="47"/>
        <v>44.768988809542904</v>
      </c>
      <c r="FH42" s="22">
        <f t="shared" si="22"/>
        <v>387.145519509954</v>
      </c>
      <c r="FI42" s="60">
        <f t="shared" si="23"/>
        <v>637.72185969078953</v>
      </c>
      <c r="FJ42" s="60">
        <f ca="1">AVERAGE(OFFSET($FI$3,0,0,'Données projet'!$E$16+1,1))-AVERAGE(OFFSET($H$3,0,0,'Données projet'!$E$16+1,1))</f>
        <v>396.99335548279453</v>
      </c>
      <c r="FK42" s="60">
        <f t="shared" si="48"/>
        <v>388.89849573746335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58.339001867500606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4.6150000000000002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16.921666666666667</v>
      </c>
      <c r="H43" s="68">
        <f t="shared" si="1"/>
        <v>188.98000000000002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203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202.99999999999997</v>
      </c>
      <c r="O43" s="14">
        <f>N43*VLOOKUP('Données projet'!$B$9,Paramètres!$A$1:$I$89,3,0)*VLOOKUP('Données projet'!$B$9,Paramètres!$A$1:$I$89,5,0)</f>
        <v>183.67439999999996</v>
      </c>
      <c r="P43" s="14">
        <f t="shared" si="33"/>
        <v>46.138708549418673</v>
      </c>
      <c r="Q43" s="22">
        <f t="shared" si="53"/>
        <v>400.25783072357075</v>
      </c>
      <c r="R43" s="60">
        <f t="shared" si="0"/>
        <v>651.575909145286</v>
      </c>
      <c r="S43" s="60">
        <f ca="1">AVERAGE(OFFSET($R$3,0,0,'Données projet'!$E$9+1,1))-AVERAGE(OFFSET($H$3,0,0,'Données projet'!$E$9+1,1))</f>
        <v>550.53475891182575</v>
      </c>
      <c r="T43" s="60">
        <f t="shared" si="34"/>
        <v>350.2500324347194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56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601.57130127826701</v>
      </c>
      <c r="AN43" s="60">
        <f ca="1">AVERAGE(OFFSET($AM$3,0,0,'Données projet'!$E$10+1,1))-AVERAGE(OFFSET($H$3,0,0,'Données projet'!$E$10+1,1))</f>
        <v>513.16577009788818</v>
      </c>
      <c r="AO43" s="60">
        <f t="shared" si="36"/>
        <v>289.37159333739146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263.10000000000002</v>
      </c>
      <c r="BB43" s="13">
        <f>VLOOKUP(A43,'Données projet'!$A$87:$I$107,9,0)</f>
        <v>11.340000000000003</v>
      </c>
      <c r="BC43" s="13">
        <f t="array" ref="BC43">INDEX(BB:BB,MIN(IF(ISNUMBER(BB43:BB239),ROW(BB43:BB239),"")))</f>
        <v>11.340000000000003</v>
      </c>
      <c r="BD43" s="13">
        <f>IF('Données projet'!$A$88&gt;35,BD42+BC43-BL42,IF(A43&lt;'Données projet'!$A$88,$BA$205^A43,IF(A43='Données projet'!$A$88,'Données projet'!$B$88,BD42+BC43-BL42)))</f>
        <v>263.09999999999991</v>
      </c>
      <c r="BE43" s="14">
        <f>BD43*VLOOKUP('Données projet'!$B$11,Paramètres!$A$1:$I$89,3,0)*VLOOKUP('Données projet'!$B$11,Paramètres!$A$1:$I$89,5,0)</f>
        <v>192.90491999999995</v>
      </c>
      <c r="BF43" s="14">
        <f t="shared" si="37"/>
        <v>48.181621167171684</v>
      </c>
      <c r="BG43" s="22">
        <f t="shared" si="7"/>
        <v>419.89239253282386</v>
      </c>
      <c r="BH43" s="60">
        <f t="shared" si="8"/>
        <v>671.21047095453912</v>
      </c>
      <c r="BI43" s="60">
        <f ca="1">AVERAGE(OFFSET($BH$3,0,0,'Données projet'!$E$11+1,1))-AVERAGE(OFFSET($H$3,0,0,'Données projet'!$E$11+1,1))</f>
        <v>366.5170155168056</v>
      </c>
      <c r="BJ43" s="60">
        <f t="shared" si="38"/>
        <v>394.05057214541966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241</v>
      </c>
      <c r="BW43" s="13">
        <f>VLOOKUP(A43,'Données projet'!$A$113:$I$133,9,0)</f>
        <v>5</v>
      </c>
      <c r="BX43" s="13">
        <f t="array" ref="BX43">INDEX(BW:BW,MIN(IF(ISNUMBER(BW43:BW239),ROW(BW43:BW239),"")))</f>
        <v>5</v>
      </c>
      <c r="BY43" s="13">
        <f>IF('Données projet'!$A$114&gt;35,BY42+BX43-CG42,IF(A43&lt;'Données projet'!$A$114,$BV$205^A43,IF(A43='Données projet'!$A$114,'Données projet'!$B$114,BY42+BX43-CG42)))</f>
        <v>241</v>
      </c>
      <c r="BZ43" s="14">
        <f>BY43*VLOOKUP('Données projet'!$B$12,Paramètres!$A$1:$I$89,3,0)*VLOOKUP('Données projet'!$B$12,Paramètres!$A$1:$I$89,5,0)</f>
        <v>218.05680000000001</v>
      </c>
      <c r="CA43" s="14">
        <f t="shared" si="39"/>
        <v>53.69232297195181</v>
      </c>
      <c r="CB43" s="22">
        <f t="shared" si="10"/>
        <v>473.29638917614938</v>
      </c>
      <c r="CC43" s="60">
        <f t="shared" si="11"/>
        <v>724.61446759786463</v>
      </c>
      <c r="CD43" s="60">
        <f ca="1">AVERAGE(OFFSET($CC$3,0,0,'Données projet'!$E$12+1,1))-AVERAGE(OFFSET($H$3,0,0,'Données projet'!$E$12+1,1))</f>
        <v>333.512642972663</v>
      </c>
      <c r="CE43" s="60">
        <f t="shared" si="40"/>
        <v>464.18634682168488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170.07120000000003</v>
      </c>
      <c r="CV43" s="14">
        <f t="shared" si="41"/>
        <v>43.10596962815594</v>
      </c>
      <c r="CW43" s="22">
        <f t="shared" si="13"/>
        <v>371.28357043570503</v>
      </c>
      <c r="CX43" s="60">
        <f t="shared" si="14"/>
        <v>622.60164885742029</v>
      </c>
      <c r="CY43" s="60">
        <f ca="1">AVERAGE(OFFSET($CX$3,0,0,'Données projet'!$E$13+1,1))-AVERAGE(OFFSET($H$3,0,0,'Données projet'!$E$13+1,1))</f>
        <v>539.76438066597848</v>
      </c>
      <c r="CZ43" s="60">
        <f t="shared" si="42"/>
        <v>303.47238367344937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152.81760000000003</v>
      </c>
      <c r="DQ43" s="14">
        <f t="shared" si="43"/>
        <v>39.218200171484227</v>
      </c>
      <c r="DR43" s="22">
        <f t="shared" si="16"/>
        <v>334.46235196533502</v>
      </c>
      <c r="DS43" s="60">
        <f t="shared" si="17"/>
        <v>585.78043038705027</v>
      </c>
      <c r="DT43" s="60">
        <f ca="1">AVERAGE(OFFSET($DS$3,0,0,'Données projet'!$E$14+1,1))-AVERAGE(OFFSET($H$3,0,0,'Données projet'!$E$14+1,1))</f>
        <v>493.19478874005267</v>
      </c>
      <c r="DU43" s="60">
        <f t="shared" si="44"/>
        <v>278.78337903007821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207</v>
      </c>
      <c r="EH43" s="13">
        <f>VLOOKUP(A43,'Données projet'!$A$191:$I$211,9,0)</f>
        <v>13.4</v>
      </c>
      <c r="EI43" s="13">
        <f t="array" ref="EI43">INDEX(EH:EH,MIN(IF(ISNUMBER(EH43:EH239),ROW(EH43:EH239),"")))</f>
        <v>13.4</v>
      </c>
      <c r="EJ43" s="13">
        <f>IF('Données projet'!$A$192&gt;35,EJ42+EI43-ER42,IF(A43&lt;'Données projet'!$A$192,$EG$205^A43,IF(A43='Données projet'!$A$192,'Données projet'!$B$192,EJ42+EI43-ER42)))</f>
        <v>207.00000000000009</v>
      </c>
      <c r="EK43" s="18">
        <f>EJ43*VLOOKUP('Données projet'!$B$15,Paramètres!$A$1:$I$89,3,0)*VLOOKUP('Données projet'!$B$15,Paramètres!$A$1:$I$89,5,0)</f>
        <v>177.60600000000008</v>
      </c>
      <c r="EL43" s="14">
        <f t="shared" si="45"/>
        <v>44.789150937858665</v>
      </c>
      <c r="EM43" s="22">
        <f t="shared" si="19"/>
        <v>387.33822121677059</v>
      </c>
      <c r="EN43" s="60">
        <f t="shared" si="20"/>
        <v>638.65629963848585</v>
      </c>
      <c r="EO43" s="60">
        <f ca="1">AVERAGE(OFFSET($EN$3,0,0,'Données projet'!$E$15+1,1))-AVERAGE(OFFSET($H$3,0,0,'Données projet'!$E$15+1,1))</f>
        <v>698.30188737818639</v>
      </c>
      <c r="EP43" s="60">
        <f t="shared" si="46"/>
        <v>329.77977151358482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212</v>
      </c>
      <c r="FC43" s="13">
        <f>VLOOKUP(A43,'Données projet'!$A$217:$I$237,9,0)</f>
        <v>8.8000000000000007</v>
      </c>
      <c r="FD43" s="13">
        <f t="array" ref="FD43">INDEX(FC:FC,MIN(IF(ISNUMBER(FC43:FC239),ROW(FC43:FC239),"")))</f>
        <v>8.8000000000000007</v>
      </c>
      <c r="FE43" s="13">
        <f>IF('Données projet'!$A$218&gt;35,FE42+FD43-FM42,IF(A43&lt;'Données projet'!$A$218,$FB$205^A43,IF(A43='Données projet'!$A$218,'Données projet'!$B$218,FE42+FD43-FM42)))</f>
        <v>212.00000000000006</v>
      </c>
      <c r="FF43" s="18">
        <f>FE43*VLOOKUP('Données projet'!$B$16,Paramètres!$A$1:$I$89,3,0)*VLOOKUP('Données projet'!$B$16,Paramètres!$A$1:$I$89,5,0)</f>
        <v>185.20320000000007</v>
      </c>
      <c r="FG43" s="14">
        <f t="shared" si="47"/>
        <v>46.477875402099386</v>
      </c>
      <c r="FH43" s="22">
        <f t="shared" si="22"/>
        <v>403.5112063253232</v>
      </c>
      <c r="FI43" s="60">
        <f t="shared" si="23"/>
        <v>654.8292847470384</v>
      </c>
      <c r="FJ43" s="60">
        <f ca="1">AVERAGE(OFFSET($FI$3,0,0,'Données projet'!$E$16+1,1))-AVERAGE(OFFSET($H$3,0,0,'Données projet'!$E$16+1,1))</f>
        <v>396.99335548279453</v>
      </c>
      <c r="FK43" s="60">
        <f t="shared" si="48"/>
        <v>388.89849573746335</v>
      </c>
      <c r="FL43" s="16">
        <f>IF(ISNA(VLOOKUP(A43,'Données projet'!$A$217:$I$237,3,0)),0,VLOOKUP(A43,'Données projet'!$A$217:$I$237,3,0))</f>
        <v>3</v>
      </c>
      <c r="FM43" s="16">
        <f>IF(ISNA(VLOOKUP(A43,'Données projet'!$A$217:$I$237,4,0)),0,VLOOKUP(A43,'Données projet'!$A$217:$I$237,4,0))</f>
        <v>54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58.541294115013237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4.6150000000000002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16.921666666666667</v>
      </c>
      <c r="H44" s="68">
        <f t="shared" si="1"/>
        <v>188.98000000000002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158.39999999999998</v>
      </c>
      <c r="O44" s="14">
        <f>N44*VLOOKUP('Données projet'!$B$9,Paramètres!$A$1:$I$89,3,0)*VLOOKUP('Données projet'!$B$9,Paramètres!$A$1:$I$89,5,0)</f>
        <v>143.32031999999998</v>
      </c>
      <c r="P44" s="14">
        <f t="shared" si="33"/>
        <v>37.056603420232349</v>
      </c>
      <c r="Q44" s="22">
        <f t="shared" si="53"/>
        <v>314.15647495690467</v>
      </c>
      <c r="R44" s="60">
        <f t="shared" si="0"/>
        <v>566.20342411929846</v>
      </c>
      <c r="S44" s="60">
        <f ca="1">AVERAGE(OFFSET($R$3,0,0,'Données projet'!$E$9+1,1))-AVERAGE(OFFSET($H$3,0,0,'Données projet'!$E$9+1,1))</f>
        <v>550.53475891182575</v>
      </c>
      <c r="T44" s="60">
        <f t="shared" si="34"/>
        <v>350.2500324347194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529.39837714184682</v>
      </c>
      <c r="AN44" s="60">
        <f ca="1">AVERAGE(OFFSET($AM$3,0,0,'Données projet'!$E$10+1,1))-AVERAGE(OFFSET($H$3,0,0,'Données projet'!$E$10+1,1))</f>
        <v>513.16577009788818</v>
      </c>
      <c r="AO44" s="60">
        <f t="shared" si="36"/>
        <v>289.37159333739146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9.8199999999999932</v>
      </c>
      <c r="BD44" s="13">
        <f>IF('Données projet'!$A$88&gt;35,BD43+BC44-BL43,IF(A44&lt;'Données projet'!$A$88,$BA$205^A44,IF(A44='Données projet'!$A$88,'Données projet'!$B$88,BD43+BC44-BL43)))</f>
        <v>202.9199999999999</v>
      </c>
      <c r="BE44" s="14">
        <f>BD44*VLOOKUP('Données projet'!$B$11,Paramètres!$A$1:$I$89,3,0)*VLOOKUP('Données projet'!$B$11,Paramètres!$A$1:$I$89,5,0)</f>
        <v>148.78094399999992</v>
      </c>
      <c r="BF44" s="14">
        <f t="shared" si="37"/>
        <v>38.301419336680702</v>
      </c>
      <c r="BG44" s="22">
        <f t="shared" si="7"/>
        <v>325.83511614471871</v>
      </c>
      <c r="BH44" s="60">
        <f t="shared" si="8"/>
        <v>577.8820653071125</v>
      </c>
      <c r="BI44" s="60">
        <f ca="1">AVERAGE(OFFSET($BH$3,0,0,'Données projet'!$E$11+1,1))-AVERAGE(OFFSET($H$3,0,0,'Données projet'!$E$11+1,1))</f>
        <v>366.5170155168056</v>
      </c>
      <c r="BJ44" s="60">
        <f t="shared" si="38"/>
        <v>394.05057214541966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246</v>
      </c>
      <c r="BZ44" s="14">
        <f>BY44*VLOOKUP('Données projet'!$B$12,Paramètres!$A$1:$I$89,3,0)*VLOOKUP('Données projet'!$B$12,Paramètres!$A$1:$I$89,5,0)</f>
        <v>222.58079999999998</v>
      </c>
      <c r="CA44" s="14">
        <f t="shared" si="39"/>
        <v>54.675428546153199</v>
      </c>
      <c r="CB44" s="22">
        <f t="shared" si="10"/>
        <v>482.88793138455003</v>
      </c>
      <c r="CC44" s="60">
        <f t="shared" si="11"/>
        <v>734.93488054694387</v>
      </c>
      <c r="CD44" s="60">
        <f ca="1">AVERAGE(OFFSET($CC$3,0,0,'Données projet'!$E$12+1,1))-AVERAGE(OFFSET($H$3,0,0,'Données projet'!$E$12+1,1))</f>
        <v>333.512642972663</v>
      </c>
      <c r="CE44" s="60">
        <f t="shared" si="40"/>
        <v>464.18634682168488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133.90416000000002</v>
      </c>
      <c r="CV44" s="14">
        <f t="shared" si="41"/>
        <v>34.896936615903982</v>
      </c>
      <c r="CW44" s="22">
        <f t="shared" si="13"/>
        <v>293.99524327269938</v>
      </c>
      <c r="CX44" s="60">
        <f t="shared" si="14"/>
        <v>546.04219243509317</v>
      </c>
      <c r="CY44" s="60">
        <f ca="1">AVERAGE(OFFSET($CX$3,0,0,'Données projet'!$E$13+1,1))-AVERAGE(OFFSET($H$3,0,0,'Données projet'!$E$13+1,1))</f>
        <v>539.76438066597848</v>
      </c>
      <c r="CZ44" s="60">
        <f t="shared" si="42"/>
        <v>303.47238367344937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120.31968000000002</v>
      </c>
      <c r="DQ44" s="14">
        <f t="shared" si="43"/>
        <v>31.74954785566829</v>
      </c>
      <c r="DR44" s="22">
        <f t="shared" si="16"/>
        <v>264.85390518195561</v>
      </c>
      <c r="DS44" s="60">
        <f t="shared" si="17"/>
        <v>516.90085434434945</v>
      </c>
      <c r="DT44" s="60">
        <f ca="1">AVERAGE(OFFSET($DS$3,0,0,'Données projet'!$E$14+1,1))-AVERAGE(OFFSET($H$3,0,0,'Données projet'!$E$14+1,1))</f>
        <v>493.19478874005267</v>
      </c>
      <c r="DU44" s="60">
        <f t="shared" si="44"/>
        <v>278.78337903007821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13.8</v>
      </c>
      <c r="EJ44" s="13">
        <f>IF('Données projet'!$A$192&gt;35,EJ43+EI44-ER43,IF(A44&lt;'Données projet'!$A$192,$EG$205^A44,IF(A44='Données projet'!$A$192,'Données projet'!$B$192,EJ43+EI44-ER43)))</f>
        <v>220.8000000000001</v>
      </c>
      <c r="EK44" s="18">
        <f>EJ44*VLOOKUP('Données projet'!$B$15,Paramètres!$A$1:$I$89,3,0)*VLOOKUP('Données projet'!$B$15,Paramètres!$A$1:$I$89,5,0)</f>
        <v>189.44640000000012</v>
      </c>
      <c r="EL44" s="14">
        <f t="shared" si="45"/>
        <v>47.417538973836557</v>
      </c>
      <c r="EM44" s="22">
        <f t="shared" si="19"/>
        <v>412.53802704609888</v>
      </c>
      <c r="EN44" s="60">
        <f t="shared" si="20"/>
        <v>664.58497620849266</v>
      </c>
      <c r="EO44" s="60">
        <f ca="1">AVERAGE(OFFSET($EN$3,0,0,'Données projet'!$E$15+1,1))-AVERAGE(OFFSET($H$3,0,0,'Données projet'!$E$15+1,1))</f>
        <v>698.30188737818639</v>
      </c>
      <c r="EP44" s="60">
        <f t="shared" si="46"/>
        <v>329.77977151358482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</v>
      </c>
      <c r="FE44" s="13">
        <f>IF('Données projet'!$A$218&gt;35,FE43+FD44-FM43,IF(A44&lt;'Données projet'!$A$218,$FB$205^A44,IF(A44='Données projet'!$A$218,'Données projet'!$B$218,FE43+FD44-FM43)))</f>
        <v>166.00000000000006</v>
      </c>
      <c r="FF44" s="18">
        <f>FE44*VLOOKUP('Données projet'!$B$16,Paramètres!$A$1:$I$89,3,0)*VLOOKUP('Données projet'!$B$16,Paramètres!$A$1:$I$89,5,0)</f>
        <v>145.01760000000007</v>
      </c>
      <c r="FG44" s="14">
        <f t="shared" si="47"/>
        <v>37.444100932065268</v>
      </c>
      <c r="FH44" s="22">
        <f t="shared" si="22"/>
        <v>317.78746245668049</v>
      </c>
      <c r="FI44" s="60">
        <f t="shared" si="23"/>
        <v>569.83441161907433</v>
      </c>
      <c r="FJ44" s="60">
        <f ca="1">AVERAGE(OFFSET($FI$3,0,0,'Données projet'!$E$16+1,1))-AVERAGE(OFFSET($H$3,0,0,'Données projet'!$E$16+1,1))</f>
        <v>396.99335548279453</v>
      </c>
      <c r="FK44" s="60">
        <f t="shared" si="48"/>
        <v>388.89849573746335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58.740077044289222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4.6150000000000002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16.921666666666667</v>
      </c>
      <c r="H45" s="68">
        <f t="shared" si="1"/>
        <v>188.98000000000002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169.79999999999998</v>
      </c>
      <c r="O45" s="14">
        <f>N45*VLOOKUP('Données projet'!$B$9,Paramètres!$A$1:$I$89,3,0)*VLOOKUP('Données projet'!$B$9,Paramètres!$A$1:$I$89,5,0)</f>
        <v>153.63503999999998</v>
      </c>
      <c r="P45" s="14">
        <f t="shared" si="33"/>
        <v>39.403506785222667</v>
      </c>
      <c r="Q45" s="22">
        <f t="shared" si="53"/>
        <v>336.20880231759611</v>
      </c>
      <c r="R45" s="60">
        <f t="shared" si="0"/>
        <v>588.97197794282863</v>
      </c>
      <c r="S45" s="60">
        <f ca="1">AVERAGE(OFFSET($R$3,0,0,'Données projet'!$E$9+1,1))-AVERAGE(OFFSET($H$3,0,0,'Données projet'!$E$9+1,1))</f>
        <v>550.53475891182575</v>
      </c>
      <c r="T45" s="60">
        <f t="shared" si="34"/>
        <v>350.2500324347194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548.37616730234276</v>
      </c>
      <c r="AN45" s="60">
        <f ca="1">AVERAGE(OFFSET($AM$3,0,0,'Données projet'!$E$10+1,1))-AVERAGE(OFFSET($H$3,0,0,'Données projet'!$E$10+1,1))</f>
        <v>513.16577009788818</v>
      </c>
      <c r="AO45" s="60">
        <f t="shared" si="36"/>
        <v>289.37159333739146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9.8199999999999932</v>
      </c>
      <c r="BD45" s="13">
        <f>IF('Données projet'!$A$88&gt;35,BD44+BC45-BL44,IF(A45&lt;'Données projet'!$A$88,$BA$205^A45,IF(A45='Données projet'!$A$88,'Données projet'!$B$88,BD44+BC45-BL44)))</f>
        <v>212.7399999999999</v>
      </c>
      <c r="BE45" s="14">
        <f>BD45*VLOOKUP('Données projet'!$B$11,Paramètres!$A$1:$I$89,3,0)*VLOOKUP('Données projet'!$B$11,Paramètres!$A$1:$I$89,5,0)</f>
        <v>155.98096799999993</v>
      </c>
      <c r="BF45" s="14">
        <f t="shared" si="37"/>
        <v>39.934673726794031</v>
      </c>
      <c r="BG45" s="22">
        <f t="shared" si="7"/>
        <v>341.21974267416618</v>
      </c>
      <c r="BH45" s="60">
        <f t="shared" si="8"/>
        <v>593.98291829939876</v>
      </c>
      <c r="BI45" s="60">
        <f ca="1">AVERAGE(OFFSET($BH$3,0,0,'Données projet'!$E$11+1,1))-AVERAGE(OFFSET($H$3,0,0,'Données projet'!$E$11+1,1))</f>
        <v>366.5170155168056</v>
      </c>
      <c r="BJ45" s="60">
        <f t="shared" si="38"/>
        <v>394.05057214541966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251</v>
      </c>
      <c r="BZ45" s="14">
        <f>BY45*VLOOKUP('Données projet'!$B$12,Paramètres!$A$1:$I$89,3,0)*VLOOKUP('Données projet'!$B$12,Paramètres!$A$1:$I$89,5,0)</f>
        <v>227.10479999999998</v>
      </c>
      <c r="CA45" s="14">
        <f t="shared" si="39"/>
        <v>55.65621081652565</v>
      </c>
      <c r="CB45" s="22">
        <f t="shared" si="10"/>
        <v>492.47542717211553</v>
      </c>
      <c r="CC45" s="60">
        <f t="shared" si="11"/>
        <v>745.23860279734799</v>
      </c>
      <c r="CD45" s="60">
        <f ca="1">AVERAGE(OFFSET($CC$3,0,0,'Données projet'!$E$12+1,1))-AVERAGE(OFFSET($H$3,0,0,'Données projet'!$E$12+1,1))</f>
        <v>333.512642972663</v>
      </c>
      <c r="CE45" s="60">
        <f t="shared" si="40"/>
        <v>464.18634682168488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142.94592000000003</v>
      </c>
      <c r="CV45" s="14">
        <f t="shared" si="41"/>
        <v>36.971054314096854</v>
      </c>
      <c r="CW45" s="22">
        <f t="shared" si="13"/>
        <v>313.35539693038538</v>
      </c>
      <c r="CX45" s="60">
        <f t="shared" si="14"/>
        <v>566.1185725556179</v>
      </c>
      <c r="CY45" s="60">
        <f ca="1">AVERAGE(OFFSET($CX$3,0,0,'Données projet'!$E$13+1,1))-AVERAGE(OFFSET($H$3,0,0,'Données projet'!$E$13+1,1))</f>
        <v>539.76438066597848</v>
      </c>
      <c r="CZ45" s="60">
        <f t="shared" si="42"/>
        <v>303.47238367344937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128.44416000000004</v>
      </c>
      <c r="DQ45" s="14">
        <f t="shared" si="43"/>
        <v>33.636598855068954</v>
      </c>
      <c r="DR45" s="22">
        <f t="shared" si="16"/>
        <v>282.29065500591184</v>
      </c>
      <c r="DS45" s="60">
        <f t="shared" si="17"/>
        <v>535.05383063114436</v>
      </c>
      <c r="DT45" s="60">
        <f ca="1">AVERAGE(OFFSET($DS$3,0,0,'Données projet'!$E$14+1,1))-AVERAGE(OFFSET($H$3,0,0,'Données projet'!$E$14+1,1))</f>
        <v>493.19478874005267</v>
      </c>
      <c r="DU45" s="60">
        <f t="shared" si="44"/>
        <v>278.78337903007821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13.8</v>
      </c>
      <c r="EJ45" s="13">
        <f>IF('Données projet'!$A$192&gt;35,EJ44+EI45-ER44,IF(A45&lt;'Données projet'!$A$192,$EG$205^A45,IF(A45='Données projet'!$A$192,'Données projet'!$B$192,EJ44+EI45-ER44)))</f>
        <v>234.60000000000011</v>
      </c>
      <c r="EK45" s="18">
        <f>EJ45*VLOOKUP('Données projet'!$B$15,Paramètres!$A$1:$I$89,3,0)*VLOOKUP('Données projet'!$B$15,Paramètres!$A$1:$I$89,5,0)</f>
        <v>201.28680000000008</v>
      </c>
      <c r="EL45" s="14">
        <f t="shared" si="45"/>
        <v>50.026861773677666</v>
      </c>
      <c r="EM45" s="22">
        <f t="shared" si="19"/>
        <v>437.70462758915545</v>
      </c>
      <c r="EN45" s="60">
        <f t="shared" si="20"/>
        <v>690.46780321438791</v>
      </c>
      <c r="EO45" s="60">
        <f ca="1">AVERAGE(OFFSET($EN$3,0,0,'Données projet'!$E$15+1,1))-AVERAGE(OFFSET($H$3,0,0,'Données projet'!$E$15+1,1))</f>
        <v>698.30188737818639</v>
      </c>
      <c r="EP45" s="60">
        <f t="shared" si="46"/>
        <v>329.77977151358482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</v>
      </c>
      <c r="FE45" s="13">
        <f>IF('Données projet'!$A$218&gt;35,FE44+FD45-FM44,IF(A45&lt;'Données projet'!$A$218,$FB$205^A45,IF(A45='Données projet'!$A$218,'Données projet'!$B$218,FE44+FD45-FM44)))</f>
        <v>174.00000000000006</v>
      </c>
      <c r="FF45" s="18">
        <f>FE45*VLOOKUP('Données projet'!$B$16,Paramètres!$A$1:$I$89,3,0)*VLOOKUP('Données projet'!$B$16,Paramètres!$A$1:$I$89,5,0)</f>
        <v>152.00640000000007</v>
      </c>
      <c r="FG45" s="14">
        <f t="shared" si="47"/>
        <v>39.034194016561486</v>
      </c>
      <c r="FH45" s="22">
        <f t="shared" si="22"/>
        <v>332.72903457884468</v>
      </c>
      <c r="FI45" s="60">
        <f t="shared" si="23"/>
        <v>585.4922102040772</v>
      </c>
      <c r="FJ45" s="60">
        <f ca="1">AVERAGE(OFFSET($FI$3,0,0,'Données projet'!$E$16+1,1))-AVERAGE(OFFSET($H$3,0,0,'Données projet'!$E$16+1,1))</f>
        <v>396.99335548279453</v>
      </c>
      <c r="FK45" s="60">
        <f t="shared" si="48"/>
        <v>388.89849573746335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58.935411534154319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4.6150000000000002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16.921666666666667</v>
      </c>
      <c r="H46" s="68">
        <f t="shared" si="1"/>
        <v>188.98000000000002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0">
        <f t="shared" si="0"/>
        <v>611.69626274101438</v>
      </c>
      <c r="S46" s="60">
        <f ca="1">AVERAGE(OFFSET($R$3,0,0,'Données projet'!$E$9+1,1))-AVERAGE(OFFSET($H$3,0,0,'Données projet'!$E$9+1,1))</f>
        <v>550.53475891182575</v>
      </c>
      <c r="T46" s="60">
        <f t="shared" si="34"/>
        <v>350.2500324347194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567.31637756830855</v>
      </c>
      <c r="AN46" s="60">
        <f ca="1">AVERAGE(OFFSET($AM$3,0,0,'Données projet'!$E$10+1,1))-AVERAGE(OFFSET($H$3,0,0,'Données projet'!$E$10+1,1))</f>
        <v>513.16577009788818</v>
      </c>
      <c r="AO46" s="60">
        <f t="shared" si="36"/>
        <v>289.37159333739146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9.8199999999999932</v>
      </c>
      <c r="BD46" s="13">
        <f>IF('Données projet'!$A$88&gt;35,BD45+BC46-BL45,IF(A46&lt;'Données projet'!$A$88,$BA$205^A46,IF(A46='Données projet'!$A$88,'Données projet'!$B$88,BD45+BC46-BL45)))</f>
        <v>222.55999999999989</v>
      </c>
      <c r="BE46" s="14">
        <f>BD46*VLOOKUP('Données projet'!$B$11,Paramètres!$A$1:$I$89,3,0)*VLOOKUP('Données projet'!$B$11,Paramètres!$A$1:$I$89,5,0)</f>
        <v>163.18099199999992</v>
      </c>
      <c r="BF46" s="14">
        <f t="shared" si="37"/>
        <v>41.559172921966017</v>
      </c>
      <c r="BG46" s="22">
        <f t="shared" si="7"/>
        <v>356.58912057242401</v>
      </c>
      <c r="BH46" s="60">
        <f t="shared" si="8"/>
        <v>610.05609773260744</v>
      </c>
      <c r="BI46" s="60">
        <f ca="1">AVERAGE(OFFSET($BH$3,0,0,'Données projet'!$E$11+1,1))-AVERAGE(OFFSET($H$3,0,0,'Données projet'!$E$11+1,1))</f>
        <v>366.5170155168056</v>
      </c>
      <c r="BJ46" s="60">
        <f t="shared" si="38"/>
        <v>394.05057214541966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256</v>
      </c>
      <c r="BZ46" s="14">
        <f>BY46*VLOOKUP('Données projet'!$B$12,Paramètres!$A$1:$I$89,3,0)*VLOOKUP('Données projet'!$B$12,Paramètres!$A$1:$I$89,5,0)</f>
        <v>231.62879999999998</v>
      </c>
      <c r="CA46" s="14">
        <f t="shared" si="39"/>
        <v>56.63472139815822</v>
      </c>
      <c r="CB46" s="22">
        <f t="shared" si="10"/>
        <v>502.05896643512551</v>
      </c>
      <c r="CC46" s="60">
        <f t="shared" si="11"/>
        <v>755.52594359530895</v>
      </c>
      <c r="CD46" s="60">
        <f ca="1">AVERAGE(OFFSET($CC$3,0,0,'Données projet'!$E$12+1,1))-AVERAGE(OFFSET($H$3,0,0,'Données projet'!$E$12+1,1))</f>
        <v>333.512642972663</v>
      </c>
      <c r="CE46" s="60">
        <f t="shared" si="40"/>
        <v>464.18634682168488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151.98768000000004</v>
      </c>
      <c r="CV46" s="14">
        <f t="shared" si="41"/>
        <v>39.029946373574369</v>
      </c>
      <c r="CW46" s="22">
        <f t="shared" si="13"/>
        <v>332.68903260064207</v>
      </c>
      <c r="CX46" s="60">
        <f t="shared" si="14"/>
        <v>586.15600976082555</v>
      </c>
      <c r="CY46" s="60">
        <f ca="1">AVERAGE(OFFSET($CX$3,0,0,'Données projet'!$E$13+1,1))-AVERAGE(OFFSET($H$3,0,0,'Données projet'!$E$13+1,1))</f>
        <v>539.76438066597848</v>
      </c>
      <c r="CZ46" s="60">
        <f t="shared" si="42"/>
        <v>303.47238367344937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136.56864000000004</v>
      </c>
      <c r="DQ46" s="14">
        <f t="shared" si="43"/>
        <v>35.509797430964703</v>
      </c>
      <c r="DR46" s="22">
        <f t="shared" si="16"/>
        <v>299.70327852559694</v>
      </c>
      <c r="DS46" s="60">
        <f t="shared" si="17"/>
        <v>553.17025568578038</v>
      </c>
      <c r="DT46" s="60">
        <f ca="1">AVERAGE(OFFSET($DS$3,0,0,'Données projet'!$E$14+1,1))-AVERAGE(OFFSET($H$3,0,0,'Données projet'!$E$14+1,1))</f>
        <v>493.19478874005267</v>
      </c>
      <c r="DU46" s="60">
        <f t="shared" si="44"/>
        <v>278.78337903007821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13.8</v>
      </c>
      <c r="EJ46" s="13">
        <f>IF('Données projet'!$A$192&gt;35,EJ45+EI46-ER45,IF(A46&lt;'Données projet'!$A$192,$EG$205^A46,IF(A46='Données projet'!$A$192,'Données projet'!$B$192,EJ45+EI46-ER45)))</f>
        <v>248.40000000000012</v>
      </c>
      <c r="EK46" s="18">
        <f>EJ46*VLOOKUP('Données projet'!$B$15,Paramètres!$A$1:$I$89,3,0)*VLOOKUP('Données projet'!$B$15,Paramètres!$A$1:$I$89,5,0)</f>
        <v>213.12720000000016</v>
      </c>
      <c r="EL46" s="14">
        <f t="shared" si="45"/>
        <v>52.618368568459893</v>
      </c>
      <c r="EM46" s="22">
        <f t="shared" si="19"/>
        <v>462.84019859006793</v>
      </c>
      <c r="EN46" s="60">
        <f t="shared" si="20"/>
        <v>716.30717575025142</v>
      </c>
      <c r="EO46" s="60">
        <f ca="1">AVERAGE(OFFSET($EN$3,0,0,'Données projet'!$E$15+1,1))-AVERAGE(OFFSET($H$3,0,0,'Données projet'!$E$15+1,1))</f>
        <v>698.30188737818639</v>
      </c>
      <c r="EP46" s="60">
        <f t="shared" si="46"/>
        <v>329.77977151358482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</v>
      </c>
      <c r="FE46" s="13">
        <f>IF('Données projet'!$A$218&gt;35,FE45+FD46-FM45,IF(A46&lt;'Données projet'!$A$218,$FB$205^A46,IF(A46='Données projet'!$A$218,'Données projet'!$B$218,FE45+FD46-FM45)))</f>
        <v>182.00000000000006</v>
      </c>
      <c r="FF46" s="18">
        <f>FE46*VLOOKUP('Données projet'!$B$16,Paramètres!$A$1:$I$89,3,0)*VLOOKUP('Données projet'!$B$16,Paramètres!$A$1:$I$89,5,0)</f>
        <v>158.99520000000007</v>
      </c>
      <c r="FG46" s="14">
        <f t="shared" si="47"/>
        <v>40.615796933386044</v>
      </c>
      <c r="FH46" s="22">
        <f t="shared" si="22"/>
        <v>347.65581965898082</v>
      </c>
      <c r="FI46" s="60">
        <f t="shared" si="23"/>
        <v>601.12279681916425</v>
      </c>
      <c r="FJ46" s="60">
        <f ca="1">AVERAGE(OFFSET($FI$3,0,0,'Données projet'!$E$16+1,1))-AVERAGE(OFFSET($H$3,0,0,'Données projet'!$E$16+1,1))</f>
        <v>396.99335548279453</v>
      </c>
      <c r="FK46" s="60">
        <f t="shared" si="48"/>
        <v>388.89849573746335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59.127357407322762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4.6150000000000002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16.921666666666667</v>
      </c>
      <c r="H47" s="68">
        <f t="shared" si="1"/>
        <v>188.98000000000002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0">
        <f t="shared" si="0"/>
        <v>634.37872556114712</v>
      </c>
      <c r="S47" s="60">
        <f ca="1">AVERAGE(OFFSET($R$3,0,0,'Données projet'!$E$9+1,1))-AVERAGE(OFFSET($H$3,0,0,'Données projet'!$E$9+1,1))</f>
        <v>550.53475891182575</v>
      </c>
      <c r="T47" s="60">
        <f t="shared" si="34"/>
        <v>350.2500324347194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586.22089039758475</v>
      </c>
      <c r="AN47" s="60">
        <f ca="1">AVERAGE(OFFSET($AM$3,0,0,'Données projet'!$E$10+1,1))-AVERAGE(OFFSET($H$3,0,0,'Données projet'!$E$10+1,1))</f>
        <v>513.16577009788818</v>
      </c>
      <c r="AO47" s="60">
        <f t="shared" si="36"/>
        <v>289.37159333739146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9.8199999999999932</v>
      </c>
      <c r="BD47" s="13">
        <f>IF('Données projet'!$A$88&gt;35,BD46+BC47-BL46,IF(A47&lt;'Données projet'!$A$88,$BA$205^A47,IF(A47='Données projet'!$A$88,'Données projet'!$B$88,BD46+BC47-BL46)))</f>
        <v>232.37999999999988</v>
      </c>
      <c r="BE47" s="14">
        <f>BD47*VLOOKUP('Données projet'!$B$11,Paramètres!$A$1:$I$89,3,0)*VLOOKUP('Données projet'!$B$11,Paramètres!$A$1:$I$89,5,0)</f>
        <v>170.3810159999999</v>
      </c>
      <c r="BF47" s="14">
        <f t="shared" si="37"/>
        <v>43.17534737258952</v>
      </c>
      <c r="BG47" s="22">
        <f t="shared" si="7"/>
        <v>371.94399954059327</v>
      </c>
      <c r="BH47" s="60">
        <f t="shared" si="8"/>
        <v>626.10256885256081</v>
      </c>
      <c r="BI47" s="60">
        <f ca="1">AVERAGE(OFFSET($BH$3,0,0,'Données projet'!$E$11+1,1))-AVERAGE(OFFSET($H$3,0,0,'Données projet'!$E$11+1,1))</f>
        <v>366.5170155168056</v>
      </c>
      <c r="BJ47" s="60">
        <f t="shared" si="38"/>
        <v>394.05057214541966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261</v>
      </c>
      <c r="BZ47" s="14">
        <f>BY47*VLOOKUP('Données projet'!$B$12,Paramètres!$A$1:$I$89,3,0)*VLOOKUP('Données projet'!$B$12,Paramètres!$A$1:$I$89,5,0)</f>
        <v>236.15280000000001</v>
      </c>
      <c r="CA47" s="14">
        <f t="shared" si="39"/>
        <v>57.61100977459936</v>
      </c>
      <c r="CB47" s="22">
        <f t="shared" si="10"/>
        <v>511.63863535742729</v>
      </c>
      <c r="CC47" s="60">
        <f t="shared" si="11"/>
        <v>765.79720466939477</v>
      </c>
      <c r="CD47" s="60">
        <f ca="1">AVERAGE(OFFSET($CC$3,0,0,'Données projet'!$E$12+1,1))-AVERAGE(OFFSET($H$3,0,0,'Données projet'!$E$12+1,1))</f>
        <v>333.512642972663</v>
      </c>
      <c r="CE47" s="60">
        <f t="shared" si="40"/>
        <v>464.18634682168488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161.02944000000005</v>
      </c>
      <c r="CV47" s="14">
        <f t="shared" si="41"/>
        <v>41.074621732940727</v>
      </c>
      <c r="CW47" s="22">
        <f t="shared" si="13"/>
        <v>351.99790751820518</v>
      </c>
      <c r="CX47" s="60">
        <f t="shared" si="14"/>
        <v>606.15647683017266</v>
      </c>
      <c r="CY47" s="60">
        <f ca="1">AVERAGE(OFFSET($CX$3,0,0,'Données projet'!$E$13+1,1))-AVERAGE(OFFSET($H$3,0,0,'Données projet'!$E$13+1,1))</f>
        <v>539.76438066597848</v>
      </c>
      <c r="CZ47" s="60">
        <f t="shared" si="42"/>
        <v>303.47238367344937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144.69312000000005</v>
      </c>
      <c r="DQ47" s="14">
        <f t="shared" si="43"/>
        <v>37.370061524802772</v>
      </c>
      <c r="DR47" s="22">
        <f t="shared" si="16"/>
        <v>317.09337448903153</v>
      </c>
      <c r="DS47" s="60">
        <f t="shared" si="17"/>
        <v>571.25194380099902</v>
      </c>
      <c r="DT47" s="60">
        <f ca="1">AVERAGE(OFFSET($DS$3,0,0,'Données projet'!$E$14+1,1))-AVERAGE(OFFSET($H$3,0,0,'Données projet'!$E$14+1,1))</f>
        <v>493.19478874005267</v>
      </c>
      <c r="DU47" s="60">
        <f t="shared" si="44"/>
        <v>278.78337903007821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13.8</v>
      </c>
      <c r="EJ47" s="13">
        <f>IF('Données projet'!$A$192&gt;35,EJ46+EI47-ER46,IF(A47&lt;'Données projet'!$A$192,$EG$205^A47,IF(A47='Données projet'!$A$192,'Données projet'!$B$192,EJ46+EI47-ER46)))</f>
        <v>262.2000000000001</v>
      </c>
      <c r="EK47" s="18">
        <f>EJ47*VLOOKUP('Données projet'!$B$15,Paramètres!$A$1:$I$89,3,0)*VLOOKUP('Données projet'!$B$15,Paramètres!$A$1:$I$89,5,0)</f>
        <v>224.96760000000012</v>
      </c>
      <c r="EL47" s="14">
        <f t="shared" si="45"/>
        <v>55.193161946335238</v>
      </c>
      <c r="EM47" s="22">
        <f t="shared" si="19"/>
        <v>487.94666038986742</v>
      </c>
      <c r="EN47" s="60">
        <f t="shared" si="20"/>
        <v>742.1052297018349</v>
      </c>
      <c r="EO47" s="60">
        <f ca="1">AVERAGE(OFFSET($EN$3,0,0,'Données projet'!$E$15+1,1))-AVERAGE(OFFSET($H$3,0,0,'Données projet'!$E$15+1,1))</f>
        <v>698.30188737818639</v>
      </c>
      <c r="EP47" s="60">
        <f t="shared" si="46"/>
        <v>329.77977151358482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</v>
      </c>
      <c r="FE47" s="13">
        <f>IF('Données projet'!$A$218&gt;35,FE46+FD47-FM46,IF(A47&lt;'Données projet'!$A$218,$FB$205^A47,IF(A47='Données projet'!$A$218,'Données projet'!$B$218,FE46+FD47-FM46)))</f>
        <v>190.00000000000006</v>
      </c>
      <c r="FF47" s="18">
        <f>FE47*VLOOKUP('Données projet'!$B$16,Paramètres!$A$1:$I$89,3,0)*VLOOKUP('Données projet'!$B$16,Paramètres!$A$1:$I$89,5,0)</f>
        <v>165.98400000000009</v>
      </c>
      <c r="FG47" s="14">
        <f t="shared" si="47"/>
        <v>42.189325525922285</v>
      </c>
      <c r="FH47" s="22">
        <f t="shared" si="22"/>
        <v>362.56854195764816</v>
      </c>
      <c r="FI47" s="60">
        <f t="shared" si="23"/>
        <v>616.72711126961565</v>
      </c>
      <c r="FJ47" s="60">
        <f ca="1">AVERAGE(OFFSET($FI$3,0,0,'Données projet'!$E$16+1,1))-AVERAGE(OFFSET($H$3,0,0,'Données projet'!$E$16+1,1))</f>
        <v>396.99335548279453</v>
      </c>
      <c r="FK47" s="60">
        <f t="shared" si="48"/>
        <v>388.89849573746335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59.315973448718417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4.6150000000000002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16.921666666666667</v>
      </c>
      <c r="H48" s="68">
        <f t="shared" si="1"/>
        <v>188.98000000000002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</v>
      </c>
      <c r="O48" s="14">
        <f>N48*VLOOKUP('Données projet'!$B$9,Paramètres!$A$1:$I$89,3,0)*VLOOKUP('Données projet'!$B$9,Paramètres!$A$1:$I$89,5,0)</f>
        <v>184.57919999999999</v>
      </c>
      <c r="P48" s="14">
        <f t="shared" si="33"/>
        <v>46.339479465836618</v>
      </c>
      <c r="Q48" s="22">
        <f t="shared" si="53"/>
        <v>402.18336673633206</v>
      </c>
      <c r="R48" s="60">
        <f t="shared" si="0"/>
        <v>657.0215306224186</v>
      </c>
      <c r="S48" s="60">
        <f ca="1">AVERAGE(OFFSET($R$3,0,0,'Données projet'!$E$9+1,1))-AVERAGE(OFFSET($H$3,0,0,'Données projet'!$E$9+1,1))</f>
        <v>550.53475891182575</v>
      </c>
      <c r="T48" s="60">
        <f t="shared" si="34"/>
        <v>350.2500324347194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605.09138674263852</v>
      </c>
      <c r="AN48" s="60">
        <f ca="1">AVERAGE(OFFSET($AM$3,0,0,'Données projet'!$E$10+1,1))-AVERAGE(OFFSET($H$3,0,0,'Données projet'!$E$10+1,1))</f>
        <v>513.16577009788818</v>
      </c>
      <c r="AO48" s="60">
        <f t="shared" si="36"/>
        <v>289.37159333739146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242.2</v>
      </c>
      <c r="BB48" s="13">
        <f>VLOOKUP(A48,'Données projet'!$A$87:$I$107,9,0)</f>
        <v>9.8199999999999932</v>
      </c>
      <c r="BC48" s="13">
        <f t="array" ref="BC48">INDEX(BB:BB,MIN(IF(ISNUMBER(BB48:BB244),ROW(BB48:BB244),"")))</f>
        <v>9.8199999999999932</v>
      </c>
      <c r="BD48" s="13">
        <f>IF('Données projet'!$A$88&gt;35,BD47+BC48-BL47,IF(A48&lt;'Données projet'!$A$88,$BA$205^A48,IF(A48='Données projet'!$A$88,'Données projet'!$B$88,BD47+BC48-BL47)))</f>
        <v>242.19999999999987</v>
      </c>
      <c r="BE48" s="14">
        <f>BD48*VLOOKUP('Données projet'!$B$11,Paramètres!$A$1:$I$89,3,0)*VLOOKUP('Données projet'!$B$11,Paramètres!$A$1:$I$89,5,0)</f>
        <v>177.58103999999989</v>
      </c>
      <c r="BF48" s="14">
        <f t="shared" si="37"/>
        <v>44.783589090869476</v>
      </c>
      <c r="BG48" s="22">
        <f t="shared" si="7"/>
        <v>387.28506233326408</v>
      </c>
      <c r="BH48" s="60">
        <f t="shared" si="8"/>
        <v>642.12322621935061</v>
      </c>
      <c r="BI48" s="60">
        <f ca="1">AVERAGE(OFFSET($BH$3,0,0,'Données projet'!$E$11+1,1))-AVERAGE(OFFSET($H$3,0,0,'Données projet'!$E$11+1,1))</f>
        <v>366.5170155168056</v>
      </c>
      <c r="BJ48" s="60">
        <f t="shared" si="38"/>
        <v>394.05057214541966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266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266</v>
      </c>
      <c r="BZ48" s="14">
        <f>BY48*VLOOKUP('Données projet'!$B$12,Paramètres!$A$1:$I$89,3,0)*VLOOKUP('Données projet'!$B$12,Paramètres!$A$1:$I$89,5,0)</f>
        <v>240.67680000000001</v>
      </c>
      <c r="CA48" s="14">
        <f t="shared" si="39"/>
        <v>58.585123425001029</v>
      </c>
      <c r="CB48" s="22">
        <f t="shared" si="10"/>
        <v>521.21451663187679</v>
      </c>
      <c r="CC48" s="60">
        <f t="shared" si="11"/>
        <v>776.05268051796338</v>
      </c>
      <c r="CD48" s="60">
        <f ca="1">AVERAGE(OFFSET($CC$3,0,0,'Données projet'!$E$12+1,1))-AVERAGE(OFFSET($H$3,0,0,'Données projet'!$E$12+1,1))</f>
        <v>333.512642972663</v>
      </c>
      <c r="CE48" s="60">
        <f t="shared" si="40"/>
        <v>464.18634682168488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266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170.07120000000003</v>
      </c>
      <c r="CV48" s="14">
        <f t="shared" si="41"/>
        <v>43.10596962815594</v>
      </c>
      <c r="CW48" s="22">
        <f t="shared" si="13"/>
        <v>371.28357043570503</v>
      </c>
      <c r="CX48" s="60">
        <f t="shared" si="14"/>
        <v>626.12173432179156</v>
      </c>
      <c r="CY48" s="60">
        <f ca="1">AVERAGE(OFFSET($CX$3,0,0,'Données projet'!$E$13+1,1))-AVERAGE(OFFSET($H$3,0,0,'Données projet'!$E$13+1,1))</f>
        <v>539.76438066597848</v>
      </c>
      <c r="CZ48" s="60">
        <f t="shared" si="42"/>
        <v>303.47238367344937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152.81760000000006</v>
      </c>
      <c r="DQ48" s="14">
        <f t="shared" si="43"/>
        <v>39.218200171484227</v>
      </c>
      <c r="DR48" s="22">
        <f t="shared" si="16"/>
        <v>334.46235196533513</v>
      </c>
      <c r="DS48" s="60">
        <f t="shared" si="17"/>
        <v>589.30051585142166</v>
      </c>
      <c r="DT48" s="60">
        <f ca="1">AVERAGE(OFFSET($DS$3,0,0,'Données projet'!$E$14+1,1))-AVERAGE(OFFSET($H$3,0,0,'Données projet'!$E$14+1,1))</f>
        <v>493.19478874005267</v>
      </c>
      <c r="DU48" s="60">
        <f t="shared" si="44"/>
        <v>278.78337903007821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276</v>
      </c>
      <c r="EH48" s="13">
        <f>VLOOKUP(A48,'Données projet'!$A$191:$I$211,9,0)</f>
        <v>13.8</v>
      </c>
      <c r="EI48" s="13">
        <f t="array" ref="EI48">INDEX(EH:EH,MIN(IF(ISNUMBER(EH48:EH244),ROW(EH48:EH244),"")))</f>
        <v>13.8</v>
      </c>
      <c r="EJ48" s="13">
        <f>IF('Données projet'!$A$192&gt;35,EJ47+EI48-ER47,IF(A48&lt;'Données projet'!$A$192,$EG$205^A48,IF(A48='Données projet'!$A$192,'Données projet'!$B$192,EJ47+EI48-ER47)))</f>
        <v>276.00000000000011</v>
      </c>
      <c r="EK48" s="18">
        <f>EJ48*VLOOKUP('Données projet'!$B$15,Paramètres!$A$1:$I$89,3,0)*VLOOKUP('Données projet'!$B$15,Paramètres!$A$1:$I$89,5,0)</f>
        <v>236.80800000000011</v>
      </c>
      <c r="EL48" s="14">
        <f t="shared" si="45"/>
        <v>57.752221878398764</v>
      </c>
      <c r="EM48" s="22">
        <f t="shared" si="19"/>
        <v>513.02571977154469</v>
      </c>
      <c r="EN48" s="60">
        <f t="shared" si="20"/>
        <v>767.86388365763128</v>
      </c>
      <c r="EO48" s="60">
        <f ca="1">AVERAGE(OFFSET($EN$3,0,0,'Données projet'!$E$15+1,1))-AVERAGE(OFFSET($H$3,0,0,'Données projet'!$E$15+1,1))</f>
        <v>698.30188737818639</v>
      </c>
      <c r="EP48" s="60">
        <f t="shared" si="46"/>
        <v>329.77977151358482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70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198</v>
      </c>
      <c r="FC48" s="13">
        <f>VLOOKUP(A48,'Données projet'!$A$217:$I$237,9,0)</f>
        <v>8</v>
      </c>
      <c r="FD48" s="13">
        <f t="array" ref="FD48">INDEX(FC:FC,MIN(IF(ISNUMBER(FC48:FC244),ROW(FC48:FC244),"")))</f>
        <v>8</v>
      </c>
      <c r="FE48" s="13">
        <f>IF('Données projet'!$A$218&gt;35,FE47+FD48-FM47,IF(A48&lt;'Données projet'!$A$218,$FB$205^A48,IF(A48='Données projet'!$A$218,'Données projet'!$B$218,FE47+FD48-FM47)))</f>
        <v>198.00000000000006</v>
      </c>
      <c r="FF48" s="18">
        <f>FE48*VLOOKUP('Données projet'!$B$16,Paramètres!$A$1:$I$89,3,0)*VLOOKUP('Données projet'!$B$16,Paramètres!$A$1:$I$89,5,0)</f>
        <v>172.97280000000006</v>
      </c>
      <c r="FG48" s="14">
        <f t="shared" si="47"/>
        <v>43.75515863819728</v>
      </c>
      <c r="FH48" s="22">
        <f t="shared" si="22"/>
        <v>377.46786129486037</v>
      </c>
      <c r="FI48" s="60">
        <f t="shared" si="23"/>
        <v>632.3060251809469</v>
      </c>
      <c r="FJ48" s="60">
        <f ca="1">AVERAGE(OFFSET($FI$3,0,0,'Données projet'!$E$16+1,1))-AVERAGE(OFFSET($H$3,0,0,'Données projet'!$E$16+1,1))</f>
        <v>396.99335548279453</v>
      </c>
      <c r="FK48" s="60">
        <f t="shared" si="48"/>
        <v>388.89849573746335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59.501317423478149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4.6150000000000002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16.921666666666667</v>
      </c>
      <c r="H49" s="68">
        <f t="shared" si="1"/>
        <v>188.98000000000002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215</v>
      </c>
      <c r="O49" s="14">
        <f>N49*VLOOKUP('Données projet'!$B$9,Paramètres!$A$1:$I$89,3,0)*VLOOKUP('Données projet'!$B$9,Paramètres!$A$1:$I$89,5,0)</f>
        <v>194.53199999999998</v>
      </c>
      <c r="P49" s="14">
        <f t="shared" si="33"/>
        <v>48.540534952652578</v>
      </c>
      <c r="Q49" s="22">
        <f t="shared" si="53"/>
        <v>423.35133170920318</v>
      </c>
      <c r="R49" s="60">
        <f t="shared" si="0"/>
        <v>678.85730072289357</v>
      </c>
      <c r="S49" s="60">
        <f ca="1">AVERAGE(OFFSET($R$3,0,0,'Données projet'!$E$9+1,1))-AVERAGE(OFFSET($H$3,0,0,'Données projet'!$E$9+1,1))</f>
        <v>550.53475891182575</v>
      </c>
      <c r="T49" s="60">
        <f t="shared" si="34"/>
        <v>350.2500324347194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623.4969869144345</v>
      </c>
      <c r="AN49" s="60">
        <f ca="1">AVERAGE(OFFSET($AM$3,0,0,'Données projet'!$E$10+1,1))-AVERAGE(OFFSET($H$3,0,0,'Données projet'!$E$10+1,1))</f>
        <v>513.16577009788818</v>
      </c>
      <c r="AO49" s="60">
        <f t="shared" si="36"/>
        <v>289.37159333739146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8.5399999999999974</v>
      </c>
      <c r="BD49" s="13">
        <f>IF('Données projet'!$A$88&gt;35,BD48+BC49-BL48,IF(A49&lt;'Données projet'!$A$88,$BA$205^A49,IF(A49='Données projet'!$A$88,'Données projet'!$B$88,BD48+BC49-BL48)))</f>
        <v>250.73999999999987</v>
      </c>
      <c r="BE49" s="14">
        <f>BD49*VLOOKUP('Données projet'!$B$11,Paramètres!$A$1:$I$89,3,0)*VLOOKUP('Données projet'!$B$11,Paramètres!$A$1:$I$89,5,0)</f>
        <v>183.84256799999991</v>
      </c>
      <c r="BF49" s="14">
        <f t="shared" si="37"/>
        <v>46.176032940903148</v>
      </c>
      <c r="BG49" s="22">
        <f t="shared" si="7"/>
        <v>400.61572997207281</v>
      </c>
      <c r="BH49" s="60">
        <f t="shared" si="8"/>
        <v>656.12169898576326</v>
      </c>
      <c r="BI49" s="60">
        <f ca="1">AVERAGE(OFFSET($BH$3,0,0,'Données projet'!$E$11+1,1))-AVERAGE(OFFSET($H$3,0,0,'Données projet'!$E$11+1,1))</f>
        <v>366.5170155168056</v>
      </c>
      <c r="BJ49" s="60">
        <f t="shared" si="38"/>
        <v>394.05057214541966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0" t="e">
        <f t="shared" si="11"/>
        <v>#NUM!</v>
      </c>
      <c r="CD49" s="60">
        <f ca="1">AVERAGE(OFFSET($CC$3,0,0,'Données projet'!$E$12+1,1))-AVERAGE(OFFSET($H$3,0,0,'Données projet'!$E$12+1,1))</f>
        <v>333.512642972663</v>
      </c>
      <c r="CE49" s="60">
        <f t="shared" si="40"/>
        <v>464.18634682168488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178.89768000000004</v>
      </c>
      <c r="CV49" s="14">
        <f t="shared" si="41"/>
        <v>45.076852665999411</v>
      </c>
      <c r="CW49" s="22">
        <f t="shared" si="13"/>
        <v>390.08897772661572</v>
      </c>
      <c r="CX49" s="60">
        <f t="shared" si="14"/>
        <v>645.59494674030611</v>
      </c>
      <c r="CY49" s="60">
        <f ca="1">AVERAGE(OFFSET($CX$3,0,0,'Données projet'!$E$13+1,1))-AVERAGE(OFFSET($H$3,0,0,'Données projet'!$E$13+1,1))</f>
        <v>539.76438066597848</v>
      </c>
      <c r="CZ49" s="60">
        <f t="shared" si="42"/>
        <v>303.47238367344937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160.74864000000005</v>
      </c>
      <c r="DQ49" s="14">
        <f t="shared" si="43"/>
        <v>41.011327345272264</v>
      </c>
      <c r="DR49" s="22">
        <f t="shared" si="16"/>
        <v>351.39860979301596</v>
      </c>
      <c r="DS49" s="60">
        <f t="shared" si="17"/>
        <v>606.90457880670647</v>
      </c>
      <c r="DT49" s="60">
        <f ca="1">AVERAGE(OFFSET($DS$3,0,0,'Données projet'!$E$14+1,1))-AVERAGE(OFFSET($H$3,0,0,'Données projet'!$E$14+1,1))</f>
        <v>493.19478874005267</v>
      </c>
      <c r="DU49" s="60">
        <f t="shared" si="44"/>
        <v>278.78337903007821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13.6</v>
      </c>
      <c r="EJ49" s="13">
        <f>IF('Données projet'!$A$192&gt;35,EJ48+EI49-ER48,IF(A49&lt;'Données projet'!$A$192,$EG$205^A49,IF(A49='Données projet'!$A$192,'Données projet'!$B$192,EJ48+EI49-ER48)))</f>
        <v>219.60000000000014</v>
      </c>
      <c r="EK49" s="18">
        <f>EJ49*VLOOKUP('Données projet'!$B$15,Paramètres!$A$1:$I$89,3,0)*VLOOKUP('Données projet'!$B$15,Paramètres!$A$1:$I$89,5,0)</f>
        <v>188.41680000000014</v>
      </c>
      <c r="EL49" s="14">
        <f t="shared" si="45"/>
        <v>47.189759534268717</v>
      </c>
      <c r="EM49" s="22">
        <f t="shared" si="19"/>
        <v>410.34809118885158</v>
      </c>
      <c r="EN49" s="60">
        <f t="shared" si="20"/>
        <v>665.85406020254209</v>
      </c>
      <c r="EO49" s="60">
        <f ca="1">AVERAGE(OFFSET($EN$3,0,0,'Données projet'!$E$15+1,1))-AVERAGE(OFFSET($H$3,0,0,'Données projet'!$E$15+1,1))</f>
        <v>698.30188737818639</v>
      </c>
      <c r="EP49" s="60">
        <f t="shared" si="46"/>
        <v>329.77977151358482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7.4</v>
      </c>
      <c r="FE49" s="13">
        <f>IF('Données projet'!$A$218&gt;35,FE48+FD49-FM48,IF(A49&lt;'Données projet'!$A$218,$FB$205^A49,IF(A49='Données projet'!$A$218,'Données projet'!$B$218,FE48+FD49-FM48)))</f>
        <v>205.40000000000006</v>
      </c>
      <c r="FF49" s="18">
        <f>FE49*VLOOKUP('Données projet'!$B$16,Paramètres!$A$1:$I$89,3,0)*VLOOKUP('Données projet'!$B$16,Paramètres!$A$1:$I$89,5,0)</f>
        <v>179.43744000000007</v>
      </c>
      <c r="FG49" s="14">
        <f t="shared" si="47"/>
        <v>45.197004138831659</v>
      </c>
      <c r="FH49" s="22">
        <f t="shared" si="22"/>
        <v>391.23832354179859</v>
      </c>
      <c r="FI49" s="60">
        <f t="shared" si="23"/>
        <v>646.74429255548898</v>
      </c>
      <c r="FJ49" s="60">
        <f ca="1">AVERAGE(OFFSET($FI$3,0,0,'Données projet'!$E$16+1,1))-AVERAGE(OFFSET($H$3,0,0,'Données projet'!$E$16+1,1))</f>
        <v>396.99335548279453</v>
      </c>
      <c r="FK49" s="60">
        <f t="shared" si="48"/>
        <v>388.89849573746335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59.683446094642854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4.6150000000000002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16.921666666666667</v>
      </c>
      <c r="H50" s="68">
        <f t="shared" si="1"/>
        <v>188.98000000000002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226</v>
      </c>
      <c r="O50" s="14">
        <f>N50*VLOOKUP('Données projet'!$B$9,Paramètres!$A$1:$I$89,3,0)*VLOOKUP('Données projet'!$B$9,Paramètres!$A$1:$I$89,5,0)</f>
        <v>204.48479999999998</v>
      </c>
      <c r="P50" s="14">
        <f t="shared" si="33"/>
        <v>50.728515318217369</v>
      </c>
      <c r="Q50" s="22">
        <f t="shared" si="53"/>
        <v>444.49652417922852</v>
      </c>
      <c r="R50" s="60">
        <f t="shared" si="0"/>
        <v>700.65871339454759</v>
      </c>
      <c r="S50" s="60">
        <f ca="1">AVERAGE(OFFSET($R$3,0,0,'Données projet'!$E$9+1,1))-AVERAGE(OFFSET($H$3,0,0,'Données projet'!$E$9+1,1))</f>
        <v>550.53475891182575</v>
      </c>
      <c r="T50" s="60">
        <f t="shared" si="34"/>
        <v>350.2500324347194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641.87234762276444</v>
      </c>
      <c r="AN50" s="60">
        <f ca="1">AVERAGE(OFFSET($AM$3,0,0,'Données projet'!$E$10+1,1))-AVERAGE(OFFSET($H$3,0,0,'Données projet'!$E$10+1,1))</f>
        <v>513.16577009788818</v>
      </c>
      <c r="AO50" s="60">
        <f t="shared" si="36"/>
        <v>289.37159333739146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8.5399999999999974</v>
      </c>
      <c r="BD50" s="13">
        <f>IF('Données projet'!$A$88&gt;35,BD49+BC50-BL49,IF(A50&lt;'Données projet'!$A$88,$BA$205^A50,IF(A50='Données projet'!$A$88,'Données projet'!$B$88,BD49+BC50-BL49)))</f>
        <v>259.27999999999986</v>
      </c>
      <c r="BE50" s="14">
        <f>BD50*VLOOKUP('Données projet'!$B$11,Paramètres!$A$1:$I$89,3,0)*VLOOKUP('Données projet'!$B$11,Paramètres!$A$1:$I$89,5,0)</f>
        <v>190.10409599999988</v>
      </c>
      <c r="BF50" s="14">
        <f t="shared" si="37"/>
        <v>47.562966265165443</v>
      </c>
      <c r="BG50" s="22">
        <f t="shared" si="7"/>
        <v>413.9368001118296</v>
      </c>
      <c r="BH50" s="60">
        <f t="shared" si="8"/>
        <v>670.09898932714873</v>
      </c>
      <c r="BI50" s="60">
        <f ca="1">AVERAGE(OFFSET($BH$3,0,0,'Données projet'!$E$11+1,1))-AVERAGE(OFFSET($H$3,0,0,'Données projet'!$E$11+1,1))</f>
        <v>366.5170155168056</v>
      </c>
      <c r="BJ50" s="60">
        <f t="shared" si="38"/>
        <v>394.05057214541966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0" t="e">
        <f t="shared" si="11"/>
        <v>#NUM!</v>
      </c>
      <c r="CD50" s="60">
        <f ca="1">AVERAGE(OFFSET($CC$3,0,0,'Données projet'!$E$12+1,1))-AVERAGE(OFFSET($H$3,0,0,'Données projet'!$E$12+1,1))</f>
        <v>333.512642972663</v>
      </c>
      <c r="CE50" s="60">
        <f t="shared" si="40"/>
        <v>464.18634682168488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187.72416000000004</v>
      </c>
      <c r="CV50" s="14">
        <f t="shared" si="41"/>
        <v>47.036444603668812</v>
      </c>
      <c r="CW50" s="22">
        <f t="shared" si="13"/>
        <v>408.87471968472323</v>
      </c>
      <c r="CX50" s="60">
        <f t="shared" si="14"/>
        <v>665.03690890004236</v>
      </c>
      <c r="CY50" s="60">
        <f ca="1">AVERAGE(OFFSET($CX$3,0,0,'Données projet'!$E$13+1,1))-AVERAGE(OFFSET($H$3,0,0,'Données projet'!$E$13+1,1))</f>
        <v>539.76438066597848</v>
      </c>
      <c r="CZ50" s="60">
        <f t="shared" si="42"/>
        <v>303.47238367344937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168.67968000000002</v>
      </c>
      <c r="DQ50" s="14">
        <f t="shared" si="43"/>
        <v>42.794181774227013</v>
      </c>
      <c r="DR50" s="22">
        <f t="shared" si="16"/>
        <v>368.3169759234454</v>
      </c>
      <c r="DS50" s="60">
        <f t="shared" si="17"/>
        <v>624.47916513876453</v>
      </c>
      <c r="DT50" s="60">
        <f ca="1">AVERAGE(OFFSET($DS$3,0,0,'Données projet'!$E$14+1,1))-AVERAGE(OFFSET($H$3,0,0,'Données projet'!$E$14+1,1))</f>
        <v>493.19478874005267</v>
      </c>
      <c r="DU50" s="60">
        <f t="shared" si="44"/>
        <v>278.78337903007821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13.6</v>
      </c>
      <c r="EJ50" s="13">
        <f>IF('Données projet'!$A$192&gt;35,EJ49+EI50-ER49,IF(A50&lt;'Données projet'!$A$192,$EG$205^A50,IF(A50='Données projet'!$A$192,'Données projet'!$B$192,EJ49+EI50-ER49)))</f>
        <v>233.20000000000013</v>
      </c>
      <c r="EK50" s="18">
        <f>EJ50*VLOOKUP('Données projet'!$B$15,Paramètres!$A$1:$I$89,3,0)*VLOOKUP('Données projet'!$B$15,Paramètres!$A$1:$I$89,5,0)</f>
        <v>200.08560000000011</v>
      </c>
      <c r="EL50" s="14">
        <f t="shared" si="45"/>
        <v>49.762979545996977</v>
      </c>
      <c r="EM50" s="22">
        <f t="shared" si="19"/>
        <v>435.15294270927825</v>
      </c>
      <c r="EN50" s="60">
        <f t="shared" si="20"/>
        <v>691.31513192459738</v>
      </c>
      <c r="EO50" s="60">
        <f ca="1">AVERAGE(OFFSET($EN$3,0,0,'Données projet'!$E$15+1,1))-AVERAGE(OFFSET($H$3,0,0,'Données projet'!$E$15+1,1))</f>
        <v>698.30188737818639</v>
      </c>
      <c r="EP50" s="60">
        <f t="shared" si="46"/>
        <v>329.77977151358482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7.4</v>
      </c>
      <c r="FE50" s="13">
        <f>IF('Données projet'!$A$218&gt;35,FE49+FD50-FM49,IF(A50&lt;'Données projet'!$A$218,$FB$205^A50,IF(A50='Données projet'!$A$218,'Données projet'!$B$218,FE49+FD50-FM49)))</f>
        <v>212.80000000000007</v>
      </c>
      <c r="FF50" s="18">
        <f>FE50*VLOOKUP('Données projet'!$B$16,Paramètres!$A$1:$I$89,3,0)*VLOOKUP('Données projet'!$B$16,Paramètres!$A$1:$I$89,5,0)</f>
        <v>185.90208000000007</v>
      </c>
      <c r="FG50" s="14">
        <f t="shared" si="47"/>
        <v>46.632814435744649</v>
      </c>
      <c r="FH50" s="22">
        <f t="shared" si="22"/>
        <v>404.99827447558869</v>
      </c>
      <c r="FI50" s="60">
        <f t="shared" si="23"/>
        <v>661.16046369090782</v>
      </c>
      <c r="FJ50" s="60">
        <f ca="1">AVERAGE(OFFSET($FI$3,0,0,'Données projet'!$E$16+1,1))-AVERAGE(OFFSET($H$3,0,0,'Données projet'!$E$16+1,1))</f>
        <v>396.99335548279453</v>
      </c>
      <c r="FK50" s="60">
        <f t="shared" si="48"/>
        <v>388.89849573746335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59.862415240541559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4.6150000000000002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16.921666666666667</v>
      </c>
      <c r="H51" s="68">
        <f t="shared" si="1"/>
        <v>188.98000000000002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237</v>
      </c>
      <c r="O51" s="14">
        <f>N51*VLOOKUP('Données projet'!$B$9,Paramètres!$A$1:$I$89,3,0)*VLOOKUP('Données projet'!$B$9,Paramètres!$A$1:$I$89,5,0)</f>
        <v>214.43759999999997</v>
      </c>
      <c r="P51" s="14">
        <f t="shared" si="33"/>
        <v>52.904129603372375</v>
      </c>
      <c r="Q51" s="22">
        <f t="shared" si="53"/>
        <v>465.62017905920681</v>
      </c>
      <c r="R51" s="60">
        <f t="shared" si="0"/>
        <v>722.42720452274477</v>
      </c>
      <c r="S51" s="60">
        <f ca="1">AVERAGE(OFFSET($R$3,0,0,'Données projet'!$E$9+1,1))-AVERAGE(OFFSET($H$3,0,0,'Données projet'!$E$9+1,1))</f>
        <v>550.53475891182575</v>
      </c>
      <c r="T51" s="60">
        <f t="shared" si="34"/>
        <v>350.2500324347194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660.21864710253817</v>
      </c>
      <c r="AN51" s="60">
        <f ca="1">AVERAGE(OFFSET($AM$3,0,0,'Données projet'!$E$10+1,1))-AVERAGE(OFFSET($H$3,0,0,'Données projet'!$E$10+1,1))</f>
        <v>513.16577009788818</v>
      </c>
      <c r="AO51" s="60">
        <f t="shared" si="36"/>
        <v>289.37159333739146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8.5399999999999974</v>
      </c>
      <c r="BD51" s="13">
        <f>IF('Données projet'!$A$88&gt;35,BD50+BC51-BL50,IF(A51&lt;'Données projet'!$A$88,$BA$205^A51,IF(A51='Données projet'!$A$88,'Données projet'!$B$88,BD50+BC51-BL50)))</f>
        <v>267.81999999999988</v>
      </c>
      <c r="BE51" s="14">
        <f>BD51*VLOOKUP('Données projet'!$B$11,Paramètres!$A$1:$I$89,3,0)*VLOOKUP('Données projet'!$B$11,Paramètres!$A$1:$I$89,5,0)</f>
        <v>196.36562399999991</v>
      </c>
      <c r="BF51" s="14">
        <f t="shared" si="37"/>
        <v>48.944591379063773</v>
      </c>
      <c r="BG51" s="22">
        <f t="shared" si="7"/>
        <v>427.24862511853593</v>
      </c>
      <c r="BH51" s="60">
        <f t="shared" si="8"/>
        <v>684.05565058207389</v>
      </c>
      <c r="BI51" s="60">
        <f ca="1">AVERAGE(OFFSET($BH$3,0,0,'Données projet'!$E$11+1,1))-AVERAGE(OFFSET($H$3,0,0,'Données projet'!$E$11+1,1))</f>
        <v>366.5170155168056</v>
      </c>
      <c r="BJ51" s="60">
        <f t="shared" si="38"/>
        <v>394.05057214541966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0" t="e">
        <f t="shared" si="11"/>
        <v>#NUM!</v>
      </c>
      <c r="CD51" s="60">
        <f ca="1">AVERAGE(OFFSET($CC$3,0,0,'Données projet'!$E$12+1,1))-AVERAGE(OFFSET($H$3,0,0,'Données projet'!$E$12+1,1))</f>
        <v>333.512642972663</v>
      </c>
      <c r="CE51" s="60">
        <f t="shared" si="40"/>
        <v>464.18634682168488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196.55064000000002</v>
      </c>
      <c r="CV51" s="14">
        <f t="shared" si="41"/>
        <v>48.985336952319578</v>
      </c>
      <c r="CW51" s="22">
        <f t="shared" si="13"/>
        <v>427.6418265252899</v>
      </c>
      <c r="CX51" s="60">
        <f t="shared" si="14"/>
        <v>684.44885198882787</v>
      </c>
      <c r="CY51" s="60">
        <f ca="1">AVERAGE(OFFSET($CX$3,0,0,'Données projet'!$E$13+1,1))-AVERAGE(OFFSET($H$3,0,0,'Données projet'!$E$13+1,1))</f>
        <v>539.76438066597848</v>
      </c>
      <c r="CZ51" s="60">
        <f t="shared" si="42"/>
        <v>303.47238367344937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176.61072000000004</v>
      </c>
      <c r="DQ51" s="14">
        <f t="shared" si="43"/>
        <v>44.56730162053563</v>
      </c>
      <c r="DR51" s="22">
        <f t="shared" si="16"/>
        <v>385.21838765576626</v>
      </c>
      <c r="DS51" s="60">
        <f t="shared" si="17"/>
        <v>642.02541311930418</v>
      </c>
      <c r="DT51" s="60">
        <f ca="1">AVERAGE(OFFSET($DS$3,0,0,'Données projet'!$E$14+1,1))-AVERAGE(OFFSET($H$3,0,0,'Données projet'!$E$14+1,1))</f>
        <v>493.19478874005267</v>
      </c>
      <c r="DU51" s="60">
        <f t="shared" si="44"/>
        <v>278.78337903007821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13.6</v>
      </c>
      <c r="EJ51" s="13">
        <f>IF('Données projet'!$A$192&gt;35,EJ50+EI51-ER50,IF(A51&lt;'Données projet'!$A$192,$EG$205^A51,IF(A51='Données projet'!$A$192,'Données projet'!$B$192,EJ50+EI51-ER50)))</f>
        <v>246.80000000000013</v>
      </c>
      <c r="EK51" s="18">
        <f>EJ51*VLOOKUP('Données projet'!$B$15,Paramètres!$A$1:$I$89,3,0)*VLOOKUP('Données projet'!$B$15,Paramètres!$A$1:$I$89,5,0)</f>
        <v>211.75440000000012</v>
      </c>
      <c r="EL51" s="14">
        <f t="shared" si="45"/>
        <v>52.318780408268793</v>
      </c>
      <c r="EM51" s="22">
        <f t="shared" si="19"/>
        <v>459.92745587773499</v>
      </c>
      <c r="EN51" s="60">
        <f t="shared" si="20"/>
        <v>716.73448134127295</v>
      </c>
      <c r="EO51" s="60">
        <f ca="1">AVERAGE(OFFSET($EN$3,0,0,'Données projet'!$E$15+1,1))-AVERAGE(OFFSET($H$3,0,0,'Données projet'!$E$15+1,1))</f>
        <v>698.30188737818639</v>
      </c>
      <c r="EP51" s="60">
        <f t="shared" si="46"/>
        <v>329.77977151358482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7.4</v>
      </c>
      <c r="FE51" s="13">
        <f>IF('Données projet'!$A$218&gt;35,FE50+FD51-FM50,IF(A51&lt;'Données projet'!$A$218,$FB$205^A51,IF(A51='Données projet'!$A$218,'Données projet'!$B$218,FE50+FD51-FM50)))</f>
        <v>220.20000000000007</v>
      </c>
      <c r="FF51" s="18">
        <f>FE51*VLOOKUP('Données projet'!$B$16,Paramètres!$A$1:$I$89,3,0)*VLOOKUP('Données projet'!$B$16,Paramètres!$A$1:$I$89,5,0)</f>
        <v>192.3667200000001</v>
      </c>
      <c r="FG51" s="14">
        <f t="shared" si="47"/>
        <v>48.062823450978136</v>
      </c>
      <c r="FH51" s="22">
        <f t="shared" si="22"/>
        <v>418.74812151045376</v>
      </c>
      <c r="FI51" s="60">
        <f t="shared" si="23"/>
        <v>675.55514697399167</v>
      </c>
      <c r="FJ51" s="60">
        <f ca="1">AVERAGE(OFFSET($FI$3,0,0,'Données projet'!$E$16+1,1))-AVERAGE(OFFSET($H$3,0,0,'Données projet'!$E$16+1,1))</f>
        <v>396.99335548279453</v>
      </c>
      <c r="FK51" s="60">
        <f t="shared" si="48"/>
        <v>388.89849573746335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60.038279671873994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4.6150000000000002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16.921666666666667</v>
      </c>
      <c r="H52" s="68">
        <f t="shared" si="1"/>
        <v>188.98000000000002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248</v>
      </c>
      <c r="O52" s="14">
        <f>N52*VLOOKUP('Données projet'!$B$9,Paramètres!$A$1:$I$89,3,0)*VLOOKUP('Données projet'!$B$9,Paramètres!$A$1:$I$89,5,0)</f>
        <v>224.3904</v>
      </c>
      <c r="P52" s="14">
        <f t="shared" si="33"/>
        <v>55.068017311015858</v>
      </c>
      <c r="Q52" s="22">
        <f t="shared" si="53"/>
        <v>486.72341015001922</v>
      </c>
      <c r="R52" s="60">
        <f t="shared" si="0"/>
        <v>744.16408539450731</v>
      </c>
      <c r="S52" s="60">
        <f ca="1">AVERAGE(OFFSET($R$3,0,0,'Données projet'!$E$9+1,1))-AVERAGE(OFFSET($H$3,0,0,'Données projet'!$E$9+1,1))</f>
        <v>550.53475891182575</v>
      </c>
      <c r="T52" s="60">
        <f t="shared" si="34"/>
        <v>350.2500324347194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678.53696736865459</v>
      </c>
      <c r="AN52" s="60">
        <f ca="1">AVERAGE(OFFSET($AM$3,0,0,'Données projet'!$E$10+1,1))-AVERAGE(OFFSET($H$3,0,0,'Données projet'!$E$10+1,1))</f>
        <v>513.16577009788818</v>
      </c>
      <c r="AO52" s="60">
        <f t="shared" si="36"/>
        <v>289.37159333739146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8.5399999999999974</v>
      </c>
      <c r="BD52" s="13">
        <f>IF('Données projet'!$A$88&gt;35,BD51+BC52-BL51,IF(A52&lt;'Données projet'!$A$88,$BA$205^A52,IF(A52='Données projet'!$A$88,'Données projet'!$B$88,BD51+BC52-BL51)))</f>
        <v>276.3599999999999</v>
      </c>
      <c r="BE52" s="14">
        <f>BD52*VLOOKUP('Données projet'!$B$11,Paramètres!$A$1:$I$89,3,0)*VLOOKUP('Données projet'!$B$11,Paramètres!$A$1:$I$89,5,0)</f>
        <v>202.62715199999994</v>
      </c>
      <c r="BF52" s="14">
        <f t="shared" si="37"/>
        <v>50.321096962872829</v>
      </c>
      <c r="BG52" s="22">
        <f t="shared" si="7"/>
        <v>440.55153361033672</v>
      </c>
      <c r="BH52" s="60">
        <f t="shared" si="8"/>
        <v>697.99220885482487</v>
      </c>
      <c r="BI52" s="60">
        <f ca="1">AVERAGE(OFFSET($BH$3,0,0,'Données projet'!$E$11+1,1))-AVERAGE(OFFSET($H$3,0,0,'Données projet'!$E$11+1,1))</f>
        <v>366.5170155168056</v>
      </c>
      <c r="BJ52" s="60">
        <f t="shared" si="38"/>
        <v>394.05057214541966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0" t="e">
        <f t="shared" si="11"/>
        <v>#NUM!</v>
      </c>
      <c r="CD52" s="60">
        <f ca="1">AVERAGE(OFFSET($CC$3,0,0,'Données projet'!$E$12+1,1))-AVERAGE(OFFSET($H$3,0,0,'Données projet'!$E$12+1,1))</f>
        <v>333.512642972663</v>
      </c>
      <c r="CE52" s="60">
        <f t="shared" si="40"/>
        <v>464.18634682168488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205.37711999999999</v>
      </c>
      <c r="CV52" s="14">
        <f t="shared" si="41"/>
        <v>50.924065093909938</v>
      </c>
      <c r="CW52" s="22">
        <f t="shared" si="13"/>
        <v>446.39123070522641</v>
      </c>
      <c r="CX52" s="60">
        <f t="shared" si="14"/>
        <v>703.83190594971461</v>
      </c>
      <c r="CY52" s="60">
        <f ca="1">AVERAGE(OFFSET($CX$3,0,0,'Données projet'!$E$13+1,1))-AVERAGE(OFFSET($H$3,0,0,'Données projet'!$E$13+1,1))</f>
        <v>539.76438066597848</v>
      </c>
      <c r="CZ52" s="60">
        <f t="shared" si="42"/>
        <v>303.47238367344937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184.54176000000001</v>
      </c>
      <c r="DQ52" s="14">
        <f t="shared" si="43"/>
        <v>46.33117397953523</v>
      </c>
      <c r="DR52" s="22">
        <f t="shared" si="16"/>
        <v>402.10369334769052</v>
      </c>
      <c r="DS52" s="60">
        <f t="shared" si="17"/>
        <v>659.54436859217867</v>
      </c>
      <c r="DT52" s="60">
        <f ca="1">AVERAGE(OFFSET($DS$3,0,0,'Données projet'!$E$14+1,1))-AVERAGE(OFFSET($H$3,0,0,'Données projet'!$E$14+1,1))</f>
        <v>493.19478874005267</v>
      </c>
      <c r="DU52" s="60">
        <f t="shared" si="44"/>
        <v>278.78337903007821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13.6</v>
      </c>
      <c r="EJ52" s="13">
        <f>IF('Données projet'!$A$192&gt;35,EJ51+EI52-ER51,IF(A52&lt;'Données projet'!$A$192,$EG$205^A52,IF(A52='Données projet'!$A$192,'Données projet'!$B$192,EJ51+EI52-ER51)))</f>
        <v>260.40000000000015</v>
      </c>
      <c r="EK52" s="18">
        <f>EJ52*VLOOKUP('Données projet'!$B$15,Paramètres!$A$1:$I$89,3,0)*VLOOKUP('Données projet'!$B$15,Paramètres!$A$1:$I$89,5,0)</f>
        <v>223.42320000000015</v>
      </c>
      <c r="EL52" s="14">
        <f t="shared" si="45"/>
        <v>54.858231422257631</v>
      </c>
      <c r="EM52" s="22">
        <f t="shared" si="19"/>
        <v>484.67349306043229</v>
      </c>
      <c r="EN52" s="60">
        <f t="shared" si="20"/>
        <v>742.11416830492044</v>
      </c>
      <c r="EO52" s="60">
        <f ca="1">AVERAGE(OFFSET($EN$3,0,0,'Données projet'!$E$15+1,1))-AVERAGE(OFFSET($H$3,0,0,'Données projet'!$E$15+1,1))</f>
        <v>698.30188737818639</v>
      </c>
      <c r="EP52" s="60">
        <f t="shared" si="46"/>
        <v>329.77977151358482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7.4</v>
      </c>
      <c r="FE52" s="13">
        <f>IF('Données projet'!$A$218&gt;35,FE51+FD52-FM51,IF(A52&lt;'Données projet'!$A$218,$FB$205^A52,IF(A52='Données projet'!$A$218,'Données projet'!$B$218,FE51+FD52-FM51)))</f>
        <v>227.60000000000008</v>
      </c>
      <c r="FF52" s="18">
        <f>FE52*VLOOKUP('Données projet'!$B$16,Paramètres!$A$1:$I$89,3,0)*VLOOKUP('Données projet'!$B$16,Paramètres!$A$1:$I$89,5,0)</f>
        <v>198.8313600000001</v>
      </c>
      <c r="FG52" s="14">
        <f t="shared" si="47"/>
        <v>49.48724849224233</v>
      </c>
      <c r="FH52" s="22">
        <f t="shared" si="22"/>
        <v>432.48824312398892</v>
      </c>
      <c r="FI52" s="60">
        <f t="shared" si="23"/>
        <v>689.92891836847707</v>
      </c>
      <c r="FJ52" s="60">
        <f ca="1">AVERAGE(OFFSET($FI$3,0,0,'Données projet'!$E$16+1,1))-AVERAGE(OFFSET($H$3,0,0,'Données projet'!$E$16+1,1))</f>
        <v>396.99335548279453</v>
      </c>
      <c r="FK52" s="60">
        <f t="shared" si="48"/>
        <v>388.89849573746335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60.211093248496766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4.6150000000000002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16.921666666666667</v>
      </c>
      <c r="H53" s="68">
        <f t="shared" si="1"/>
        <v>188.98000000000002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259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259</v>
      </c>
      <c r="O53" s="14">
        <f>N53*VLOOKUP('Données projet'!$B$9,Paramètres!$A$1:$I$89,3,0)*VLOOKUP('Données projet'!$B$9,Paramètres!$A$1:$I$89,5,0)</f>
        <v>234.3432</v>
      </c>
      <c r="P53" s="14">
        <f t="shared" si="33"/>
        <v>57.220758006491664</v>
      </c>
      <c r="Q53" s="22">
        <f t="shared" si="53"/>
        <v>507.80722686130622</v>
      </c>
      <c r="R53" s="60">
        <f t="shared" si="0"/>
        <v>765.87055947967383</v>
      </c>
      <c r="S53" s="60">
        <f ca="1">AVERAGE(OFFSET($R$3,0,0,'Données projet'!$E$9+1,1))-AVERAGE(OFFSET($H$3,0,0,'Données projet'!$E$9+1,1))</f>
        <v>550.53475891182575</v>
      </c>
      <c r="T53" s="60">
        <f t="shared" si="34"/>
        <v>350.2500324347194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56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696.82830668145232</v>
      </c>
      <c r="AN53" s="60">
        <f ca="1">AVERAGE(OFFSET($AM$3,0,0,'Données projet'!$E$10+1,1))-AVERAGE(OFFSET($H$3,0,0,'Données projet'!$E$10+1,1))</f>
        <v>513.16577009788818</v>
      </c>
      <c r="AO53" s="60">
        <f t="shared" si="36"/>
        <v>289.37159333739146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284.89999999999998</v>
      </c>
      <c r="BB53" s="13">
        <f>VLOOKUP(A53,'Données projet'!$A$87:$I$107,9,0)</f>
        <v>8.5399999999999974</v>
      </c>
      <c r="BC53" s="13">
        <f t="array" ref="BC53">INDEX(BB:BB,MIN(IF(ISNUMBER(BB53:BB249),ROW(BB53:BB249),"")))</f>
        <v>8.5399999999999974</v>
      </c>
      <c r="BD53" s="13">
        <f>IF('Données projet'!$A$88&gt;35,BD52+BC53-BL52,IF(A53&lt;'Données projet'!$A$88,$BA$205^A53,IF(A53='Données projet'!$A$88,'Données projet'!$B$88,BD52+BC53-BL52)))</f>
        <v>284.89999999999992</v>
      </c>
      <c r="BE53" s="14">
        <f>BD53*VLOOKUP('Données projet'!$B$11,Paramètres!$A$1:$I$89,3,0)*VLOOKUP('Données projet'!$B$11,Paramètres!$A$1:$I$89,5,0)</f>
        <v>208.88867999999994</v>
      </c>
      <c r="BF53" s="14">
        <f t="shared" si="37"/>
        <v>51.692659373318428</v>
      </c>
      <c r="BG53" s="22">
        <f t="shared" si="7"/>
        <v>453.84583274186275</v>
      </c>
      <c r="BH53" s="60">
        <f t="shared" si="8"/>
        <v>711.9091653602303</v>
      </c>
      <c r="BI53" s="60">
        <f ca="1">AVERAGE(OFFSET($BH$3,0,0,'Données projet'!$E$11+1,1))-AVERAGE(OFFSET($H$3,0,0,'Données projet'!$E$11+1,1))</f>
        <v>366.5170155168056</v>
      </c>
      <c r="BJ53" s="60">
        <f t="shared" si="38"/>
        <v>394.05057214541966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43.099999999999994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0" t="e">
        <f t="shared" si="11"/>
        <v>#NUM!</v>
      </c>
      <c r="CD53" s="60">
        <f ca="1">AVERAGE(OFFSET($CC$3,0,0,'Données projet'!$E$12+1,1))-AVERAGE(OFFSET($H$3,0,0,'Données projet'!$E$12+1,1))</f>
        <v>333.512642972663</v>
      </c>
      <c r="CE53" s="60">
        <f t="shared" si="40"/>
        <v>464.18634682168488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214.20360000000002</v>
      </c>
      <c r="CV53" s="14">
        <f t="shared" si="41"/>
        <v>52.853115789602029</v>
      </c>
      <c r="CW53" s="22">
        <f t="shared" si="13"/>
        <v>465.12378000022358</v>
      </c>
      <c r="CX53" s="60">
        <f t="shared" si="14"/>
        <v>723.18711261859107</v>
      </c>
      <c r="CY53" s="60">
        <f ca="1">AVERAGE(OFFSET($CX$3,0,0,'Données projet'!$E$13+1,1))-AVERAGE(OFFSET($H$3,0,0,'Données projet'!$E$13+1,1))</f>
        <v>539.76438066597848</v>
      </c>
      <c r="CZ53" s="60">
        <f t="shared" si="42"/>
        <v>303.47238367344937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192.47280000000001</v>
      </c>
      <c r="DQ53" s="14">
        <f t="shared" si="43"/>
        <v>48.086241710923829</v>
      </c>
      <c r="DR53" s="22">
        <f t="shared" si="16"/>
        <v>418.97366431319239</v>
      </c>
      <c r="DS53" s="60">
        <f t="shared" si="17"/>
        <v>677.03699693156</v>
      </c>
      <c r="DT53" s="60">
        <f ca="1">AVERAGE(OFFSET($DS$3,0,0,'Données projet'!$E$14+1,1))-AVERAGE(OFFSET($H$3,0,0,'Données projet'!$E$14+1,1))</f>
        <v>493.19478874005267</v>
      </c>
      <c r="DU53" s="60">
        <f t="shared" si="44"/>
        <v>278.78337903007821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274</v>
      </c>
      <c r="EH53" s="13">
        <f>VLOOKUP(A53,'Données projet'!$A$191:$I$211,9,0)</f>
        <v>13.6</v>
      </c>
      <c r="EI53" s="13">
        <f t="array" ref="EI53">INDEX(EH:EH,MIN(IF(ISNUMBER(EH53:EH249),ROW(EH53:EH249),"")))</f>
        <v>13.6</v>
      </c>
      <c r="EJ53" s="13">
        <f>IF('Données projet'!$A$192&gt;35,EJ52+EI53-ER52,IF(A53&lt;'Données projet'!$A$192,$EG$205^A53,IF(A53='Données projet'!$A$192,'Données projet'!$B$192,EJ52+EI53-ER52)))</f>
        <v>274.00000000000017</v>
      </c>
      <c r="EK53" s="18">
        <f>EJ53*VLOOKUP('Données projet'!$B$15,Paramètres!$A$1:$I$89,3,0)*VLOOKUP('Données projet'!$B$15,Paramètres!$A$1:$I$89,5,0)</f>
        <v>235.09200000000016</v>
      </c>
      <c r="EL53" s="14">
        <f t="shared" si="45"/>
        <v>57.38228388709345</v>
      </c>
      <c r="EM53" s="22">
        <f t="shared" si="19"/>
        <v>509.39271110335471</v>
      </c>
      <c r="EN53" s="60">
        <f t="shared" si="20"/>
        <v>767.45604372172227</v>
      </c>
      <c r="EO53" s="60">
        <f ca="1">AVERAGE(OFFSET($EN$3,0,0,'Données projet'!$E$15+1,1))-AVERAGE(OFFSET($H$3,0,0,'Données projet'!$E$15+1,1))</f>
        <v>698.30188737818639</v>
      </c>
      <c r="EP53" s="60">
        <f t="shared" si="46"/>
        <v>329.77977151358482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235</v>
      </c>
      <c r="FC53" s="13">
        <f>VLOOKUP(A53,'Données projet'!$A$217:$I$237,9,0)</f>
        <v>7.4</v>
      </c>
      <c r="FD53" s="13">
        <f t="array" ref="FD53">INDEX(FC:FC,MIN(IF(ISNUMBER(FC53:FC249),ROW(FC53:FC249),"")))</f>
        <v>7.4</v>
      </c>
      <c r="FE53" s="13">
        <f>IF('Données projet'!$A$218&gt;35,FE52+FD53-FM52,IF(A53&lt;'Données projet'!$A$218,$FB$205^A53,IF(A53='Données projet'!$A$218,'Données projet'!$B$218,FE52+FD53-FM52)))</f>
        <v>235.00000000000009</v>
      </c>
      <c r="FF53" s="18">
        <f>FE53*VLOOKUP('Données projet'!$B$16,Paramètres!$A$1:$I$89,3,0)*VLOOKUP('Données projet'!$B$16,Paramètres!$A$1:$I$89,5,0)</f>
        <v>205.29600000000008</v>
      </c>
      <c r="FG53" s="14">
        <f t="shared" si="47"/>
        <v>50.906291934375396</v>
      </c>
      <c r="FH53" s="22">
        <f t="shared" si="22"/>
        <v>446.21899178570385</v>
      </c>
      <c r="FI53" s="60">
        <f t="shared" si="23"/>
        <v>704.28232440407146</v>
      </c>
      <c r="FJ53" s="60">
        <f ca="1">AVERAGE(OFFSET($FI$3,0,0,'Données projet'!$E$16+1,1))-AVERAGE(OFFSET($H$3,0,0,'Données projet'!$E$16+1,1))</f>
        <v>396.99335548279453</v>
      </c>
      <c r="FK53" s="60">
        <f t="shared" si="48"/>
        <v>388.89849573746335</v>
      </c>
      <c r="FL53" s="16">
        <f>IF(ISNA(VLOOKUP(A53,'Données projet'!$A$217:$I$237,3,0)),0,VLOOKUP(A53,'Données projet'!$A$217:$I$237,3,0))</f>
        <v>4</v>
      </c>
      <c r="FM53" s="16">
        <f>IF(ISNA(VLOOKUP(A53,'Données projet'!$A$217:$I$237,4,0)),0,VLOOKUP(A53,'Données projet'!$A$217:$I$237,4,0))</f>
        <v>50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60.380908895918424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4.6150000000000002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16.921666666666667</v>
      </c>
      <c r="H54" s="68">
        <f t="shared" si="1"/>
        <v>188.98000000000002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</v>
      </c>
      <c r="O54" s="14">
        <f>N54*VLOOKUP('Données projet'!$B$9,Paramètres!$A$1:$I$89,3,0)*VLOOKUP('Données projet'!$B$9,Paramètres!$A$1:$I$89,5,0)</f>
        <v>192.90335999999999</v>
      </c>
      <c r="P54" s="14">
        <f t="shared" si="33"/>
        <v>48.181276881765257</v>
      </c>
      <c r="Q54" s="22">
        <f t="shared" si="53"/>
        <v>419.8890759024078</v>
      </c>
      <c r="R54" s="60">
        <f t="shared" si="0"/>
        <v>678.56426418127126</v>
      </c>
      <c r="S54" s="60">
        <f ca="1">AVERAGE(OFFSET($R$3,0,0,'Données projet'!$E$9+1,1))-AVERAGE(OFFSET($H$3,0,0,'Données projet'!$E$9+1,1))</f>
        <v>550.53475891182575</v>
      </c>
      <c r="T54" s="60">
        <f t="shared" si="34"/>
        <v>350.2500324347194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624.07162113678532</v>
      </c>
      <c r="AN54" s="60">
        <f ca="1">AVERAGE(OFFSET($AM$3,0,0,'Données projet'!$E$10+1,1))-AVERAGE(OFFSET($H$3,0,0,'Données projet'!$E$10+1,1))</f>
        <v>513.16577009788818</v>
      </c>
      <c r="AO54" s="60">
        <f t="shared" si="36"/>
        <v>289.37159333739146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7.3600000000000083</v>
      </c>
      <c r="BD54" s="13">
        <f>IF('Données projet'!$A$88&gt;35,BD53+BC54-BL53,IF(A54&lt;'Données projet'!$A$88,$BA$205^A54,IF(A54='Données projet'!$A$88,'Données projet'!$B$88,BD53+BC54-BL53)))</f>
        <v>249.15999999999994</v>
      </c>
      <c r="BE54" s="14">
        <f>BD54*VLOOKUP('Données projet'!$B$11,Paramètres!$A$1:$I$89,3,0)*VLOOKUP('Données projet'!$B$11,Paramètres!$A$1:$I$89,5,0)</f>
        <v>182.68411199999994</v>
      </c>
      <c r="BF54" s="14">
        <f t="shared" si="37"/>
        <v>45.91883623040173</v>
      </c>
      <c r="BG54" s="22">
        <f t="shared" si="7"/>
        <v>398.15013483461621</v>
      </c>
      <c r="BH54" s="60">
        <f t="shared" si="8"/>
        <v>656.82532311347973</v>
      </c>
      <c r="BI54" s="60">
        <f ca="1">AVERAGE(OFFSET($BH$3,0,0,'Données projet'!$E$11+1,1))-AVERAGE(OFFSET($H$3,0,0,'Données projet'!$E$11+1,1))</f>
        <v>366.5170155168056</v>
      </c>
      <c r="BJ54" s="60">
        <f t="shared" si="38"/>
        <v>394.05057214541966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0" t="e">
        <f t="shared" si="11"/>
        <v>#NUM!</v>
      </c>
      <c r="CD54" s="60">
        <f ca="1">AVERAGE(OFFSET($CC$3,0,0,'Données projet'!$E$12+1,1))-AVERAGE(OFFSET($H$3,0,0,'Données projet'!$E$12+1,1))</f>
        <v>333.512642972663</v>
      </c>
      <c r="CE54" s="60">
        <f t="shared" si="40"/>
        <v>464.18634682168488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177.60599999999999</v>
      </c>
      <c r="CV54" s="14">
        <f t="shared" si="41"/>
        <v>44.789150937858665</v>
      </c>
      <c r="CW54" s="22">
        <f t="shared" si="13"/>
        <v>387.33822121677048</v>
      </c>
      <c r="CX54" s="60">
        <f t="shared" si="14"/>
        <v>646.01340949563405</v>
      </c>
      <c r="CY54" s="60">
        <f ca="1">AVERAGE(OFFSET($CX$3,0,0,'Données projet'!$E$13+1,1))-AVERAGE(OFFSET($H$3,0,0,'Données projet'!$E$13+1,1))</f>
        <v>539.76438066597848</v>
      </c>
      <c r="CZ54" s="60">
        <f t="shared" si="42"/>
        <v>303.47238367344937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159.58799999999999</v>
      </c>
      <c r="DQ54" s="14">
        <f t="shared" si="43"/>
        <v>40.74957371668588</v>
      </c>
      <c r="DR54" s="22">
        <f t="shared" si="16"/>
        <v>348.92127422322784</v>
      </c>
      <c r="DS54" s="60">
        <f t="shared" si="17"/>
        <v>607.5964625020913</v>
      </c>
      <c r="DT54" s="60">
        <f ca="1">AVERAGE(OFFSET($DS$3,0,0,'Données projet'!$E$14+1,1))-AVERAGE(OFFSET($H$3,0,0,'Données projet'!$E$14+1,1))</f>
        <v>493.19478874005267</v>
      </c>
      <c r="DU54" s="60">
        <f t="shared" si="44"/>
        <v>278.78337903007821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13.4</v>
      </c>
      <c r="EJ54" s="13">
        <f>IF('Données projet'!$A$192&gt;35,EJ53+EI54-ER53,IF(A54&lt;'Données projet'!$A$192,$EG$205^A54,IF(A54='Données projet'!$A$192,'Données projet'!$B$192,EJ53+EI54-ER53)))</f>
        <v>287.40000000000015</v>
      </c>
      <c r="EK54" s="18">
        <f>EJ54*VLOOKUP('Données projet'!$B$15,Paramètres!$A$1:$I$89,3,0)*VLOOKUP('Données projet'!$B$15,Paramètres!$A$1:$I$89,5,0)</f>
        <v>246.58920000000018</v>
      </c>
      <c r="EL54" s="14">
        <f t="shared" si="45"/>
        <v>59.854986461295532</v>
      </c>
      <c r="EM54" s="22">
        <f t="shared" si="19"/>
        <v>533.72362475342334</v>
      </c>
      <c r="EN54" s="60">
        <f t="shared" si="20"/>
        <v>792.39881303228685</v>
      </c>
      <c r="EO54" s="60">
        <f ca="1">AVERAGE(OFFSET($EN$3,0,0,'Données projet'!$E$15+1,1))-AVERAGE(OFFSET($H$3,0,0,'Données projet'!$E$15+1,1))</f>
        <v>698.30188737818639</v>
      </c>
      <c r="EP54" s="60">
        <f t="shared" si="46"/>
        <v>329.77977151358482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6.6</v>
      </c>
      <c r="FE54" s="13">
        <f>IF('Données projet'!$A$218&gt;35,FE53+FD54-FM53,IF(A54&lt;'Données projet'!$A$218,$FB$205^A54,IF(A54='Données projet'!$A$218,'Données projet'!$B$218,FE53+FD54-FM53)))</f>
        <v>191.60000000000008</v>
      </c>
      <c r="FF54" s="18">
        <f>FE54*VLOOKUP('Données projet'!$B$16,Paramètres!$A$1:$I$89,3,0)*VLOOKUP('Données projet'!$B$16,Paramètres!$A$1:$I$89,5,0)</f>
        <v>167.38176000000007</v>
      </c>
      <c r="FG54" s="14">
        <f t="shared" si="47"/>
        <v>42.503096259839239</v>
      </c>
      <c r="FH54" s="22">
        <f t="shared" si="22"/>
        <v>365.5494579858867</v>
      </c>
      <c r="FI54" s="60">
        <f t="shared" si="23"/>
        <v>624.22464626475016</v>
      </c>
      <c r="FJ54" s="60">
        <f ca="1">AVERAGE(OFFSET($FI$3,0,0,'Données projet'!$E$16+1,1))-AVERAGE(OFFSET($H$3,0,0,'Données projet'!$E$16+1,1))</f>
        <v>396.99335548279453</v>
      </c>
      <c r="FK54" s="60">
        <f t="shared" si="48"/>
        <v>388.89849573746335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60.547778621508222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4.6150000000000002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16.921666666666667</v>
      </c>
      <c r="H55" s="68">
        <f t="shared" si="1"/>
        <v>188.98000000000002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223.39999999999998</v>
      </c>
      <c r="O55" s="14">
        <f>N55*VLOOKUP('Données projet'!$B$9,Paramètres!$A$1:$I$89,3,0)*VLOOKUP('Données projet'!$B$9,Paramètres!$A$1:$I$89,5,0)</f>
        <v>202.13231999999996</v>
      </c>
      <c r="P55" s="14">
        <f t="shared" si="33"/>
        <v>50.212497488959627</v>
      </c>
      <c r="Q55" s="22">
        <f t="shared" si="53"/>
        <v>439.50055712660463</v>
      </c>
      <c r="R55" s="60">
        <f t="shared" si="0"/>
        <v>698.77698673815883</v>
      </c>
      <c r="S55" s="60">
        <f ca="1">AVERAGE(OFFSET($R$3,0,0,'Données projet'!$E$9+1,1))-AVERAGE(OFFSET($H$3,0,0,'Données projet'!$E$9+1,1))</f>
        <v>550.53475891182575</v>
      </c>
      <c r="T55" s="60">
        <f t="shared" si="34"/>
        <v>350.2500324347194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641.9626460546516</v>
      </c>
      <c r="AN55" s="60">
        <f ca="1">AVERAGE(OFFSET($AM$3,0,0,'Données projet'!$E$10+1,1))-AVERAGE(OFFSET($H$3,0,0,'Données projet'!$E$10+1,1))</f>
        <v>513.16577009788818</v>
      </c>
      <c r="AO55" s="60">
        <f t="shared" si="36"/>
        <v>289.37159333739146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7.3600000000000083</v>
      </c>
      <c r="BD55" s="13">
        <f>IF('Données projet'!$A$88&gt;35,BD54+BC55-BL54,IF(A55&lt;'Données projet'!$A$88,$BA$205^A55,IF(A55='Données projet'!$A$88,'Données projet'!$B$88,BD54+BC55-BL54)))</f>
        <v>256.51999999999992</v>
      </c>
      <c r="BE55" s="14">
        <f>BD55*VLOOKUP('Données projet'!$B$11,Paramètres!$A$1:$I$89,3,0)*VLOOKUP('Données projet'!$B$11,Paramètres!$A$1:$I$89,5,0)</f>
        <v>188.08046399999995</v>
      </c>
      <c r="BF55" s="14">
        <f t="shared" si="37"/>
        <v>47.115320222436289</v>
      </c>
      <c r="BG55" s="22">
        <f t="shared" si="7"/>
        <v>409.63265752074312</v>
      </c>
      <c r="BH55" s="60">
        <f t="shared" si="8"/>
        <v>668.90908713229737</v>
      </c>
      <c r="BI55" s="60">
        <f ca="1">AVERAGE(OFFSET($BH$3,0,0,'Données projet'!$E$11+1,1))-AVERAGE(OFFSET($H$3,0,0,'Données projet'!$E$11+1,1))</f>
        <v>366.5170155168056</v>
      </c>
      <c r="BJ55" s="60">
        <f t="shared" si="38"/>
        <v>394.05057214541966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0" t="e">
        <f t="shared" si="11"/>
        <v>#NUM!</v>
      </c>
      <c r="CD55" s="60">
        <f ca="1">AVERAGE(OFFSET($CC$3,0,0,'Données projet'!$E$12+1,1))-AVERAGE(OFFSET($H$3,0,0,'Données projet'!$E$12+1,1))</f>
        <v>333.512642972663</v>
      </c>
      <c r="CE55" s="60">
        <f t="shared" si="40"/>
        <v>464.18634682168488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186.21719999999999</v>
      </c>
      <c r="CV55" s="14">
        <f t="shared" si="41"/>
        <v>46.702653149673253</v>
      </c>
      <c r="CW55" s="22">
        <f t="shared" si="13"/>
        <v>405.66874423568089</v>
      </c>
      <c r="CX55" s="60">
        <f t="shared" si="14"/>
        <v>664.94517384723508</v>
      </c>
      <c r="CY55" s="60">
        <f ca="1">AVERAGE(OFFSET($CX$3,0,0,'Données projet'!$E$13+1,1))-AVERAGE(OFFSET($H$3,0,0,'Données projet'!$E$13+1,1))</f>
        <v>539.76438066597848</v>
      </c>
      <c r="CZ55" s="60">
        <f t="shared" si="42"/>
        <v>303.47238367344937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167.32560000000001</v>
      </c>
      <c r="DQ55" s="14">
        <f t="shared" si="43"/>
        <v>42.490495297127609</v>
      </c>
      <c r="DR55" s="22">
        <f t="shared" si="16"/>
        <v>365.42969930916388</v>
      </c>
      <c r="DS55" s="60">
        <f t="shared" si="17"/>
        <v>624.70612892071813</v>
      </c>
      <c r="DT55" s="60">
        <f ca="1">AVERAGE(OFFSET($DS$3,0,0,'Données projet'!$E$14+1,1))-AVERAGE(OFFSET($H$3,0,0,'Données projet'!$E$14+1,1))</f>
        <v>493.19478874005267</v>
      </c>
      <c r="DU55" s="60">
        <f t="shared" si="44"/>
        <v>278.78337903007821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13.4</v>
      </c>
      <c r="EJ55" s="13">
        <f>IF('Données projet'!$A$192&gt;35,EJ54+EI55-ER54,IF(A55&lt;'Données projet'!$A$192,$EG$205^A55,IF(A55='Données projet'!$A$192,'Données projet'!$B$192,EJ54+EI55-ER54)))</f>
        <v>300.80000000000013</v>
      </c>
      <c r="EK55" s="18">
        <f>EJ55*VLOOKUP('Données projet'!$B$15,Paramètres!$A$1:$I$89,3,0)*VLOOKUP('Données projet'!$B$15,Paramètres!$A$1:$I$89,5,0)</f>
        <v>258.08640000000014</v>
      </c>
      <c r="EL55" s="14">
        <f t="shared" si="45"/>
        <v>62.314300560342502</v>
      </c>
      <c r="EM55" s="22">
        <f t="shared" si="19"/>
        <v>558.03122014259679</v>
      </c>
      <c r="EN55" s="60">
        <f t="shared" si="20"/>
        <v>817.30764975415104</v>
      </c>
      <c r="EO55" s="60">
        <f ca="1">AVERAGE(OFFSET($EN$3,0,0,'Données projet'!$E$15+1,1))-AVERAGE(OFFSET($H$3,0,0,'Données projet'!$E$15+1,1))</f>
        <v>698.30188737818639</v>
      </c>
      <c r="EP55" s="60">
        <f t="shared" si="46"/>
        <v>329.77977151358482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6.6</v>
      </c>
      <c r="FE55" s="13">
        <f>IF('Données projet'!$A$218&gt;35,FE54+FD55-FM54,IF(A55&lt;'Données projet'!$A$218,$FB$205^A55,IF(A55='Données projet'!$A$218,'Données projet'!$B$218,FE54+FD55-FM54)))</f>
        <v>198.20000000000007</v>
      </c>
      <c r="FF55" s="18">
        <f>FE55*VLOOKUP('Données projet'!$B$16,Paramètres!$A$1:$I$89,3,0)*VLOOKUP('Données projet'!$B$16,Paramètres!$A$1:$I$89,5,0)</f>
        <v>173.14752000000007</v>
      </c>
      <c r="FG55" s="14">
        <f t="shared" si="47"/>
        <v>43.794208927254068</v>
      </c>
      <c r="FH55" s="22">
        <f t="shared" si="22"/>
        <v>377.84017788163425</v>
      </c>
      <c r="FI55" s="60">
        <f t="shared" si="23"/>
        <v>637.11660749318844</v>
      </c>
      <c r="FJ55" s="60">
        <f ca="1">AVERAGE(OFFSET($FI$3,0,0,'Données projet'!$E$16+1,1))-AVERAGE(OFFSET($H$3,0,0,'Données projet'!$E$16+1,1))</f>
        <v>396.99335548279453</v>
      </c>
      <c r="FK55" s="60">
        <f t="shared" si="48"/>
        <v>388.89849573746335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60.711753530423856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4.6150000000000002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16.921666666666667</v>
      </c>
      <c r="H56" s="68">
        <f t="shared" si="1"/>
        <v>188.98000000000002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233.59999999999997</v>
      </c>
      <c r="O56" s="14">
        <f>N56*VLOOKUP('Données projet'!$B$9,Paramètres!$A$1:$I$89,3,0)*VLOOKUP('Données projet'!$B$9,Paramètres!$A$1:$I$89,5,0)</f>
        <v>211.36127999999997</v>
      </c>
      <c r="P56" s="14">
        <f t="shared" si="33"/>
        <v>52.232947669705631</v>
      </c>
      <c r="Q56" s="22">
        <f t="shared" si="53"/>
        <v>459.09327985807062</v>
      </c>
      <c r="R56" s="60">
        <f t="shared" si="0"/>
        <v>718.96052060936745</v>
      </c>
      <c r="S56" s="60">
        <f ca="1">AVERAGE(OFFSET($R$3,0,0,'Données projet'!$E$9+1,1))-AVERAGE(OFFSET($H$3,0,0,'Données projet'!$E$9+1,1))</f>
        <v>550.53475891182575</v>
      </c>
      <c r="T56" s="60">
        <f t="shared" si="34"/>
        <v>350.2500324347194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659.82626345629251</v>
      </c>
      <c r="AN56" s="60">
        <f ca="1">AVERAGE(OFFSET($AM$3,0,0,'Données projet'!$E$10+1,1))-AVERAGE(OFFSET($H$3,0,0,'Données projet'!$E$10+1,1))</f>
        <v>513.16577009788818</v>
      </c>
      <c r="AO56" s="60">
        <f t="shared" si="36"/>
        <v>289.37159333739146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7.3600000000000083</v>
      </c>
      <c r="BD56" s="13">
        <f>IF('Données projet'!$A$88&gt;35,BD55+BC56-BL55,IF(A56&lt;'Données projet'!$A$88,$BA$205^A56,IF(A56='Données projet'!$A$88,'Données projet'!$B$88,BD55+BC56-BL55)))</f>
        <v>263.87999999999994</v>
      </c>
      <c r="BE56" s="14">
        <f>BD56*VLOOKUP('Données projet'!$B$11,Paramètres!$A$1:$I$89,3,0)*VLOOKUP('Données projet'!$B$11,Paramètres!$A$1:$I$89,5,0)</f>
        <v>193.47681599999996</v>
      </c>
      <c r="BF56" s="14">
        <f t="shared" si="37"/>
        <v>48.307814384267459</v>
      </c>
      <c r="BG56" s="22">
        <f t="shared" si="7"/>
        <v>421.10823125259907</v>
      </c>
      <c r="BH56" s="60">
        <f t="shared" si="8"/>
        <v>680.9754720038959</v>
      </c>
      <c r="BI56" s="60">
        <f ca="1">AVERAGE(OFFSET($BH$3,0,0,'Données projet'!$E$11+1,1))-AVERAGE(OFFSET($H$3,0,0,'Données projet'!$E$11+1,1))</f>
        <v>366.5170155168056</v>
      </c>
      <c r="BJ56" s="60">
        <f t="shared" si="38"/>
        <v>394.05057214541966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0" t="e">
        <f t="shared" si="11"/>
        <v>#NUM!</v>
      </c>
      <c r="CD56" s="60">
        <f ca="1">AVERAGE(OFFSET($CC$3,0,0,'Données projet'!$E$12+1,1))-AVERAGE(OFFSET($H$3,0,0,'Données projet'!$E$12+1,1))</f>
        <v>333.512642972663</v>
      </c>
      <c r="CE56" s="60">
        <f t="shared" si="40"/>
        <v>464.18634682168488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194.82839999999999</v>
      </c>
      <c r="CV56" s="14">
        <f t="shared" si="41"/>
        <v>48.605879434898533</v>
      </c>
      <c r="CW56" s="22">
        <f t="shared" si="13"/>
        <v>423.98137001578152</v>
      </c>
      <c r="CX56" s="60">
        <f t="shared" si="14"/>
        <v>683.8486107670783</v>
      </c>
      <c r="CY56" s="60">
        <f ca="1">AVERAGE(OFFSET($CX$3,0,0,'Données projet'!$E$13+1,1))-AVERAGE(OFFSET($H$3,0,0,'Données projet'!$E$13+1,1))</f>
        <v>539.76438066597848</v>
      </c>
      <c r="CZ56" s="60">
        <f t="shared" si="42"/>
        <v>303.47238367344937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175.06319999999999</v>
      </c>
      <c r="DQ56" s="14">
        <f t="shared" si="43"/>
        <v>44.22206774682472</v>
      </c>
      <c r="DR56" s="22">
        <f t="shared" si="16"/>
        <v>381.9218413257197</v>
      </c>
      <c r="DS56" s="60">
        <f t="shared" si="17"/>
        <v>641.78908207701647</v>
      </c>
      <c r="DT56" s="60">
        <f ca="1">AVERAGE(OFFSET($DS$3,0,0,'Données projet'!$E$14+1,1))-AVERAGE(OFFSET($H$3,0,0,'Données projet'!$E$14+1,1))</f>
        <v>493.19478874005267</v>
      </c>
      <c r="DU56" s="60">
        <f t="shared" si="44"/>
        <v>278.78337903007821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13.4</v>
      </c>
      <c r="EJ56" s="13">
        <f>IF('Données projet'!$A$192&gt;35,EJ55+EI56-ER55,IF(A56&lt;'Données projet'!$A$192,$EG$205^A56,IF(A56='Données projet'!$A$192,'Données projet'!$B$192,EJ55+EI56-ER55)))</f>
        <v>314.2000000000001</v>
      </c>
      <c r="EK56" s="18">
        <f>EJ56*VLOOKUP('Données projet'!$B$15,Paramètres!$A$1:$I$89,3,0)*VLOOKUP('Données projet'!$B$15,Paramètres!$A$1:$I$89,5,0)</f>
        <v>269.5836000000001</v>
      </c>
      <c r="EL56" s="14">
        <f t="shared" si="45"/>
        <v>64.760890762143589</v>
      </c>
      <c r="EM56" s="22">
        <f t="shared" si="19"/>
        <v>582.31665474406691</v>
      </c>
      <c r="EN56" s="60">
        <f t="shared" si="20"/>
        <v>842.18389549536369</v>
      </c>
      <c r="EO56" s="60">
        <f ca="1">AVERAGE(OFFSET($EN$3,0,0,'Données projet'!$E$15+1,1))-AVERAGE(OFFSET($H$3,0,0,'Données projet'!$E$15+1,1))</f>
        <v>698.30188737818639</v>
      </c>
      <c r="EP56" s="60">
        <f t="shared" si="46"/>
        <v>329.77977151358482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6.6</v>
      </c>
      <c r="FE56" s="13">
        <f>IF('Données projet'!$A$218&gt;35,FE55+FD56-FM55,IF(A56&lt;'Données projet'!$A$218,$FB$205^A56,IF(A56='Données projet'!$A$218,'Données projet'!$B$218,FE55+FD56-FM55)))</f>
        <v>204.80000000000007</v>
      </c>
      <c r="FF56" s="18">
        <f>FE56*VLOOKUP('Données projet'!$B$16,Paramètres!$A$1:$I$89,3,0)*VLOOKUP('Données projet'!$B$16,Paramètres!$A$1:$I$89,5,0)</f>
        <v>178.91328000000007</v>
      </c>
      <c r="FG56" s="14">
        <f t="shared" si="47"/>
        <v>45.080325843494848</v>
      </c>
      <c r="FH56" s="22">
        <f t="shared" si="22"/>
        <v>390.122196844087</v>
      </c>
      <c r="FI56" s="60">
        <f t="shared" si="23"/>
        <v>649.98943759538383</v>
      </c>
      <c r="FJ56" s="60">
        <f ca="1">AVERAGE(OFFSET($FI$3,0,0,'Données projet'!$E$16+1,1))-AVERAGE(OFFSET($H$3,0,0,'Données projet'!$E$16+1,1))</f>
        <v>396.99335548279453</v>
      </c>
      <c r="FK56" s="60">
        <f t="shared" si="48"/>
        <v>388.89849573746335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60.872883841262777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4.6150000000000002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16.921666666666667</v>
      </c>
      <c r="H57" s="68">
        <f t="shared" si="1"/>
        <v>188.98000000000002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243.79999999999995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0">
        <f t="shared" si="0"/>
        <v>739.11595942638223</v>
      </c>
      <c r="S57" s="60">
        <f ca="1">AVERAGE(OFFSET($R$3,0,0,'Données projet'!$E$9+1,1))-AVERAGE(OFFSET($H$3,0,0,'Données projet'!$E$9+1,1))</f>
        <v>550.53475891182575</v>
      </c>
      <c r="T57" s="60">
        <f t="shared" si="34"/>
        <v>350.2500324347194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677.66349040997056</v>
      </c>
      <c r="AN57" s="60">
        <f ca="1">AVERAGE(OFFSET($AM$3,0,0,'Données projet'!$E$10+1,1))-AVERAGE(OFFSET($H$3,0,0,'Données projet'!$E$10+1,1))</f>
        <v>513.16577009788818</v>
      </c>
      <c r="AO57" s="60">
        <f t="shared" si="36"/>
        <v>289.37159333739146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7.3600000000000083</v>
      </c>
      <c r="BD57" s="13">
        <f>IF('Données projet'!$A$88&gt;35,BD56+BC57-BL56,IF(A57&lt;'Données projet'!$A$88,$BA$205^A57,IF(A57='Données projet'!$A$88,'Données projet'!$B$88,BD56+BC57-BL56)))</f>
        <v>271.23999999999995</v>
      </c>
      <c r="BE57" s="14">
        <f>BD57*VLOOKUP('Données projet'!$B$11,Paramètres!$A$1:$I$89,3,0)*VLOOKUP('Données projet'!$B$11,Paramètres!$A$1:$I$89,5,0)</f>
        <v>198.87316799999996</v>
      </c>
      <c r="BF57" s="14">
        <f t="shared" si="37"/>
        <v>49.496442782493347</v>
      </c>
      <c r="BG57" s="22">
        <f t="shared" si="7"/>
        <v>432.57707211284247</v>
      </c>
      <c r="BH57" s="60">
        <f t="shared" si="8"/>
        <v>693.02487475146336</v>
      </c>
      <c r="BI57" s="60">
        <f ca="1">AVERAGE(OFFSET($BH$3,0,0,'Données projet'!$E$11+1,1))-AVERAGE(OFFSET($H$3,0,0,'Données projet'!$E$11+1,1))</f>
        <v>366.5170155168056</v>
      </c>
      <c r="BJ57" s="60">
        <f t="shared" si="38"/>
        <v>394.05057214541966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0" t="e">
        <f t="shared" si="11"/>
        <v>#NUM!</v>
      </c>
      <c r="CD57" s="60">
        <f ca="1">AVERAGE(OFFSET($CC$3,0,0,'Données projet'!$E$12+1,1))-AVERAGE(OFFSET($H$3,0,0,'Données projet'!$E$12+1,1))</f>
        <v>333.512642972663</v>
      </c>
      <c r="CE57" s="60">
        <f t="shared" si="40"/>
        <v>464.18634682168488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203.43960000000001</v>
      </c>
      <c r="CV57" s="14">
        <f t="shared" si="41"/>
        <v>50.499335879627459</v>
      </c>
      <c r="CW57" s="22">
        <f t="shared" si="13"/>
        <v>442.27697999035109</v>
      </c>
      <c r="CX57" s="60">
        <f t="shared" si="14"/>
        <v>702.72478262897198</v>
      </c>
      <c r="CY57" s="60">
        <f ca="1">AVERAGE(OFFSET($CX$3,0,0,'Données projet'!$E$13+1,1))-AVERAGE(OFFSET($H$3,0,0,'Données projet'!$E$13+1,1))</f>
        <v>539.76438066597848</v>
      </c>
      <c r="CZ57" s="60">
        <f t="shared" si="42"/>
        <v>303.47238367344937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182.80079999999998</v>
      </c>
      <c r="DQ57" s="14">
        <f t="shared" si="43"/>
        <v>45.944751507471658</v>
      </c>
      <c r="DR57" s="22">
        <f t="shared" si="16"/>
        <v>398.39850220884642</v>
      </c>
      <c r="DS57" s="60">
        <f t="shared" si="17"/>
        <v>658.84630484746731</v>
      </c>
      <c r="DT57" s="60">
        <f ca="1">AVERAGE(OFFSET($DS$3,0,0,'Données projet'!$E$14+1,1))-AVERAGE(OFFSET($H$3,0,0,'Données projet'!$E$14+1,1))</f>
        <v>493.19478874005267</v>
      </c>
      <c r="DU57" s="60">
        <f t="shared" si="44"/>
        <v>278.78337903007821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13.4</v>
      </c>
      <c r="EJ57" s="13">
        <f>IF('Données projet'!$A$192&gt;35,EJ56+EI57-ER56,IF(A57&lt;'Données projet'!$A$192,$EG$205^A57,IF(A57='Données projet'!$A$192,'Données projet'!$B$192,EJ56+EI57-ER56)))</f>
        <v>327.60000000000008</v>
      </c>
      <c r="EK57" s="18">
        <f>EJ57*VLOOKUP('Données projet'!$B$15,Paramètres!$A$1:$I$89,3,0)*VLOOKUP('Données projet'!$B$15,Paramètres!$A$1:$I$89,5,0)</f>
        <v>281.08080000000012</v>
      </c>
      <c r="EL57" s="14">
        <f t="shared" si="45"/>
        <v>67.195361752546177</v>
      </c>
      <c r="EM57" s="22">
        <f t="shared" si="19"/>
        <v>606.58098171901804</v>
      </c>
      <c r="EN57" s="60">
        <f t="shared" si="20"/>
        <v>867.02878435763887</v>
      </c>
      <c r="EO57" s="60">
        <f ca="1">AVERAGE(OFFSET($EN$3,0,0,'Données projet'!$E$15+1,1))-AVERAGE(OFFSET($H$3,0,0,'Données projet'!$E$15+1,1))</f>
        <v>698.30188737818639</v>
      </c>
      <c r="EP57" s="60">
        <f t="shared" si="46"/>
        <v>329.77977151358482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6.6</v>
      </c>
      <c r="FE57" s="13">
        <f>IF('Données projet'!$A$218&gt;35,FE56+FD57-FM56,IF(A57&lt;'Données projet'!$A$218,$FB$205^A57,IF(A57='Données projet'!$A$218,'Données projet'!$B$218,FE56+FD57-FM56)))</f>
        <v>211.40000000000006</v>
      </c>
      <c r="FF57" s="18">
        <f>FE57*VLOOKUP('Données projet'!$B$16,Paramètres!$A$1:$I$89,3,0)*VLOOKUP('Données projet'!$B$16,Paramètres!$A$1:$I$89,5,0)</f>
        <v>184.67904000000007</v>
      </c>
      <c r="FG57" s="14">
        <f t="shared" si="47"/>
        <v>46.361626470742223</v>
      </c>
      <c r="FH57" s="22">
        <f t="shared" si="22"/>
        <v>402.39582743654279</v>
      </c>
      <c r="FI57" s="60">
        <f t="shared" si="23"/>
        <v>662.84363007516367</v>
      </c>
      <c r="FJ57" s="60">
        <f ca="1">AVERAGE(OFFSET($FI$3,0,0,'Données projet'!$E$16+1,1))-AVERAGE(OFFSET($H$3,0,0,'Données projet'!$E$16+1,1))</f>
        <v>396.99335548279453</v>
      </c>
      <c r="FK57" s="60">
        <f t="shared" si="48"/>
        <v>388.89849573746335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61.031218901442053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4.6150000000000002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16.921666666666667</v>
      </c>
      <c r="H58" s="68">
        <f t="shared" si="1"/>
        <v>188.98000000000002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253.99999999999994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0">
        <f t="shared" si="0"/>
        <v>759.24431299174807</v>
      </c>
      <c r="S58" s="60">
        <f ca="1">AVERAGE(OFFSET($R$3,0,0,'Données projet'!$E$9+1,1))-AVERAGE(OFFSET($H$3,0,0,'Données projet'!$E$9+1,1))</f>
        <v>550.53475891182575</v>
      </c>
      <c r="T58" s="60">
        <f t="shared" si="34"/>
        <v>350.2500324347194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695.47526605780411</v>
      </c>
      <c r="AN58" s="60">
        <f ca="1">AVERAGE(OFFSET($AM$3,0,0,'Données projet'!$E$10+1,1))-AVERAGE(OFFSET($H$3,0,0,'Données projet'!$E$10+1,1))</f>
        <v>513.16577009788818</v>
      </c>
      <c r="AO58" s="60">
        <f t="shared" si="36"/>
        <v>289.37159333739146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278.60000000000002</v>
      </c>
      <c r="BB58" s="13">
        <f>VLOOKUP(A58,'Données projet'!$A$87:$I$107,9,0)</f>
        <v>7.3600000000000083</v>
      </c>
      <c r="BC58" s="13">
        <f t="array" ref="BC58">INDEX(BB:BB,MIN(IF(ISNUMBER(BB58:BB254),ROW(BB58:BB254),"")))</f>
        <v>7.3600000000000083</v>
      </c>
      <c r="BD58" s="13">
        <f>IF('Données projet'!$A$88&gt;35,BD57+BC58-BL57,IF(A58&lt;'Données projet'!$A$88,$BA$205^A58,IF(A58='Données projet'!$A$88,'Données projet'!$B$88,BD57+BC58-BL57)))</f>
        <v>278.59999999999997</v>
      </c>
      <c r="BE58" s="14">
        <f>BD58*VLOOKUP('Données projet'!$B$11,Paramètres!$A$1:$I$89,3,0)*VLOOKUP('Données projet'!$B$11,Paramètres!$A$1:$I$89,5,0)</f>
        <v>204.26951999999997</v>
      </c>
      <c r="BF58" s="14">
        <f t="shared" si="37"/>
        <v>50.681322367447613</v>
      </c>
      <c r="BG58" s="22">
        <f t="shared" si="7"/>
        <v>444.03938378997123</v>
      </c>
      <c r="BH58" s="60">
        <f t="shared" si="8"/>
        <v>705.05767686511297</v>
      </c>
      <c r="BI58" s="60">
        <f ca="1">AVERAGE(OFFSET($BH$3,0,0,'Données projet'!$E$11+1,1))-AVERAGE(OFFSET($H$3,0,0,'Données projet'!$E$11+1,1))</f>
        <v>366.5170155168056</v>
      </c>
      <c r="BJ58" s="60">
        <f t="shared" si="38"/>
        <v>394.05057214541966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0" t="e">
        <f t="shared" si="11"/>
        <v>#NUM!</v>
      </c>
      <c r="CD58" s="60">
        <f ca="1">AVERAGE(OFFSET($CC$3,0,0,'Données projet'!$E$12+1,1))-AVERAGE(OFFSET($H$3,0,0,'Données projet'!$E$12+1,1))</f>
        <v>333.512642972663</v>
      </c>
      <c r="CE58" s="60">
        <f t="shared" si="40"/>
        <v>464.18634682168488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212.05079999999998</v>
      </c>
      <c r="CV58" s="14">
        <f t="shared" si="41"/>
        <v>52.383483303212302</v>
      </c>
      <c r="CW58" s="22">
        <f t="shared" si="13"/>
        <v>460.55637675309475</v>
      </c>
      <c r="CX58" s="60">
        <f t="shared" si="14"/>
        <v>721.57466982823644</v>
      </c>
      <c r="CY58" s="60">
        <f ca="1">AVERAGE(OFFSET($CX$3,0,0,'Données projet'!$E$13+1,1))-AVERAGE(OFFSET($H$3,0,0,'Données projet'!$E$13+1,1))</f>
        <v>539.76438066597848</v>
      </c>
      <c r="CZ58" s="60">
        <f t="shared" si="42"/>
        <v>303.47238367344937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190.5384</v>
      </c>
      <c r="DQ58" s="14">
        <f t="shared" si="43"/>
        <v>47.658965836673829</v>
      </c>
      <c r="DR58" s="22">
        <f t="shared" si="16"/>
        <v>414.86041216554025</v>
      </c>
      <c r="DS58" s="60">
        <f t="shared" si="17"/>
        <v>675.87870524068194</v>
      </c>
      <c r="DT58" s="60">
        <f ca="1">AVERAGE(OFFSET($DS$3,0,0,'Données projet'!$E$14+1,1))-AVERAGE(OFFSET($H$3,0,0,'Données projet'!$E$14+1,1))</f>
        <v>493.19478874005267</v>
      </c>
      <c r="DU58" s="60">
        <f t="shared" si="44"/>
        <v>278.78337903007821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341</v>
      </c>
      <c r="EH58" s="13">
        <f>VLOOKUP(A58,'Données projet'!$A$191:$I$211,9,0)</f>
        <v>13.4</v>
      </c>
      <c r="EI58" s="13">
        <f t="array" ref="EI58">INDEX(EH:EH,MIN(IF(ISNUMBER(EH58:EH254),ROW(EH58:EH254),"")))</f>
        <v>13.4</v>
      </c>
      <c r="EJ58" s="13">
        <f>IF('Données projet'!$A$192&gt;35,EJ57+EI58-ER57,IF(A58&lt;'Données projet'!$A$192,$EG$205^A58,IF(A58='Données projet'!$A$192,'Données projet'!$B$192,EJ57+EI58-ER57)))</f>
        <v>341.00000000000006</v>
      </c>
      <c r="EK58" s="18">
        <f>EJ58*VLOOKUP('Données projet'!$B$15,Paramètres!$A$1:$I$89,3,0)*VLOOKUP('Données projet'!$B$15,Paramètres!$A$1:$I$89,5,0)</f>
        <v>292.57800000000009</v>
      </c>
      <c r="EL58" s="14">
        <f t="shared" si="45"/>
        <v>69.618265950541101</v>
      </c>
      <c r="EM58" s="22">
        <f t="shared" si="19"/>
        <v>630.82516319719264</v>
      </c>
      <c r="EN58" s="60">
        <f t="shared" si="20"/>
        <v>891.84345627233438</v>
      </c>
      <c r="EO58" s="60">
        <f ca="1">AVERAGE(OFFSET($EN$3,0,0,'Données projet'!$E$15+1,1))-AVERAGE(OFFSET($H$3,0,0,'Données projet'!$E$15+1,1))</f>
        <v>698.30188737818639</v>
      </c>
      <c r="EP58" s="60">
        <f t="shared" si="46"/>
        <v>329.77977151358482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70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218</v>
      </c>
      <c r="FC58" s="13">
        <f>VLOOKUP(A58,'Données projet'!$A$217:$I$237,9,0)</f>
        <v>6.6</v>
      </c>
      <c r="FD58" s="13">
        <f t="array" ref="FD58">INDEX(FC:FC,MIN(IF(ISNUMBER(FC58:FC254),ROW(FC58:FC254),"")))</f>
        <v>6.6</v>
      </c>
      <c r="FE58" s="13">
        <f>IF('Données projet'!$A$218&gt;35,FE57+FD58-FM57,IF(A58&lt;'Données projet'!$A$218,$FB$205^A58,IF(A58='Données projet'!$A$218,'Données projet'!$B$218,FE57+FD58-FM57)))</f>
        <v>218.00000000000006</v>
      </c>
      <c r="FF58" s="18">
        <f>FE58*VLOOKUP('Données projet'!$B$16,Paramètres!$A$1:$I$89,3,0)*VLOOKUP('Données projet'!$B$16,Paramètres!$A$1:$I$89,5,0)</f>
        <v>190.44480000000007</v>
      </c>
      <c r="FG58" s="14">
        <f t="shared" si="47"/>
        <v>47.638278428909231</v>
      </c>
      <c r="FH58" s="22">
        <f t="shared" si="22"/>
        <v>414.66136159701699</v>
      </c>
      <c r="FI58" s="60">
        <f t="shared" si="23"/>
        <v>675.67965467215868</v>
      </c>
      <c r="FJ58" s="60">
        <f ca="1">AVERAGE(OFFSET($FI$3,0,0,'Données projet'!$E$16+1,1))-AVERAGE(OFFSET($H$3,0,0,'Données projet'!$E$16+1,1))</f>
        <v>396.99335548279453</v>
      </c>
      <c r="FK58" s="60">
        <f t="shared" si="48"/>
        <v>388.89849573746335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61.186807202311385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4.6150000000000002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16.921666666666667</v>
      </c>
      <c r="H59" s="68">
        <f t="shared" si="1"/>
        <v>188.98000000000002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263.39999999999992</v>
      </c>
      <c r="O59" s="14">
        <f>N59*VLOOKUP('Données projet'!$B$9,Paramètres!$A$1:$I$89,3,0)*VLOOKUP('Données projet'!$B$9,Paramètres!$A$1:$I$89,5,0)</f>
        <v>238.32431999999991</v>
      </c>
      <c r="P59" s="14">
        <f t="shared" si="33"/>
        <v>58.078852882738758</v>
      </c>
      <c r="Q59" s="22">
        <f t="shared" si="53"/>
        <v>516.23552610410309</v>
      </c>
      <c r="R59" s="60">
        <f t="shared" si="0"/>
        <v>777.81441288211761</v>
      </c>
      <c r="S59" s="60">
        <f ca="1">AVERAGE(OFFSET($R$3,0,0,'Données projet'!$E$9+1,1))-AVERAGE(OFFSET($H$3,0,0,'Données projet'!$E$9+1,1))</f>
        <v>550.53475891182575</v>
      </c>
      <c r="T59" s="60">
        <f t="shared" si="34"/>
        <v>350.2500324347194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712.40146972238063</v>
      </c>
      <c r="AN59" s="60">
        <f ca="1">AVERAGE(OFFSET($AM$3,0,0,'Données projet'!$E$10+1,1))-AVERAGE(OFFSET($H$3,0,0,'Données projet'!$E$10+1,1))</f>
        <v>513.16577009788818</v>
      </c>
      <c r="AO59" s="60">
        <f t="shared" si="36"/>
        <v>289.37159333739146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6.2799999999999958</v>
      </c>
      <c r="BD59" s="13">
        <f>IF('Données projet'!$A$88&gt;35,BD58+BC59-BL58,IF(A59&lt;'Données projet'!$A$88,$BA$205^A59,IF(A59='Données projet'!$A$88,'Données projet'!$B$88,BD58+BC59-BL58)))</f>
        <v>284.87999999999994</v>
      </c>
      <c r="BE59" s="14">
        <f>BD59*VLOOKUP('Données projet'!$B$11,Paramètres!$A$1:$I$89,3,0)*VLOOKUP('Données projet'!$B$11,Paramètres!$A$1:$I$89,5,0)</f>
        <v>208.87401599999995</v>
      </c>
      <c r="BF59" s="14">
        <f t="shared" si="37"/>
        <v>51.689452927517024</v>
      </c>
      <c r="BG59" s="22">
        <f t="shared" si="7"/>
        <v>453.81470838209202</v>
      </c>
      <c r="BH59" s="60">
        <f t="shared" si="8"/>
        <v>715.39359516010654</v>
      </c>
      <c r="BI59" s="60">
        <f ca="1">AVERAGE(OFFSET($BH$3,0,0,'Données projet'!$E$11+1,1))-AVERAGE(OFFSET($H$3,0,0,'Données projet'!$E$11+1,1))</f>
        <v>366.5170155168056</v>
      </c>
      <c r="BJ59" s="60">
        <f t="shared" si="38"/>
        <v>394.05057214541966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0" t="e">
        <f t="shared" si="11"/>
        <v>#NUM!</v>
      </c>
      <c r="CD59" s="60">
        <f ca="1">AVERAGE(OFFSET($CC$3,0,0,'Données projet'!$E$12+1,1))-AVERAGE(OFFSET($H$3,0,0,'Données projet'!$E$12+1,1))</f>
        <v>333.512642972663</v>
      </c>
      <c r="CE59" s="60">
        <f t="shared" si="40"/>
        <v>464.18634682168488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220.23143999999996</v>
      </c>
      <c r="CV59" s="14">
        <f t="shared" si="41"/>
        <v>54.165184982469711</v>
      </c>
      <c r="CW59" s="22">
        <f t="shared" si="13"/>
        <v>477.9074551778013</v>
      </c>
      <c r="CX59" s="60">
        <f t="shared" si="14"/>
        <v>739.48634195581576</v>
      </c>
      <c r="CY59" s="60">
        <f ca="1">AVERAGE(OFFSET($CX$3,0,0,'Données projet'!$E$13+1,1))-AVERAGE(OFFSET($H$3,0,0,'Données projet'!$E$13+1,1))</f>
        <v>539.76438066597848</v>
      </c>
      <c r="CZ59" s="60">
        <f t="shared" si="42"/>
        <v>303.47238367344937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197.88911999999999</v>
      </c>
      <c r="DQ59" s="14">
        <f t="shared" si="43"/>
        <v>49.279974103179534</v>
      </c>
      <c r="DR59" s="22">
        <f t="shared" si="16"/>
        <v>430.48617222970438</v>
      </c>
      <c r="DS59" s="60">
        <f t="shared" si="17"/>
        <v>692.0650590077189</v>
      </c>
      <c r="DT59" s="60">
        <f ca="1">AVERAGE(OFFSET($DS$3,0,0,'Données projet'!$E$14+1,1))-AVERAGE(OFFSET($H$3,0,0,'Données projet'!$E$14+1,1))</f>
        <v>493.19478874005267</v>
      </c>
      <c r="DU59" s="60">
        <f t="shared" si="44"/>
        <v>278.78337903007821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13</v>
      </c>
      <c r="EJ59" s="13">
        <f>IF('Données projet'!$A$192&gt;35,EJ58+EI59-ER58,IF(A59&lt;'Données projet'!$A$192,$EG$205^A59,IF(A59='Données projet'!$A$192,'Données projet'!$B$192,EJ58+EI59-ER58)))</f>
        <v>284.00000000000006</v>
      </c>
      <c r="EK59" s="18">
        <f>EJ59*VLOOKUP('Données projet'!$B$15,Paramètres!$A$1:$I$89,3,0)*VLOOKUP('Données projet'!$B$15,Paramètres!$A$1:$I$89,5,0)</f>
        <v>243.67200000000008</v>
      </c>
      <c r="EL59" s="14">
        <f t="shared" si="45"/>
        <v>59.228879636606202</v>
      </c>
      <c r="EM59" s="22">
        <f t="shared" si="19"/>
        <v>527.55236536708924</v>
      </c>
      <c r="EN59" s="60">
        <f t="shared" si="20"/>
        <v>789.13125214510376</v>
      </c>
      <c r="EO59" s="60">
        <f ca="1">AVERAGE(OFFSET($EN$3,0,0,'Données projet'!$E$15+1,1))-AVERAGE(OFFSET($H$3,0,0,'Données projet'!$E$15+1,1))</f>
        <v>698.30188737818639</v>
      </c>
      <c r="EP59" s="60">
        <f t="shared" si="46"/>
        <v>329.77977151358482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6</v>
      </c>
      <c r="FE59" s="13">
        <f>IF('Données projet'!$A$218&gt;35,FE58+FD59-FM58,IF(A59&lt;'Données projet'!$A$218,$FB$205^A59,IF(A59='Données projet'!$A$218,'Données projet'!$B$218,FE58+FD59-FM58)))</f>
        <v>224.00000000000006</v>
      </c>
      <c r="FF59" s="18">
        <f>FE59*VLOOKUP('Données projet'!$B$16,Paramètres!$A$1:$I$89,3,0)*VLOOKUP('Données projet'!$B$16,Paramètres!$A$1:$I$89,5,0)</f>
        <v>195.68640000000008</v>
      </c>
      <c r="FG59" s="14">
        <f t="shared" si="47"/>
        <v>48.794969360985156</v>
      </c>
      <c r="FH59" s="22">
        <f t="shared" si="22"/>
        <v>425.8050516370493</v>
      </c>
      <c r="FI59" s="60">
        <f t="shared" si="23"/>
        <v>687.38393841506377</v>
      </c>
      <c r="FJ59" s="60">
        <f ca="1">AVERAGE(OFFSET($FI$3,0,0,'Données projet'!$E$16+1,1))-AVERAGE(OFFSET($H$3,0,0,'Données projet'!$E$16+1,1))</f>
        <v>396.99335548279453</v>
      </c>
      <c r="FK59" s="60">
        <f t="shared" si="48"/>
        <v>388.89849573746335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61.339696394003958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4.6150000000000002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16.921666666666667</v>
      </c>
      <c r="H60" s="68">
        <f t="shared" si="1"/>
        <v>188.98000000000002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272.7999999999999</v>
      </c>
      <c r="O60" s="14">
        <f>N60*VLOOKUP('Données projet'!$B$9,Paramètres!$A$1:$I$89,3,0)*VLOOKUP('Données projet'!$B$9,Paramètres!$A$1:$I$89,5,0)</f>
        <v>246.82943999999989</v>
      </c>
      <c r="P60" s="14">
        <f t="shared" si="33"/>
        <v>59.906509645447436</v>
      </c>
      <c r="Q60" s="22">
        <f t="shared" si="53"/>
        <v>534.23177896582058</v>
      </c>
      <c r="R60" s="60">
        <f t="shared" si="0"/>
        <v>796.36153439926284</v>
      </c>
      <c r="S60" s="60">
        <f ca="1">AVERAGE(OFFSET($R$3,0,0,'Données projet'!$E$9+1,1))-AVERAGE(OFFSET($H$3,0,0,'Données projet'!$E$9+1,1))</f>
        <v>550.53475891182575</v>
      </c>
      <c r="T60" s="60">
        <f t="shared" si="34"/>
        <v>350.2500324347194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729.30524519874405</v>
      </c>
      <c r="AN60" s="60">
        <f ca="1">AVERAGE(OFFSET($AM$3,0,0,'Données projet'!$E$10+1,1))-AVERAGE(OFFSET($H$3,0,0,'Données projet'!$E$10+1,1))</f>
        <v>513.16577009788818</v>
      </c>
      <c r="AO60" s="60">
        <f t="shared" si="36"/>
        <v>289.37159333739146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6.2799999999999958</v>
      </c>
      <c r="BD60" s="13">
        <f>IF('Données projet'!$A$88&gt;35,BD59+BC60-BL59,IF(A60&lt;'Données projet'!$A$88,$BA$205^A60,IF(A60='Données projet'!$A$88,'Données projet'!$B$88,BD59+BC60-BL59)))</f>
        <v>291.15999999999991</v>
      </c>
      <c r="BE60" s="14">
        <f>BD60*VLOOKUP('Données projet'!$B$11,Paramètres!$A$1:$I$89,3,0)*VLOOKUP('Données projet'!$B$11,Paramètres!$A$1:$I$89,5,0)</f>
        <v>213.47851199999994</v>
      </c>
      <c r="BF60" s="14">
        <f t="shared" si="37"/>
        <v>52.694999755073347</v>
      </c>
      <c r="BG60" s="22">
        <f t="shared" si="7"/>
        <v>463.58553297341928</v>
      </c>
      <c r="BH60" s="60">
        <f t="shared" si="8"/>
        <v>725.71528840686142</v>
      </c>
      <c r="BI60" s="60">
        <f ca="1">AVERAGE(OFFSET($BH$3,0,0,'Données projet'!$E$11+1,1))-AVERAGE(OFFSET($H$3,0,0,'Données projet'!$E$11+1,1))</f>
        <v>366.5170155168056</v>
      </c>
      <c r="BJ60" s="60">
        <f t="shared" si="38"/>
        <v>394.05057214541966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0" t="e">
        <f t="shared" si="11"/>
        <v>#NUM!</v>
      </c>
      <c r="CD60" s="60">
        <f ca="1">AVERAGE(OFFSET($CC$3,0,0,'Données projet'!$E$12+1,1))-AVERAGE(OFFSET($H$3,0,0,'Données projet'!$E$12+1,1))</f>
        <v>333.512642972663</v>
      </c>
      <c r="CE60" s="60">
        <f t="shared" si="40"/>
        <v>464.18634682168488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228.41207999999997</v>
      </c>
      <c r="CV60" s="14">
        <f t="shared" si="41"/>
        <v>55.939197785226767</v>
      </c>
      <c r="CW60" s="22">
        <f t="shared" si="13"/>
        <v>495.24514214260324</v>
      </c>
      <c r="CX60" s="60">
        <f t="shared" si="14"/>
        <v>757.37489757604544</v>
      </c>
      <c r="CY60" s="60">
        <f ca="1">AVERAGE(OFFSET($CX$3,0,0,'Données projet'!$E$13+1,1))-AVERAGE(OFFSET($H$3,0,0,'Données projet'!$E$13+1,1))</f>
        <v>539.76438066597848</v>
      </c>
      <c r="CZ60" s="60">
        <f t="shared" si="42"/>
        <v>303.47238367344937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205.23983999999999</v>
      </c>
      <c r="DQ60" s="14">
        <f t="shared" si="43"/>
        <v>50.893986960458122</v>
      </c>
      <c r="DR60" s="22">
        <f t="shared" si="16"/>
        <v>446.0997486227979</v>
      </c>
      <c r="DS60" s="60">
        <f t="shared" si="17"/>
        <v>708.2295040562401</v>
      </c>
      <c r="DT60" s="60">
        <f ca="1">AVERAGE(OFFSET($DS$3,0,0,'Données projet'!$E$14+1,1))-AVERAGE(OFFSET($H$3,0,0,'Données projet'!$E$14+1,1))</f>
        <v>493.19478874005267</v>
      </c>
      <c r="DU60" s="60">
        <f t="shared" si="44"/>
        <v>278.78337903007821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13</v>
      </c>
      <c r="EJ60" s="13">
        <f>IF('Données projet'!$A$192&gt;35,EJ59+EI60-ER59,IF(A60&lt;'Données projet'!$A$192,$EG$205^A60,IF(A60='Données projet'!$A$192,'Données projet'!$B$192,EJ59+EI60-ER59)))</f>
        <v>297.00000000000006</v>
      </c>
      <c r="EK60" s="18">
        <f>EJ60*VLOOKUP('Données projet'!$B$15,Paramètres!$A$1:$I$89,3,0)*VLOOKUP('Données projet'!$B$15,Paramètres!$A$1:$I$89,5,0)</f>
        <v>254.82600000000008</v>
      </c>
      <c r="EL60" s="14">
        <f t="shared" si="45"/>
        <v>61.618203339594587</v>
      </c>
      <c r="EM60" s="22">
        <f t="shared" si="19"/>
        <v>551.14032081646064</v>
      </c>
      <c r="EN60" s="60">
        <f t="shared" si="20"/>
        <v>813.27007624990279</v>
      </c>
      <c r="EO60" s="60">
        <f ca="1">AVERAGE(OFFSET($EN$3,0,0,'Données projet'!$E$15+1,1))-AVERAGE(OFFSET($H$3,0,0,'Données projet'!$E$15+1,1))</f>
        <v>698.30188737818639</v>
      </c>
      <c r="EP60" s="60">
        <f t="shared" si="46"/>
        <v>329.77977151358482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6</v>
      </c>
      <c r="FE60" s="13">
        <f>IF('Données projet'!$A$218&gt;35,FE59+FD60-FM59,IF(A60&lt;'Données projet'!$A$218,$FB$205^A60,IF(A60='Données projet'!$A$218,'Données projet'!$B$218,FE59+FD60-FM59)))</f>
        <v>230.00000000000006</v>
      </c>
      <c r="FF60" s="18">
        <f>FE60*VLOOKUP('Données projet'!$B$16,Paramètres!$A$1:$I$89,3,0)*VLOOKUP('Données projet'!$B$16,Paramètres!$A$1:$I$89,5,0)</f>
        <v>200.92800000000008</v>
      </c>
      <c r="FG60" s="14">
        <f t="shared" si="47"/>
        <v>49.948059057189084</v>
      </c>
      <c r="FH60" s="22">
        <f t="shared" si="22"/>
        <v>436.94246952460441</v>
      </c>
      <c r="FI60" s="60">
        <f t="shared" si="23"/>
        <v>699.0722249580466</v>
      </c>
      <c r="FJ60" s="60">
        <f ca="1">AVERAGE(OFFSET($FI$3,0,0,'Données projet'!$E$16+1,1))-AVERAGE(OFFSET($H$3,0,0,'Données projet'!$E$16+1,1))</f>
        <v>396.99335548279453</v>
      </c>
      <c r="FK60" s="60">
        <f t="shared" si="48"/>
        <v>388.89849573746335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61.489933300029691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4.6150000000000002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16.921666666666667</v>
      </c>
      <c r="H61" s="68">
        <f t="shared" si="1"/>
        <v>188.98000000000002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282.19999999999987</v>
      </c>
      <c r="O61" s="14">
        <f>N61*VLOOKUP('Données projet'!$B$9,Paramètres!$A$1:$I$89,3,0)*VLOOKUP('Données projet'!$B$9,Paramètres!$A$1:$I$89,5,0)</f>
        <v>255.33455999999987</v>
      </c>
      <c r="P61" s="14">
        <f t="shared" si="33"/>
        <v>61.726849101638756</v>
      </c>
      <c r="Q61" s="22">
        <f t="shared" si="53"/>
        <v>552.21528751868721</v>
      </c>
      <c r="R61" s="60">
        <f t="shared" si="0"/>
        <v>814.88635526794326</v>
      </c>
      <c r="S61" s="60">
        <f ca="1">AVERAGE(OFFSET($R$3,0,0,'Données projet'!$E$9+1,1))-AVERAGE(OFFSET($H$3,0,0,'Données projet'!$E$9+1,1))</f>
        <v>550.53475891182575</v>
      </c>
      <c r="T61" s="60">
        <f t="shared" si="34"/>
        <v>350.2500324347194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746.18726828240597</v>
      </c>
      <c r="AN61" s="60">
        <f ca="1">AVERAGE(OFFSET($AM$3,0,0,'Données projet'!$E$10+1,1))-AVERAGE(OFFSET($H$3,0,0,'Données projet'!$E$10+1,1))</f>
        <v>513.16577009788818</v>
      </c>
      <c r="AO61" s="60">
        <f t="shared" si="36"/>
        <v>289.37159333739146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6.2799999999999958</v>
      </c>
      <c r="BD61" s="13">
        <f>IF('Données projet'!$A$88&gt;35,BD60+BC61-BL60,IF(A61&lt;'Données projet'!$A$88,$BA$205^A61,IF(A61='Données projet'!$A$88,'Données projet'!$B$88,BD60+BC61-BL60)))</f>
        <v>297.43999999999988</v>
      </c>
      <c r="BE61" s="14">
        <f>BD61*VLOOKUP('Données projet'!$B$11,Paramètres!$A$1:$I$89,3,0)*VLOOKUP('Données projet'!$B$11,Paramètres!$A$1:$I$89,5,0)</f>
        <v>218.08300799999989</v>
      </c>
      <c r="BF61" s="14">
        <f t="shared" si="37"/>
        <v>53.698024996844545</v>
      </c>
      <c r="BG61" s="22">
        <f t="shared" si="7"/>
        <v>473.35196580283736</v>
      </c>
      <c r="BH61" s="60">
        <f t="shared" si="8"/>
        <v>736.02303355209347</v>
      </c>
      <c r="BI61" s="60">
        <f ca="1">AVERAGE(OFFSET($BH$3,0,0,'Données projet'!$E$11+1,1))-AVERAGE(OFFSET($H$3,0,0,'Données projet'!$E$11+1,1))</f>
        <v>366.5170155168056</v>
      </c>
      <c r="BJ61" s="60">
        <f t="shared" si="38"/>
        <v>394.05057214541966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0" t="e">
        <f t="shared" si="11"/>
        <v>#NUM!</v>
      </c>
      <c r="CD61" s="60">
        <f ca="1">AVERAGE(OFFSET($CC$3,0,0,'Données projet'!$E$12+1,1))-AVERAGE(OFFSET($H$3,0,0,'Données projet'!$E$12+1,1))</f>
        <v>333.512642972663</v>
      </c>
      <c r="CE61" s="60">
        <f t="shared" si="40"/>
        <v>464.18634682168488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236.59271999999999</v>
      </c>
      <c r="CV61" s="14">
        <f t="shared" si="41"/>
        <v>57.705828638299394</v>
      </c>
      <c r="CW61" s="22">
        <f t="shared" si="13"/>
        <v>512.56997221170479</v>
      </c>
      <c r="CX61" s="60">
        <f t="shared" si="14"/>
        <v>775.24103996096085</v>
      </c>
      <c r="CY61" s="60">
        <f ca="1">AVERAGE(OFFSET($CX$3,0,0,'Données projet'!$E$13+1,1))-AVERAGE(OFFSET($H$3,0,0,'Données projet'!$E$13+1,1))</f>
        <v>539.76438066597848</v>
      </c>
      <c r="CZ61" s="60">
        <f t="shared" si="42"/>
        <v>303.47238367344937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212.59055999999998</v>
      </c>
      <c r="DQ61" s="14">
        <f t="shared" si="43"/>
        <v>52.501283653296404</v>
      </c>
      <c r="DR61" s="22">
        <f t="shared" si="16"/>
        <v>461.70162769615786</v>
      </c>
      <c r="DS61" s="60">
        <f t="shared" si="17"/>
        <v>724.37269544541391</v>
      </c>
      <c r="DT61" s="60">
        <f ca="1">AVERAGE(OFFSET($DS$3,0,0,'Données projet'!$E$14+1,1))-AVERAGE(OFFSET($H$3,0,0,'Données projet'!$E$14+1,1))</f>
        <v>493.19478874005267</v>
      </c>
      <c r="DU61" s="60">
        <f t="shared" si="44"/>
        <v>278.78337903007821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13</v>
      </c>
      <c r="EJ61" s="13">
        <f>IF('Données projet'!$A$192&gt;35,EJ60+EI61-ER60,IF(A61&lt;'Données projet'!$A$192,$EG$205^A61,IF(A61='Données projet'!$A$192,'Données projet'!$B$192,EJ60+EI61-ER60)))</f>
        <v>310.00000000000006</v>
      </c>
      <c r="EK61" s="18">
        <f>EJ61*VLOOKUP('Données projet'!$B$15,Paramètres!$A$1:$I$89,3,0)*VLOOKUP('Données projet'!$B$15,Paramètres!$A$1:$I$89,5,0)</f>
        <v>265.98000000000008</v>
      </c>
      <c r="EL61" s="14">
        <f t="shared" si="45"/>
        <v>63.995380422211646</v>
      </c>
      <c r="EM61" s="22">
        <f t="shared" si="19"/>
        <v>574.7071209020188</v>
      </c>
      <c r="EN61" s="60">
        <f t="shared" si="20"/>
        <v>837.37818865127485</v>
      </c>
      <c r="EO61" s="60">
        <f ca="1">AVERAGE(OFFSET($EN$3,0,0,'Données projet'!$E$15+1,1))-AVERAGE(OFFSET($H$3,0,0,'Données projet'!$E$15+1,1))</f>
        <v>698.30188737818639</v>
      </c>
      <c r="EP61" s="60">
        <f t="shared" si="46"/>
        <v>329.77977151358482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6</v>
      </c>
      <c r="FE61" s="13">
        <f>IF('Données projet'!$A$218&gt;35,FE60+FD61-FM60,IF(A61&lt;'Données projet'!$A$218,$FB$205^A61,IF(A61='Données projet'!$A$218,'Données projet'!$B$218,FE60+FD61-FM60)))</f>
        <v>236.00000000000006</v>
      </c>
      <c r="FF61" s="18">
        <f>FE61*VLOOKUP('Données projet'!$B$16,Paramètres!$A$1:$I$89,3,0)*VLOOKUP('Données projet'!$B$16,Paramètres!$A$1:$I$89,5,0)</f>
        <v>206.16960000000009</v>
      </c>
      <c r="FG61" s="14">
        <f t="shared" si="47"/>
        <v>51.097652263007333</v>
      </c>
      <c r="FH61" s="22">
        <f t="shared" si="22"/>
        <v>448.07379769140465</v>
      </c>
      <c r="FI61" s="60">
        <f t="shared" si="23"/>
        <v>710.74486544066076</v>
      </c>
      <c r="FJ61" s="60">
        <f ca="1">AVERAGE(OFFSET($FI$3,0,0,'Données projet'!$E$16+1,1))-AVERAGE(OFFSET($H$3,0,0,'Données projet'!$E$16+1,1))</f>
        <v>396.99335548279453</v>
      </c>
      <c r="FK61" s="60">
        <f t="shared" si="48"/>
        <v>388.89849573746335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61.63756393161529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4.6150000000000002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16.921666666666667</v>
      </c>
      <c r="H62" s="68">
        <f t="shared" si="1"/>
        <v>188.98000000000002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291.59999999999985</v>
      </c>
      <c r="O62" s="14">
        <f>N62*VLOOKUP('Données projet'!$B$9,Paramètres!$A$1:$I$89,3,0)*VLOOKUP('Données projet'!$B$9,Paramètres!$A$1:$I$89,5,0)</f>
        <v>263.83967999999987</v>
      </c>
      <c r="P62" s="14">
        <f t="shared" si="33"/>
        <v>63.540142934904836</v>
      </c>
      <c r="Q62" s="22">
        <f t="shared" si="53"/>
        <v>570.18652494495905</v>
      </c>
      <c r="R62" s="60">
        <f t="shared" si="0"/>
        <v>833.3895144515426</v>
      </c>
      <c r="S62" s="60">
        <f ca="1">AVERAGE(OFFSET($R$3,0,0,'Données projet'!$E$9+1,1))-AVERAGE(OFFSET($H$3,0,0,'Données projet'!$E$9+1,1))</f>
        <v>550.53475891182575</v>
      </c>
      <c r="T62" s="60">
        <f t="shared" si="34"/>
        <v>350.2500324347194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763.048174786338</v>
      </c>
      <c r="AN62" s="60">
        <f ca="1">AVERAGE(OFFSET($AM$3,0,0,'Données projet'!$E$10+1,1))-AVERAGE(OFFSET($H$3,0,0,'Données projet'!$E$10+1,1))</f>
        <v>513.16577009788818</v>
      </c>
      <c r="AO62" s="60">
        <f t="shared" si="36"/>
        <v>289.37159333739146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6.2799999999999958</v>
      </c>
      <c r="BD62" s="13">
        <f>IF('Données projet'!$A$88&gt;35,BD61+BC62-BL61,IF(A62&lt;'Données projet'!$A$88,$BA$205^A62,IF(A62='Données projet'!$A$88,'Données projet'!$B$88,BD61+BC62-BL61)))</f>
        <v>303.71999999999986</v>
      </c>
      <c r="BE62" s="14">
        <f>BD62*VLOOKUP('Données projet'!$B$11,Paramètres!$A$1:$I$89,3,0)*VLOOKUP('Données projet'!$B$11,Paramètres!$A$1:$I$89,5,0)</f>
        <v>222.68750399999988</v>
      </c>
      <c r="BF62" s="14">
        <f t="shared" si="37"/>
        <v>54.698588025346766</v>
      </c>
      <c r="BG62" s="22">
        <f t="shared" si="7"/>
        <v>483.1141102774788</v>
      </c>
      <c r="BH62" s="60">
        <f t="shared" si="8"/>
        <v>746.31709978406229</v>
      </c>
      <c r="BI62" s="60">
        <f ca="1">AVERAGE(OFFSET($BH$3,0,0,'Données projet'!$E$11+1,1))-AVERAGE(OFFSET($H$3,0,0,'Données projet'!$E$11+1,1))</f>
        <v>366.5170155168056</v>
      </c>
      <c r="BJ62" s="60">
        <f t="shared" si="38"/>
        <v>394.05057214541966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0" t="e">
        <f t="shared" si="11"/>
        <v>#NUM!</v>
      </c>
      <c r="CD62" s="60">
        <f ca="1">AVERAGE(OFFSET($CC$3,0,0,'Données projet'!$E$12+1,1))-AVERAGE(OFFSET($H$3,0,0,'Données projet'!$E$12+1,1))</f>
        <v>333.512642972663</v>
      </c>
      <c r="CE62" s="60">
        <f t="shared" si="40"/>
        <v>464.18634682168488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244.77335999999997</v>
      </c>
      <c r="CV62" s="14">
        <f t="shared" si="41"/>
        <v>59.465362039582196</v>
      </c>
      <c r="CW62" s="22">
        <f t="shared" si="13"/>
        <v>529.88244088560566</v>
      </c>
      <c r="CX62" s="60">
        <f t="shared" si="14"/>
        <v>793.08543039218921</v>
      </c>
      <c r="CY62" s="60">
        <f ca="1">AVERAGE(OFFSET($CX$3,0,0,'Données projet'!$E$13+1,1))-AVERAGE(OFFSET($H$3,0,0,'Données projet'!$E$13+1,1))</f>
        <v>539.76438066597848</v>
      </c>
      <c r="CZ62" s="60">
        <f t="shared" si="42"/>
        <v>303.47238367344937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219.94127999999995</v>
      </c>
      <c r="DQ62" s="14">
        <f t="shared" si="43"/>
        <v>54.102123020446285</v>
      </c>
      <c r="DR62" s="22">
        <f t="shared" si="16"/>
        <v>477.29226026061059</v>
      </c>
      <c r="DS62" s="60">
        <f t="shared" si="17"/>
        <v>740.49524976719408</v>
      </c>
      <c r="DT62" s="60">
        <f ca="1">AVERAGE(OFFSET($DS$3,0,0,'Données projet'!$E$14+1,1))-AVERAGE(OFFSET($H$3,0,0,'Données projet'!$E$14+1,1))</f>
        <v>493.19478874005267</v>
      </c>
      <c r="DU62" s="60">
        <f t="shared" si="44"/>
        <v>278.78337903007821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13</v>
      </c>
      <c r="EJ62" s="13">
        <f>IF('Données projet'!$A$192&gt;35,EJ61+EI62-ER61,IF(A62&lt;'Données projet'!$A$192,$EG$205^A62,IF(A62='Données projet'!$A$192,'Données projet'!$B$192,EJ61+EI62-ER61)))</f>
        <v>323.00000000000006</v>
      </c>
      <c r="EK62" s="18">
        <f>EJ62*VLOOKUP('Données projet'!$B$15,Paramètres!$A$1:$I$89,3,0)*VLOOKUP('Données projet'!$B$15,Paramètres!$A$1:$I$89,5,0)</f>
        <v>277.13400000000007</v>
      </c>
      <c r="EL62" s="14">
        <f t="shared" si="45"/>
        <v>66.360978503745613</v>
      </c>
      <c r="EM62" s="22">
        <f t="shared" si="19"/>
        <v>598.25375422735704</v>
      </c>
      <c r="EN62" s="60">
        <f t="shared" si="20"/>
        <v>861.45674373394058</v>
      </c>
      <c r="EO62" s="60">
        <f ca="1">AVERAGE(OFFSET($EN$3,0,0,'Données projet'!$E$15+1,1))-AVERAGE(OFFSET($H$3,0,0,'Données projet'!$E$15+1,1))</f>
        <v>698.30188737818639</v>
      </c>
      <c r="EP62" s="60">
        <f t="shared" si="46"/>
        <v>329.77977151358482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6</v>
      </c>
      <c r="FE62" s="13">
        <f>IF('Données projet'!$A$218&gt;35,FE61+FD62-FM61,IF(A62&lt;'Données projet'!$A$218,$FB$205^A62,IF(A62='Données projet'!$A$218,'Données projet'!$B$218,FE61+FD62-FM61)))</f>
        <v>242.00000000000006</v>
      </c>
      <c r="FF62" s="18">
        <f>FE62*VLOOKUP('Données projet'!$B$16,Paramètres!$A$1:$I$89,3,0)*VLOOKUP('Données projet'!$B$16,Paramètres!$A$1:$I$89,5,0)</f>
        <v>211.41120000000006</v>
      </c>
      <c r="FG62" s="14">
        <f t="shared" si="47"/>
        <v>52.243848094411156</v>
      </c>
      <c r="FH62" s="22">
        <f t="shared" si="22"/>
        <v>459.19920876443285</v>
      </c>
      <c r="FI62" s="60">
        <f t="shared" si="23"/>
        <v>722.40219827101646</v>
      </c>
      <c r="FJ62" s="60">
        <f ca="1">AVERAGE(OFFSET($FI$3,0,0,'Données projet'!$E$16+1,1))-AVERAGE(OFFSET($H$3,0,0,'Données projet'!$E$16+1,1))</f>
        <v>396.99335548279453</v>
      </c>
      <c r="FK62" s="60">
        <f t="shared" si="48"/>
        <v>388.89849573746335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61.782633501795516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4.6150000000000002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16.921666666666667</v>
      </c>
      <c r="H63" s="68">
        <f t="shared" si="1"/>
        <v>188.98000000000002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301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300.99999999999983</v>
      </c>
      <c r="O63" s="14">
        <f>N63*VLOOKUP('Données projet'!$B$9,Paramètres!$A$1:$I$89,3,0)*VLOOKUP('Données projet'!$B$9,Paramètres!$A$1:$I$89,5,0)</f>
        <v>272.34479999999985</v>
      </c>
      <c r="P63" s="14">
        <f t="shared" si="33"/>
        <v>65.346644318451652</v>
      </c>
      <c r="Q63" s="22">
        <f t="shared" si="53"/>
        <v>588.14593218796961</v>
      </c>
      <c r="R63" s="60">
        <f t="shared" si="0"/>
        <v>851.87161579859003</v>
      </c>
      <c r="S63" s="60">
        <f ca="1">AVERAGE(OFFSET($R$3,0,0,'Données projet'!$E$9+1,1))-AVERAGE(OFFSET($H$3,0,0,'Données projet'!$E$9+1,1))</f>
        <v>550.53475891182575</v>
      </c>
      <c r="T63" s="60">
        <f t="shared" si="34"/>
        <v>350.2500324347194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56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779.88856444669796</v>
      </c>
      <c r="AN63" s="60">
        <f ca="1">AVERAGE(OFFSET($AM$3,0,0,'Données projet'!$E$10+1,1))-AVERAGE(OFFSET($H$3,0,0,'Données projet'!$E$10+1,1))</f>
        <v>513.16577009788818</v>
      </c>
      <c r="AO63" s="60">
        <f t="shared" si="36"/>
        <v>289.37159333739146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6.2799999999999958</v>
      </c>
      <c r="BC63" s="13">
        <f t="array" ref="BC63">INDEX(BB:BB,MIN(IF(ISNUMBER(BB63:BB259),ROW(BB63:BB259),"")))</f>
        <v>6.2799999999999958</v>
      </c>
      <c r="BD63" s="13">
        <f>IF('Données projet'!$A$88&gt;35,BD62+BC63-BL62,IF(A63&lt;'Données projet'!$A$88,$BA$205^A63,IF(A63='Données projet'!$A$88,'Données projet'!$B$88,BD62+BC63-BL62)))</f>
        <v>309.99999999999983</v>
      </c>
      <c r="BE63" s="14">
        <f>BD63*VLOOKUP('Données projet'!$B$11,Paramètres!$A$1:$I$89,3,0)*VLOOKUP('Données projet'!$B$11,Paramètres!$A$1:$I$89,5,0)</f>
        <v>227.29199999999986</v>
      </c>
      <c r="BF63" s="14">
        <f t="shared" si="37"/>
        <v>55.69674561748365</v>
      </c>
      <c r="BG63" s="22">
        <f t="shared" si="7"/>
        <v>492.8720652837838</v>
      </c>
      <c r="BH63" s="60">
        <f t="shared" si="8"/>
        <v>756.59774889440416</v>
      </c>
      <c r="BI63" s="60">
        <f ca="1">AVERAGE(OFFSET($BH$3,0,0,'Données projet'!$E$11+1,1))-AVERAGE(OFFSET($H$3,0,0,'Données projet'!$E$11+1,1))</f>
        <v>366.5170155168056</v>
      </c>
      <c r="BJ63" s="60">
        <f t="shared" si="38"/>
        <v>394.05057214541966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30.2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0" t="e">
        <f t="shared" si="11"/>
        <v>#NUM!</v>
      </c>
      <c r="CD63" s="60">
        <f ca="1">AVERAGE(OFFSET($CC$3,0,0,'Données projet'!$E$12+1,1))-AVERAGE(OFFSET($H$3,0,0,'Données projet'!$E$12+1,1))</f>
        <v>333.512642972663</v>
      </c>
      <c r="CE63" s="60">
        <f t="shared" si="40"/>
        <v>464.18634682168488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252.95399999999998</v>
      </c>
      <c r="CV63" s="14">
        <f t="shared" si="41"/>
        <v>61.218062391350081</v>
      </c>
      <c r="CW63" s="22">
        <f t="shared" si="13"/>
        <v>547.18300866493462</v>
      </c>
      <c r="CX63" s="60">
        <f t="shared" si="14"/>
        <v>810.90869227555504</v>
      </c>
      <c r="CY63" s="60">
        <f ca="1">AVERAGE(OFFSET($CX$3,0,0,'Données projet'!$E$13+1,1))-AVERAGE(OFFSET($H$3,0,0,'Données projet'!$E$13+1,1))</f>
        <v>539.76438066597848</v>
      </c>
      <c r="CZ63" s="60">
        <f t="shared" si="42"/>
        <v>303.47238367344937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227.292</v>
      </c>
      <c r="DQ63" s="14">
        <f t="shared" si="43"/>
        <v>55.6967456174837</v>
      </c>
      <c r="DR63" s="22">
        <f t="shared" si="16"/>
        <v>492.87206528378402</v>
      </c>
      <c r="DS63" s="60">
        <f t="shared" si="17"/>
        <v>756.59774889440439</v>
      </c>
      <c r="DT63" s="60">
        <f ca="1">AVERAGE(OFFSET($DS$3,0,0,'Données projet'!$E$14+1,1))-AVERAGE(OFFSET($H$3,0,0,'Données projet'!$E$14+1,1))</f>
        <v>493.19478874005267</v>
      </c>
      <c r="DU63" s="60">
        <f t="shared" si="44"/>
        <v>278.78337903007821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336</v>
      </c>
      <c r="EH63" s="13">
        <f>VLOOKUP(A63,'Données projet'!$A$191:$I$211,9,0)</f>
        <v>13</v>
      </c>
      <c r="EI63" s="13">
        <f t="array" ref="EI63">INDEX(EH:EH,MIN(IF(ISNUMBER(EH63:EH259),ROW(EH63:EH259),"")))</f>
        <v>13</v>
      </c>
      <c r="EJ63" s="13">
        <f>IF('Données projet'!$A$192&gt;35,EJ62+EI63-ER62,IF(A63&lt;'Données projet'!$A$192,$EG$205^A63,IF(A63='Données projet'!$A$192,'Données projet'!$B$192,EJ62+EI63-ER62)))</f>
        <v>336.00000000000006</v>
      </c>
      <c r="EK63" s="18">
        <f>EJ63*VLOOKUP('Données projet'!$B$15,Paramètres!$A$1:$I$89,3,0)*VLOOKUP('Données projet'!$B$15,Paramètres!$A$1:$I$89,5,0)</f>
        <v>288.28800000000007</v>
      </c>
      <c r="EL63" s="14">
        <f t="shared" si="45"/>
        <v>68.715516926722444</v>
      </c>
      <c r="EM63" s="22">
        <f t="shared" si="19"/>
        <v>621.78112531404167</v>
      </c>
      <c r="EN63" s="60">
        <f t="shared" si="20"/>
        <v>885.50680892466198</v>
      </c>
      <c r="EO63" s="60">
        <f ca="1">AVERAGE(OFFSET($EN$3,0,0,'Données projet'!$E$15+1,1))-AVERAGE(OFFSET($H$3,0,0,'Données projet'!$E$15+1,1))</f>
        <v>698.30188737818639</v>
      </c>
      <c r="EP63" s="60">
        <f t="shared" si="46"/>
        <v>329.77977151358482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248</v>
      </c>
      <c r="FC63" s="13">
        <f>VLOOKUP(A63,'Données projet'!$A$217:$I$237,9,0)</f>
        <v>6</v>
      </c>
      <c r="FD63" s="13">
        <f t="array" ref="FD63">INDEX(FC:FC,MIN(IF(ISNUMBER(FC63:FC259),ROW(FC63:FC259),"")))</f>
        <v>6</v>
      </c>
      <c r="FE63" s="13">
        <f>IF('Données projet'!$A$218&gt;35,FE62+FD63-FM62,IF(A63&lt;'Données projet'!$A$218,$FB$205^A63,IF(A63='Données projet'!$A$218,'Données projet'!$B$218,FE62+FD63-FM62)))</f>
        <v>248.00000000000006</v>
      </c>
      <c r="FF63" s="18">
        <f>FE63*VLOOKUP('Données projet'!$B$16,Paramètres!$A$1:$I$89,3,0)*VLOOKUP('Données projet'!$B$16,Paramètres!$A$1:$I$89,5,0)</f>
        <v>216.6528000000001</v>
      </c>
      <c r="FG63" s="14">
        <f t="shared" si="47"/>
        <v>53.38674047237987</v>
      </c>
      <c r="FH63" s="22">
        <f t="shared" si="22"/>
        <v>470.31886632272835</v>
      </c>
      <c r="FI63" s="60">
        <f t="shared" si="23"/>
        <v>734.04454993334866</v>
      </c>
      <c r="FJ63" s="60">
        <f ca="1">AVERAGE(OFFSET($FI$3,0,0,'Données projet'!$E$16+1,1))-AVERAGE(OFFSET($H$3,0,0,'Données projet'!$E$16+1,1))</f>
        <v>396.99335548279453</v>
      </c>
      <c r="FK63" s="60">
        <f t="shared" si="48"/>
        <v>388.89849573746335</v>
      </c>
      <c r="FL63" s="16">
        <f>IF(ISNA(VLOOKUP(A63,'Données projet'!$A$217:$I$237,3,0)),0,VLOOKUP(A63,'Données projet'!$A$217:$I$237,3,0))</f>
        <v>5</v>
      </c>
      <c r="FM63" s="16">
        <f>IF(ISNA(VLOOKUP(A63,'Données projet'!$A$217:$I$237,4,0)),0,VLOOKUP(A63,'Données projet'!$A$217:$I$237,4,0))</f>
        <v>44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61.925186439260102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4.6150000000000002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16.921666666666667</v>
      </c>
      <c r="H64" s="68">
        <f t="shared" si="1"/>
        <v>188.98000000000002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253.79999999999984</v>
      </c>
      <c r="O64" s="14">
        <f>N64*VLOOKUP('Données projet'!$B$9,Paramètres!$A$1:$I$89,3,0)*VLOOKUP('Données projet'!$B$9,Paramètres!$A$1:$I$89,5,0)</f>
        <v>229.63823999999985</v>
      </c>
      <c r="P64" s="14">
        <f t="shared" si="33"/>
        <v>56.204453396569633</v>
      </c>
      <c r="Q64" s="22">
        <f t="shared" si="53"/>
        <v>497.84269099902514</v>
      </c>
      <c r="R64" s="60">
        <f t="shared" si="0"/>
        <v>762.08200113954615</v>
      </c>
      <c r="S64" s="60">
        <f ca="1">AVERAGE(OFFSET($R$3,0,0,'Données projet'!$E$9+1,1))-AVERAGE(OFFSET($H$3,0,0,'Données projet'!$E$9+1,1))</f>
        <v>550.53475891182575</v>
      </c>
      <c r="T64" s="60">
        <f t="shared" si="34"/>
        <v>350.2500324347194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705.58864875958511</v>
      </c>
      <c r="AN64" s="60">
        <f ca="1">AVERAGE(OFFSET($AM$3,0,0,'Données projet'!$E$10+1,1))-AVERAGE(OFFSET($H$3,0,0,'Données projet'!$E$10+1,1))</f>
        <v>513.16577009788818</v>
      </c>
      <c r="AO64" s="60">
        <f t="shared" si="36"/>
        <v>289.37159333739146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5.2399999999999975</v>
      </c>
      <c r="BD64" s="13">
        <f>IF('Données projet'!$A$88&gt;35,BD63+BC64-BL63,IF(A64&lt;'Données projet'!$A$88,$BA$205^A64,IF(A64='Données projet'!$A$88,'Données projet'!$B$88,BD63+BC64-BL63)))</f>
        <v>285.03999999999985</v>
      </c>
      <c r="BE64" s="14">
        <f>BD64*VLOOKUP('Données projet'!$B$11,Paramètres!$A$1:$I$89,3,0)*VLOOKUP('Données projet'!$B$11,Paramètres!$A$1:$I$89,5,0)</f>
        <v>208.9913279999999</v>
      </c>
      <c r="BF64" s="14">
        <f t="shared" si="37"/>
        <v>51.715103760424256</v>
      </c>
      <c r="BG64" s="22">
        <f t="shared" si="7"/>
        <v>454.06370198273868</v>
      </c>
      <c r="BH64" s="60">
        <f t="shared" si="8"/>
        <v>718.30301212325969</v>
      </c>
      <c r="BI64" s="60">
        <f ca="1">AVERAGE(OFFSET($BH$3,0,0,'Données projet'!$E$11+1,1))-AVERAGE(OFFSET($H$3,0,0,'Données projet'!$E$11+1,1))</f>
        <v>366.5170155168056</v>
      </c>
      <c r="BJ64" s="60">
        <f t="shared" si="38"/>
        <v>394.05057214541966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0" t="e">
        <f t="shared" si="11"/>
        <v>#NUM!</v>
      </c>
      <c r="CD64" s="60">
        <f ca="1">AVERAGE(OFFSET($CC$3,0,0,'Données projet'!$E$12+1,1))-AVERAGE(OFFSET($H$3,0,0,'Données projet'!$E$12+1,1))</f>
        <v>333.512642972663</v>
      </c>
      <c r="CE64" s="60">
        <f t="shared" si="40"/>
        <v>464.18634682168488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215.49527999999992</v>
      </c>
      <c r="CV64" s="14">
        <f t="shared" si="41"/>
        <v>53.134631326269272</v>
      </c>
      <c r="CW64" s="22">
        <f t="shared" si="13"/>
        <v>467.86376222658549</v>
      </c>
      <c r="CX64" s="60">
        <f t="shared" si="14"/>
        <v>732.10307236710651</v>
      </c>
      <c r="CY64" s="60">
        <f ca="1">AVERAGE(OFFSET($CX$3,0,0,'Données projet'!$E$13+1,1))-AVERAGE(OFFSET($H$3,0,0,'Données projet'!$E$13+1,1))</f>
        <v>539.76438066597848</v>
      </c>
      <c r="CZ64" s="60">
        <f t="shared" si="42"/>
        <v>303.47238367344937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193.63343999999998</v>
      </c>
      <c r="DQ64" s="14">
        <f t="shared" si="43"/>
        <v>48.342367086681229</v>
      </c>
      <c r="DR64" s="22">
        <f t="shared" si="16"/>
        <v>421.44119734263637</v>
      </c>
      <c r="DS64" s="60">
        <f t="shared" si="17"/>
        <v>685.68050748315738</v>
      </c>
      <c r="DT64" s="60">
        <f ca="1">AVERAGE(OFFSET($DS$3,0,0,'Données projet'!$E$14+1,1))-AVERAGE(OFFSET($H$3,0,0,'Données projet'!$E$14+1,1))</f>
        <v>493.19478874005267</v>
      </c>
      <c r="DU64" s="60">
        <f t="shared" si="44"/>
        <v>278.78337903007821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12.4</v>
      </c>
      <c r="EJ64" s="13">
        <f>IF('Données projet'!$A$192&gt;35,EJ63+EI64-ER63,IF(A64&lt;'Données projet'!$A$192,$EG$205^A64,IF(A64='Données projet'!$A$192,'Données projet'!$B$192,EJ63+EI64-ER63)))</f>
        <v>348.40000000000003</v>
      </c>
      <c r="EK64" s="18">
        <f>EJ64*VLOOKUP('Données projet'!$B$15,Paramètres!$A$1:$I$89,3,0)*VLOOKUP('Données projet'!$B$15,Paramètres!$A$1:$I$89,5,0)</f>
        <v>298.92720000000008</v>
      </c>
      <c r="EL64" s="14">
        <f t="shared" si="45"/>
        <v>70.951516519653637</v>
      </c>
      <c r="EM64" s="22">
        <f t="shared" si="19"/>
        <v>644.20543127173016</v>
      </c>
      <c r="EN64" s="60">
        <f t="shared" si="20"/>
        <v>908.44474141225123</v>
      </c>
      <c r="EO64" s="60">
        <f ca="1">AVERAGE(OFFSET($EN$3,0,0,'Données projet'!$E$15+1,1))-AVERAGE(OFFSET($H$3,0,0,'Données projet'!$E$15+1,1))</f>
        <v>698.30188737818639</v>
      </c>
      <c r="EP64" s="60">
        <f t="shared" si="46"/>
        <v>329.77977151358482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5.6</v>
      </c>
      <c r="FE64" s="13">
        <f>IF('Données projet'!$A$218&gt;35,FE63+FD64-FM63,IF(A64&lt;'Données projet'!$A$218,$FB$205^A64,IF(A64='Données projet'!$A$218,'Données projet'!$B$218,FE63+FD64-FM63)))</f>
        <v>209.60000000000005</v>
      </c>
      <c r="FF64" s="18">
        <f>FE64*VLOOKUP('Données projet'!$B$16,Paramètres!$A$1:$I$89,3,0)*VLOOKUP('Données projet'!$B$16,Paramètres!$A$1:$I$89,5,0)</f>
        <v>183.10656000000006</v>
      </c>
      <c r="FG64" s="14">
        <f t="shared" si="47"/>
        <v>46.012648718992089</v>
      </c>
      <c r="FH64" s="22">
        <f t="shared" si="22"/>
        <v>399.04928851891128</v>
      </c>
      <c r="FI64" s="60">
        <f t="shared" si="23"/>
        <v>663.2885986594323</v>
      </c>
      <c r="FJ64" s="60">
        <f ca="1">AVERAGE(OFFSET($FI$3,0,0,'Données projet'!$E$16+1,1))-AVERAGE(OFFSET($H$3,0,0,'Données projet'!$E$16+1,1))</f>
        <v>396.99335548279453</v>
      </c>
      <c r="FK64" s="60">
        <f t="shared" si="48"/>
        <v>388.89849573746335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62.065266401960287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4.6150000000000002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16.921666666666667</v>
      </c>
      <c r="H65" s="68">
        <f t="shared" si="1"/>
        <v>188.98000000000002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262.59999999999985</v>
      </c>
      <c r="O65" s="14">
        <f>N65*VLOOKUP('Données projet'!$B$9,Paramètres!$A$1:$I$89,3,0)*VLOOKUP('Données projet'!$B$9,Paramètres!$A$1:$I$89,5,0)</f>
        <v>237.60047999999986</v>
      </c>
      <c r="P65" s="14">
        <f t="shared" si="33"/>
        <v>57.922960533442058</v>
      </c>
      <c r="Q65" s="22">
        <f t="shared" si="53"/>
        <v>514.70332559574479</v>
      </c>
      <c r="R65" s="60">
        <f t="shared" si="0"/>
        <v>779.44735199416959</v>
      </c>
      <c r="S65" s="60">
        <f ca="1">AVERAGE(OFFSET($R$3,0,0,'Données projet'!$E$9+1,1))-AVERAGE(OFFSET($H$3,0,0,'Données projet'!$E$9+1,1))</f>
        <v>550.53475891182575</v>
      </c>
      <c r="T65" s="60">
        <f t="shared" si="34"/>
        <v>350.2500324347194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721.59281465444656</v>
      </c>
      <c r="AN65" s="60">
        <f ca="1">AVERAGE(OFFSET($AM$3,0,0,'Données projet'!$E$10+1,1))-AVERAGE(OFFSET($H$3,0,0,'Données projet'!$E$10+1,1))</f>
        <v>513.16577009788818</v>
      </c>
      <c r="AO65" s="60">
        <f t="shared" si="36"/>
        <v>289.37159333739146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5.2399999999999975</v>
      </c>
      <c r="BD65" s="13">
        <f>IF('Données projet'!$A$88&gt;35,BD64+BC65-BL64,IF(A65&lt;'Données projet'!$A$88,$BA$205^A65,IF(A65='Données projet'!$A$88,'Données projet'!$B$88,BD64+BC65-BL64)))</f>
        <v>290.27999999999986</v>
      </c>
      <c r="BE65" s="14">
        <f>BD65*VLOOKUP('Données projet'!$B$11,Paramètres!$A$1:$I$89,3,0)*VLOOKUP('Données projet'!$B$11,Paramètres!$A$1:$I$89,5,0)</f>
        <v>212.83329599999988</v>
      </c>
      <c r="BF65" s="14">
        <f t="shared" si="37"/>
        <v>52.554248411686309</v>
      </c>
      <c r="BG65" s="22">
        <f t="shared" si="7"/>
        <v>462.21663985035343</v>
      </c>
      <c r="BH65" s="60">
        <f t="shared" si="8"/>
        <v>726.96066624877835</v>
      </c>
      <c r="BI65" s="60">
        <f ca="1">AVERAGE(OFFSET($BH$3,0,0,'Données projet'!$E$11+1,1))-AVERAGE(OFFSET($H$3,0,0,'Données projet'!$E$11+1,1))</f>
        <v>366.5170155168056</v>
      </c>
      <c r="BJ65" s="60">
        <f t="shared" si="38"/>
        <v>394.05057214541966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0" t="e">
        <f t="shared" si="11"/>
        <v>#NUM!</v>
      </c>
      <c r="CD65" s="60">
        <f ca="1">AVERAGE(OFFSET($CC$3,0,0,'Données projet'!$E$12+1,1))-AVERAGE(OFFSET($H$3,0,0,'Données projet'!$E$12+1,1))</f>
        <v>333.512642972663</v>
      </c>
      <c r="CE65" s="60">
        <f t="shared" si="40"/>
        <v>464.18634682168488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223.24535999999995</v>
      </c>
      <c r="CV65" s="14">
        <f t="shared" si="41"/>
        <v>54.819646394591118</v>
      </c>
      <c r="CW65" s="22">
        <f t="shared" si="13"/>
        <v>484.29655280391279</v>
      </c>
      <c r="CX65" s="60">
        <f t="shared" si="14"/>
        <v>749.04057920233765</v>
      </c>
      <c r="CY65" s="60">
        <f ca="1">AVERAGE(OFFSET($CX$3,0,0,'Données projet'!$E$13+1,1))-AVERAGE(OFFSET($H$3,0,0,'Données projet'!$E$13+1,1))</f>
        <v>539.76438066597848</v>
      </c>
      <c r="CZ65" s="60">
        <f t="shared" si="42"/>
        <v>303.47238367344937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200.59727999999996</v>
      </c>
      <c r="DQ65" s="14">
        <f t="shared" si="43"/>
        <v>49.875409002022977</v>
      </c>
      <c r="DR65" s="22">
        <f t="shared" si="16"/>
        <v>436.23993334518991</v>
      </c>
      <c r="DS65" s="60">
        <f t="shared" si="17"/>
        <v>700.98395974361483</v>
      </c>
      <c r="DT65" s="60">
        <f ca="1">AVERAGE(OFFSET($DS$3,0,0,'Données projet'!$E$14+1,1))-AVERAGE(OFFSET($H$3,0,0,'Données projet'!$E$14+1,1))</f>
        <v>493.19478874005267</v>
      </c>
      <c r="DU65" s="60">
        <f t="shared" si="44"/>
        <v>278.78337903007821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12.4</v>
      </c>
      <c r="EJ65" s="13">
        <f>IF('Données projet'!$A$192&gt;35,EJ64+EI65-ER64,IF(A65&lt;'Données projet'!$A$192,$EG$205^A65,IF(A65='Données projet'!$A$192,'Données projet'!$B$192,EJ64+EI65-ER64)))</f>
        <v>360.8</v>
      </c>
      <c r="EK65" s="18">
        <f>EJ65*VLOOKUP('Données projet'!$B$15,Paramètres!$A$1:$I$89,3,0)*VLOOKUP('Données projet'!$B$15,Paramètres!$A$1:$I$89,5,0)</f>
        <v>309.56640000000004</v>
      </c>
      <c r="EL65" s="14">
        <f t="shared" si="45"/>
        <v>73.178269858732605</v>
      </c>
      <c r="EM65" s="22">
        <f t="shared" si="19"/>
        <v>666.61363333729264</v>
      </c>
      <c r="EN65" s="60">
        <f t="shared" si="20"/>
        <v>931.35765973571756</v>
      </c>
      <c r="EO65" s="60">
        <f ca="1">AVERAGE(OFFSET($EN$3,0,0,'Données projet'!$E$15+1,1))-AVERAGE(OFFSET($H$3,0,0,'Données projet'!$E$15+1,1))</f>
        <v>698.30188737818639</v>
      </c>
      <c r="EP65" s="60">
        <f t="shared" si="46"/>
        <v>329.77977151358482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5.6</v>
      </c>
      <c r="FE65" s="13">
        <f>IF('Données projet'!$A$218&gt;35,FE64+FD65-FM64,IF(A65&lt;'Données projet'!$A$218,$FB$205^A65,IF(A65='Données projet'!$A$218,'Données projet'!$B$218,FE64+FD65-FM64)))</f>
        <v>215.20000000000005</v>
      </c>
      <c r="FF65" s="18">
        <f>FE65*VLOOKUP('Données projet'!$B$16,Paramètres!$A$1:$I$89,3,0)*VLOOKUP('Données projet'!$B$16,Paramètres!$A$1:$I$89,5,0)</f>
        <v>187.99872000000008</v>
      </c>
      <c r="FG65" s="14">
        <f t="shared" si="47"/>
        <v>47.097225953569499</v>
      </c>
      <c r="FH65" s="22">
        <f t="shared" si="22"/>
        <v>409.45877253580034</v>
      </c>
      <c r="FI65" s="60">
        <f t="shared" si="23"/>
        <v>674.20279893422526</v>
      </c>
      <c r="FJ65" s="60">
        <f ca="1">AVERAGE(OFFSET($FI$3,0,0,'Données projet'!$E$16+1,1))-AVERAGE(OFFSET($H$3,0,0,'Données projet'!$E$16+1,1))</f>
        <v>396.99335548279453</v>
      </c>
      <c r="FK65" s="60">
        <f t="shared" si="48"/>
        <v>388.89849573746335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62.202916290479507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4.6150000000000002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16.921666666666667</v>
      </c>
      <c r="H66" s="68">
        <f t="shared" si="1"/>
        <v>188.98000000000002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271.39999999999986</v>
      </c>
      <c r="O66" s="14">
        <f>N66*VLOOKUP('Données projet'!$B$9,Paramètres!$A$1:$I$89,3,0)*VLOOKUP('Données projet'!$B$9,Paramètres!$A$1:$I$89,5,0)</f>
        <v>245.56271999999987</v>
      </c>
      <c r="P66" s="14">
        <f t="shared" si="33"/>
        <v>59.634776048276848</v>
      </c>
      <c r="Q66" s="22">
        <f t="shared" si="53"/>
        <v>531.5523056174153</v>
      </c>
      <c r="R66" s="60">
        <f t="shared" si="0"/>
        <v>796.79229257504585</v>
      </c>
      <c r="S66" s="60">
        <f ca="1">AVERAGE(OFFSET($R$3,0,0,'Données projet'!$E$9+1,1))-AVERAGE(OFFSET($H$3,0,0,'Données projet'!$E$9+1,1))</f>
        <v>550.53475891182575</v>
      </c>
      <c r="T66" s="60">
        <f t="shared" si="34"/>
        <v>350.2500324347194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737.57699578221059</v>
      </c>
      <c r="AN66" s="60">
        <f ca="1">AVERAGE(OFFSET($AM$3,0,0,'Données projet'!$E$10+1,1))-AVERAGE(OFFSET($H$3,0,0,'Données projet'!$E$10+1,1))</f>
        <v>513.16577009788818</v>
      </c>
      <c r="AO66" s="60">
        <f t="shared" si="36"/>
        <v>289.37159333739146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5.2399999999999975</v>
      </c>
      <c r="BD66" s="13">
        <f>IF('Données projet'!$A$88&gt;35,BD65+BC66-BL65,IF(A66&lt;'Données projet'!$A$88,$BA$205^A66,IF(A66='Données projet'!$A$88,'Données projet'!$B$88,BD65+BC66-BL65)))</f>
        <v>295.51999999999987</v>
      </c>
      <c r="BE66" s="14">
        <f>BD66*VLOOKUP('Données projet'!$B$11,Paramètres!$A$1:$I$89,3,0)*VLOOKUP('Données projet'!$B$11,Paramètres!$A$1:$I$89,5,0)</f>
        <v>216.67526399999991</v>
      </c>
      <c r="BF66" s="14">
        <f t="shared" si="37"/>
        <v>53.391631603175213</v>
      </c>
      <c r="BG66" s="22">
        <f t="shared" si="7"/>
        <v>470.36650984219659</v>
      </c>
      <c r="BH66" s="60">
        <f t="shared" si="8"/>
        <v>735.60649679982703</v>
      </c>
      <c r="BI66" s="60">
        <f ca="1">AVERAGE(OFFSET($BH$3,0,0,'Données projet'!$E$11+1,1))-AVERAGE(OFFSET($H$3,0,0,'Données projet'!$E$11+1,1))</f>
        <v>366.5170155168056</v>
      </c>
      <c r="BJ66" s="60">
        <f t="shared" si="38"/>
        <v>394.05057214541966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0" t="e">
        <f t="shared" si="11"/>
        <v>#NUM!</v>
      </c>
      <c r="CD66" s="60">
        <f ca="1">AVERAGE(OFFSET($CC$3,0,0,'Données projet'!$E$12+1,1))-AVERAGE(OFFSET($H$3,0,0,'Données projet'!$E$12+1,1))</f>
        <v>333.512642972663</v>
      </c>
      <c r="CE66" s="60">
        <f t="shared" si="40"/>
        <v>464.18634682168488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230.99543999999995</v>
      </c>
      <c r="CV66" s="14">
        <f t="shared" si="41"/>
        <v>56.497864803589785</v>
      </c>
      <c r="CW66" s="22">
        <f t="shared" si="13"/>
        <v>500.71750586625211</v>
      </c>
      <c r="CX66" s="60">
        <f t="shared" si="14"/>
        <v>765.9574928238826</v>
      </c>
      <c r="CY66" s="60">
        <f ca="1">AVERAGE(OFFSET($CX$3,0,0,'Données projet'!$E$13+1,1))-AVERAGE(OFFSET($H$3,0,0,'Données projet'!$E$13+1,1))</f>
        <v>539.76438066597848</v>
      </c>
      <c r="CZ66" s="60">
        <f t="shared" si="42"/>
        <v>303.47238367344937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207.56111999999996</v>
      </c>
      <c r="DQ66" s="14">
        <f t="shared" si="43"/>
        <v>51.40226725537714</v>
      </c>
      <c r="DR66" s="22">
        <f t="shared" si="16"/>
        <v>451.02789946978169</v>
      </c>
      <c r="DS66" s="60">
        <f t="shared" si="17"/>
        <v>716.26788642741212</v>
      </c>
      <c r="DT66" s="60">
        <f ca="1">AVERAGE(OFFSET($DS$3,0,0,'Données projet'!$E$14+1,1))-AVERAGE(OFFSET($H$3,0,0,'Données projet'!$E$14+1,1))</f>
        <v>493.19478874005267</v>
      </c>
      <c r="DU66" s="60">
        <f t="shared" si="44"/>
        <v>278.78337903007821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12.4</v>
      </c>
      <c r="EJ66" s="13">
        <f>IF('Données projet'!$A$192&gt;35,EJ65+EI66-ER65,IF(A66&lt;'Données projet'!$A$192,$EG$205^A66,IF(A66='Données projet'!$A$192,'Données projet'!$B$192,EJ65+EI66-ER65)))</f>
        <v>373.2</v>
      </c>
      <c r="EK66" s="18">
        <f>EJ66*VLOOKUP('Données projet'!$B$15,Paramètres!$A$1:$I$89,3,0)*VLOOKUP('Données projet'!$B$15,Paramètres!$A$1:$I$89,5,0)</f>
        <v>320.20560000000006</v>
      </c>
      <c r="EL66" s="14">
        <f t="shared" si="45"/>
        <v>75.39613114202001</v>
      </c>
      <c r="EM66" s="22">
        <f t="shared" si="19"/>
        <v>689.006348405685</v>
      </c>
      <c r="EN66" s="60">
        <f t="shared" si="20"/>
        <v>954.24633536331544</v>
      </c>
      <c r="EO66" s="60">
        <f ca="1">AVERAGE(OFFSET($EN$3,0,0,'Données projet'!$E$15+1,1))-AVERAGE(OFFSET($H$3,0,0,'Données projet'!$E$15+1,1))</f>
        <v>698.30188737818639</v>
      </c>
      <c r="EP66" s="60">
        <f t="shared" si="46"/>
        <v>329.77977151358482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5.6</v>
      </c>
      <c r="FE66" s="13">
        <f>IF('Données projet'!$A$218&gt;35,FE65+FD66-FM65,IF(A66&lt;'Données projet'!$A$218,$FB$205^A66,IF(A66='Données projet'!$A$218,'Données projet'!$B$218,FE65+FD66-FM65)))</f>
        <v>220.80000000000004</v>
      </c>
      <c r="FF66" s="18">
        <f>FE66*VLOOKUP('Données projet'!$B$16,Paramètres!$A$1:$I$89,3,0)*VLOOKUP('Données projet'!$B$16,Paramètres!$A$1:$I$89,5,0)</f>
        <v>192.89088000000007</v>
      </c>
      <c r="FG66" s="14">
        <f t="shared" si="47"/>
        <v>48.178522586846704</v>
      </c>
      <c r="FH66" s="22">
        <f t="shared" si="22"/>
        <v>419.86254283875809</v>
      </c>
      <c r="FI66" s="60">
        <f t="shared" si="23"/>
        <v>685.10252979638858</v>
      </c>
      <c r="FJ66" s="60">
        <f ca="1">AVERAGE(OFFSET($FI$3,0,0,'Données projet'!$E$16+1,1))-AVERAGE(OFFSET($H$3,0,0,'Données projet'!$E$16+1,1))</f>
        <v>396.99335548279453</v>
      </c>
      <c r="FK66" s="60">
        <f t="shared" si="48"/>
        <v>388.89849573746335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62.338178261171961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4.6150000000000002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16.921666666666667</v>
      </c>
      <c r="H67" s="68">
        <f t="shared" si="1"/>
        <v>188.98000000000002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280.19999999999987</v>
      </c>
      <c r="O67" s="14">
        <f>N67*VLOOKUP('Données projet'!$B$9,Paramètres!$A$1:$I$89,3,0)*VLOOKUP('Données projet'!$B$9,Paramètres!$A$1:$I$89,5,0)</f>
        <v>253.52495999999985</v>
      </c>
      <c r="P67" s="14">
        <f t="shared" si="33"/>
        <v>61.34014179842216</v>
      </c>
      <c r="Q67" s="22">
        <f t="shared" ref="Q67:Q98" si="54">(O67+P67)*0.475*44/12</f>
        <v>548.39005229891836</v>
      </c>
      <c r="R67" s="60">
        <f t="shared" ref="R67:R130" si="55">Q67+(I67+J67)*44/12</f>
        <v>814.11739600885403</v>
      </c>
      <c r="S67" s="60">
        <f ca="1">AVERAGE(OFFSET($R$3,0,0,'Données projet'!$E$9+1,1))-AVERAGE(OFFSET($H$3,0,0,'Données projet'!$E$9+1,1))</f>
        <v>550.53475891182575</v>
      </c>
      <c r="T67" s="60">
        <f t="shared" si="34"/>
        <v>350.2500324347194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753.54176397165998</v>
      </c>
      <c r="AN67" s="60">
        <f ca="1">AVERAGE(OFFSET($AM$3,0,0,'Données projet'!$E$10+1,1))-AVERAGE(OFFSET($H$3,0,0,'Données projet'!$E$10+1,1))</f>
        <v>513.16577009788818</v>
      </c>
      <c r="AO67" s="60">
        <f t="shared" si="36"/>
        <v>289.37159333739146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5.2399999999999975</v>
      </c>
      <c r="BD67" s="13">
        <f>IF('Données projet'!$A$88&gt;35,BD66+BC67-BL66,IF(A67&lt;'Données projet'!$A$88,$BA$205^A67,IF(A67='Données projet'!$A$88,'Données projet'!$B$88,BD66+BC67-BL66)))</f>
        <v>300.75999999999988</v>
      </c>
      <c r="BE67" s="14">
        <f>BD67*VLOOKUP('Données projet'!$B$11,Paramètres!$A$1:$I$89,3,0)*VLOOKUP('Données projet'!$B$11,Paramètres!$A$1:$I$89,5,0)</f>
        <v>220.51723199999989</v>
      </c>
      <c r="BF67" s="14">
        <f t="shared" si="37"/>
        <v>54.22728817140964</v>
      </c>
      <c r="BG67" s="22">
        <f t="shared" si="7"/>
        <v>478.51337263187162</v>
      </c>
      <c r="BH67" s="60">
        <f t="shared" si="8"/>
        <v>744.24071634180734</v>
      </c>
      <c r="BI67" s="60">
        <f ca="1">AVERAGE(OFFSET($BH$3,0,0,'Données projet'!$E$11+1,1))-AVERAGE(OFFSET($H$3,0,0,'Données projet'!$E$11+1,1))</f>
        <v>366.5170155168056</v>
      </c>
      <c r="BJ67" s="60">
        <f t="shared" si="38"/>
        <v>394.05057214541966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0" t="e">
        <f t="shared" si="11"/>
        <v>#NUM!</v>
      </c>
      <c r="CD67" s="60">
        <f ca="1">AVERAGE(OFFSET($CC$3,0,0,'Données projet'!$E$12+1,1))-AVERAGE(OFFSET($H$3,0,0,'Données projet'!$E$12+1,1))</f>
        <v>333.512642972663</v>
      </c>
      <c r="CE67" s="60">
        <f t="shared" si="40"/>
        <v>464.18634682168488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238.74551999999991</v>
      </c>
      <c r="CV67" s="14">
        <f t="shared" si="41"/>
        <v>58.169540730060781</v>
      </c>
      <c r="CW67" s="22">
        <f t="shared" si="13"/>
        <v>517.12706410485578</v>
      </c>
      <c r="CX67" s="60">
        <f t="shared" si="14"/>
        <v>782.85440781479156</v>
      </c>
      <c r="CY67" s="60">
        <f ca="1">AVERAGE(OFFSET($CX$3,0,0,'Données projet'!$E$13+1,1))-AVERAGE(OFFSET($H$3,0,0,'Données projet'!$E$13+1,1))</f>
        <v>539.76438066597848</v>
      </c>
      <c r="CZ67" s="60">
        <f t="shared" si="42"/>
        <v>303.47238367344937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214.52495999999994</v>
      </c>
      <c r="DQ67" s="14">
        <f t="shared" si="43"/>
        <v>52.923173099085716</v>
      </c>
      <c r="DR67" s="22">
        <f t="shared" si="16"/>
        <v>465.80549848090754</v>
      </c>
      <c r="DS67" s="60">
        <f t="shared" si="17"/>
        <v>731.53284219084321</v>
      </c>
      <c r="DT67" s="60">
        <f ca="1">AVERAGE(OFFSET($DS$3,0,0,'Données projet'!$E$14+1,1))-AVERAGE(OFFSET($H$3,0,0,'Données projet'!$E$14+1,1))</f>
        <v>493.19478874005267</v>
      </c>
      <c r="DU67" s="60">
        <f t="shared" si="44"/>
        <v>278.78337903007821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12.4</v>
      </c>
      <c r="EJ67" s="13">
        <f>IF('Données projet'!$A$192&gt;35,EJ66+EI67-ER66,IF(A67&lt;'Données projet'!$A$192,$EG$205^A67,IF(A67='Données projet'!$A$192,'Données projet'!$B$192,EJ66+EI67-ER66)))</f>
        <v>385.59999999999997</v>
      </c>
      <c r="EK67" s="18">
        <f>EJ67*VLOOKUP('Données projet'!$B$15,Paramètres!$A$1:$I$89,3,0)*VLOOKUP('Données projet'!$B$15,Paramètres!$A$1:$I$89,5,0)</f>
        <v>330.84480000000002</v>
      </c>
      <c r="EL67" s="14">
        <f t="shared" si="45"/>
        <v>77.605429694617001</v>
      </c>
      <c r="EM67" s="22">
        <f t="shared" si="19"/>
        <v>711.38415005145782</v>
      </c>
      <c r="EN67" s="60">
        <f t="shared" si="20"/>
        <v>977.1114937613936</v>
      </c>
      <c r="EO67" s="60">
        <f ca="1">AVERAGE(OFFSET($EN$3,0,0,'Données projet'!$E$15+1,1))-AVERAGE(OFFSET($H$3,0,0,'Données projet'!$E$15+1,1))</f>
        <v>698.30188737818639</v>
      </c>
      <c r="EP67" s="60">
        <f t="shared" si="46"/>
        <v>329.77977151358482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5.6</v>
      </c>
      <c r="FE67" s="13">
        <f>IF('Données projet'!$A$218&gt;35,FE66+FD67-FM66,IF(A67&lt;'Données projet'!$A$218,$FB$205^A67,IF(A67='Données projet'!$A$218,'Données projet'!$B$218,FE66+FD67-FM66)))</f>
        <v>226.40000000000003</v>
      </c>
      <c r="FF67" s="18">
        <f>FE67*VLOOKUP('Données projet'!$B$16,Paramètres!$A$1:$I$89,3,0)*VLOOKUP('Données projet'!$B$16,Paramètres!$A$1:$I$89,5,0)</f>
        <v>197.78304000000006</v>
      </c>
      <c r="FG67" s="14">
        <f t="shared" si="47"/>
        <v>49.25663139053286</v>
      </c>
      <c r="FH67" s="22">
        <f t="shared" si="22"/>
        <v>430.26076100517821</v>
      </c>
      <c r="FI67" s="60">
        <f t="shared" si="23"/>
        <v>695.98810471511388</v>
      </c>
      <c r="FJ67" s="60">
        <f ca="1">AVERAGE(OFFSET($FI$3,0,0,'Données projet'!$E$16+1,1))-AVERAGE(OFFSET($H$3,0,0,'Données projet'!$E$16+1,1))</f>
        <v>396.99335548279453</v>
      </c>
      <c r="FK67" s="60">
        <f t="shared" si="48"/>
        <v>388.89849573746335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62.471093739073375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4.6150000000000002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16.921666666666667</v>
      </c>
      <c r="H68" s="68">
        <f t="shared" ref="H68:H131" si="56">(B68+E68+F68)*44/12+(C68+D68)*0.475*44/12</f>
        <v>188.98000000000002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288.99999999999989</v>
      </c>
      <c r="O68" s="14">
        <f>N68*VLOOKUP('Données projet'!$B$9,Paramètres!$A$1:$I$89,3,0)*VLOOKUP('Données projet'!$B$9,Paramètres!$A$1:$I$89,5,0)</f>
        <v>261.48719999999986</v>
      </c>
      <c r="P68" s="14">
        <f t="shared" si="33"/>
        <v>63.039283586802334</v>
      </c>
      <c r="Q68" s="22">
        <f t="shared" si="54"/>
        <v>565.21695891368051</v>
      </c>
      <c r="R68" s="60">
        <f t="shared" si="55"/>
        <v>831.42320482583534</v>
      </c>
      <c r="S68" s="60">
        <f ca="1">AVERAGE(OFFSET($R$3,0,0,'Données projet'!$E$9+1,1))-AVERAGE(OFFSET($H$3,0,0,'Données projet'!$E$9+1,1))</f>
        <v>550.53475891182575</v>
      </c>
      <c r="T68" s="60">
        <f t="shared" si="34"/>
        <v>350.2500324347194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769.48765960519177</v>
      </c>
      <c r="AN68" s="60">
        <f ca="1">AVERAGE(OFFSET($AM$3,0,0,'Données projet'!$E$10+1,1))-AVERAGE(OFFSET($H$3,0,0,'Données projet'!$E$10+1,1))</f>
        <v>513.16577009788818</v>
      </c>
      <c r="AO68" s="60">
        <f t="shared" si="36"/>
        <v>289.37159333739146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5.2399999999999975</v>
      </c>
      <c r="BC68" s="13">
        <f t="array" ref="BC68">INDEX(BB:BB,MIN(IF(ISNUMBER(BB68:BB264),ROW(BB68:BB264),"")))</f>
        <v>5.2399999999999975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224.3591999999999</v>
      </c>
      <c r="BF68" s="14">
        <f t="shared" si="37"/>
        <v>55.061251669487255</v>
      </c>
      <c r="BG68" s="22">
        <f t="shared" ref="BG68:BG131" si="61">(BE68+BF68)*0.475*44/12</f>
        <v>486.65728665769001</v>
      </c>
      <c r="BH68" s="60">
        <f t="shared" ref="BH68:BH131" si="62">BG68+(AY68+AZ68)*44/12</f>
        <v>752.86353256984489</v>
      </c>
      <c r="BI68" s="60">
        <f ca="1">AVERAGE(OFFSET($BH$3,0,0,'Données projet'!$E$11+1,1))-AVERAGE(OFFSET($H$3,0,0,'Données projet'!$E$11+1,1))</f>
        <v>366.5170155168056</v>
      </c>
      <c r="BJ68" s="60">
        <f t="shared" si="38"/>
        <v>394.05057214541966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0" t="e">
        <f t="shared" ref="CC68:CC131" si="65">CB68+(BT68+BU68)*44/12</f>
        <v>#NUM!</v>
      </c>
      <c r="CD68" s="60">
        <f ca="1">AVERAGE(OFFSET($CC$3,0,0,'Données projet'!$E$12+1,1))-AVERAGE(OFFSET($H$3,0,0,'Données projet'!$E$12+1,1))</f>
        <v>333.512642972663</v>
      </c>
      <c r="CE68" s="60">
        <f t="shared" si="40"/>
        <v>464.18634682168488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246.49559999999991</v>
      </c>
      <c r="CV68" s="14">
        <f t="shared" si="41"/>
        <v>59.834910912017278</v>
      </c>
      <c r="CW68" s="22">
        <f t="shared" ref="CW68:CW131" si="67">(CU68+CV68)*0.475*44/12</f>
        <v>533.52563983842992</v>
      </c>
      <c r="CX68" s="60">
        <f t="shared" ref="CX68:CX131" si="68">CW68+(CO68+CP68)*44/12</f>
        <v>799.73188575058475</v>
      </c>
      <c r="CY68" s="60">
        <f ca="1">AVERAGE(OFFSET($CX$3,0,0,'Données projet'!$E$13+1,1))-AVERAGE(OFFSET($H$3,0,0,'Données projet'!$E$13+1,1))</f>
        <v>539.76438066597848</v>
      </c>
      <c r="CZ68" s="60">
        <f t="shared" si="42"/>
        <v>303.47238367344937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221.48879999999991</v>
      </c>
      <c r="DQ68" s="14">
        <f t="shared" si="43"/>
        <v>54.43834191952984</v>
      </c>
      <c r="DR68" s="22">
        <f t="shared" ref="DR68:DR131" si="70">(DP68+DQ68)*0.475*44/12</f>
        <v>480.57310550984766</v>
      </c>
      <c r="DS68" s="60">
        <f t="shared" ref="DS68:DS131" si="71">DR68+(DJ68+DK68)*44/12</f>
        <v>746.77935142200249</v>
      </c>
      <c r="DT68" s="60">
        <f ca="1">AVERAGE(OFFSET($DS$3,0,0,'Données projet'!$E$14+1,1))-AVERAGE(OFFSET($H$3,0,0,'Données projet'!$E$14+1,1))</f>
        <v>493.19478874005267</v>
      </c>
      <c r="DU68" s="60">
        <f t="shared" si="44"/>
        <v>278.78337903007821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398</v>
      </c>
      <c r="EH68" s="13">
        <f>VLOOKUP(A68,'Données projet'!$A$191:$I$211,9,0)</f>
        <v>12.4</v>
      </c>
      <c r="EI68" s="13">
        <f t="array" ref="EI68">INDEX(EH:EH,MIN(IF(ISNUMBER(EH68:EH264),ROW(EH68:EH264),"")))</f>
        <v>12.4</v>
      </c>
      <c r="EJ68" s="13">
        <f>IF('Données projet'!$A$192&gt;35,EJ67+EI68-ER67,IF(A68&lt;'Données projet'!$A$192,$EG$205^A68,IF(A68='Données projet'!$A$192,'Données projet'!$B$192,EJ67+EI68-ER67)))</f>
        <v>397.99999999999994</v>
      </c>
      <c r="EK68" s="18">
        <f>EJ68*VLOOKUP('Données projet'!$B$15,Paramètres!$A$1:$I$89,3,0)*VLOOKUP('Données projet'!$B$15,Paramètres!$A$1:$I$89,5,0)</f>
        <v>341.48399999999998</v>
      </c>
      <c r="EL68" s="14">
        <f t="shared" si="45"/>
        <v>79.806472458430065</v>
      </c>
      <c r="EM68" s="22">
        <f t="shared" ref="EM68:EM131" si="73">(EK68+EL68)*0.475*44/12</f>
        <v>733.74757286509896</v>
      </c>
      <c r="EN68" s="60">
        <f t="shared" ref="EN68:EN131" si="74">EM68+(EE68+EF68)*44/12</f>
        <v>999.95381877725379</v>
      </c>
      <c r="EO68" s="60">
        <f ca="1">AVERAGE(OFFSET($EN$3,0,0,'Données projet'!$E$15+1,1))-AVERAGE(OFFSET($H$3,0,0,'Données projet'!$E$15+1,1))</f>
        <v>698.30188737818639</v>
      </c>
      <c r="EP68" s="60">
        <f t="shared" si="46"/>
        <v>329.77977151358482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70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232</v>
      </c>
      <c r="FC68" s="13">
        <f>VLOOKUP(A68,'Données projet'!$A$217:$I$237,9,0)</f>
        <v>5.6</v>
      </c>
      <c r="FD68" s="13">
        <f t="array" ref="FD68">INDEX(FC:FC,MIN(IF(ISNUMBER(FC68:FC264),ROW(FC68:FC264),"")))</f>
        <v>5.6</v>
      </c>
      <c r="FE68" s="13">
        <f>IF('Données projet'!$A$218&gt;35,FE67+FD68-FM67,IF(A68&lt;'Données projet'!$A$218,$FB$205^A68,IF(A68='Données projet'!$A$218,'Données projet'!$B$218,FE67+FD68-FM67)))</f>
        <v>232.00000000000003</v>
      </c>
      <c r="FF68" s="18">
        <f>FE68*VLOOKUP('Données projet'!$B$16,Paramètres!$A$1:$I$89,3,0)*VLOOKUP('Données projet'!$B$16,Paramètres!$A$1:$I$89,5,0)</f>
        <v>202.67520000000002</v>
      </c>
      <c r="FG68" s="14">
        <f t="shared" si="47"/>
        <v>50.331640285313689</v>
      </c>
      <c r="FH68" s="22">
        <f t="shared" ref="FH68:FH131" si="76">(FF68+FG68)*0.475*44/12</f>
        <v>440.653580163588</v>
      </c>
      <c r="FI68" s="60">
        <f t="shared" ref="FI68:FI131" si="77">FH68+(EZ68+FA68)*44/12</f>
        <v>706.85982607574283</v>
      </c>
      <c r="FJ68" s="60">
        <f ca="1">AVERAGE(OFFSET($FI$3,0,0,'Données projet'!$E$16+1,1))-AVERAGE(OFFSET($H$3,0,0,'Données projet'!$E$16+1,1))</f>
        <v>396.99335548279453</v>
      </c>
      <c r="FK68" s="60">
        <f t="shared" si="48"/>
        <v>388.89849573746335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62.601703430587676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4.6150000000000002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16.921666666666667</v>
      </c>
      <c r="H69" s="68">
        <f t="shared" si="56"/>
        <v>188.98000000000002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297.19999999999987</v>
      </c>
      <c r="O69" s="14">
        <f>N69*VLOOKUP('Données projet'!$B$9,Paramètres!$A$1:$I$89,3,0)*VLOOKUP('Données projet'!$B$9,Paramètres!$A$1:$I$89,5,0)</f>
        <v>268.9065599999999</v>
      </c>
      <c r="P69" s="14">
        <f t="shared" ref="P69:P132" si="87">EXP(-1.0587+0.8836*LN(O69)+0.284)</f>
        <v>64.617158945843769</v>
      </c>
      <c r="Q69" s="22">
        <f t="shared" si="54"/>
        <v>580.8871438306777</v>
      </c>
      <c r="R69" s="60">
        <f t="shared" si="55"/>
        <v>847.5639840625081</v>
      </c>
      <c r="S69" s="60">
        <f ca="1">AVERAGE(OFFSET($R$3,0,0,'Données projet'!$E$9+1,1))-AVERAGE(OFFSET($H$3,0,0,'Données projet'!$E$9+1,1))</f>
        <v>550.53475891182575</v>
      </c>
      <c r="T69" s="60">
        <f t="shared" ref="T69:T132" si="88">$T$3</f>
        <v>350.2500324347194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784.55673338880911</v>
      </c>
      <c r="AN69" s="60">
        <f ca="1">AVERAGE(OFFSET($AM$3,0,0,'Données projet'!$E$10+1,1))-AVERAGE(OFFSET($H$3,0,0,'Données projet'!$E$10+1,1))</f>
        <v>513.16577009788818</v>
      </c>
      <c r="AO69" s="60">
        <f t="shared" ref="AO69:AO132" si="90">$AO$3</f>
        <v>289.37159333739146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</v>
      </c>
      <c r="BD69" s="13">
        <f>IF('Données projet'!$A$88&gt;35,BD68+BC69-BL68,IF(A69&lt;'Données projet'!$A$88,$BA$205^A69,IF(A69='Données projet'!$A$88,'Données projet'!$B$88,BD68+BC69-BL68)))</f>
        <v>310.49999999999989</v>
      </c>
      <c r="BE69" s="14">
        <f>BD69*VLOOKUP('Données projet'!$B$11,Paramètres!$A$1:$I$89,3,0)*VLOOKUP('Données projet'!$B$11,Paramètres!$A$1:$I$89,5,0)</f>
        <v>227.65859999999992</v>
      </c>
      <c r="BF69" s="14">
        <f t="shared" ref="BF69:BF132" si="91">EXP(-1.0587+0.8836*LN(BE69)+0.284)</f>
        <v>55.776115016621809</v>
      </c>
      <c r="BG69" s="22">
        <f t="shared" si="61"/>
        <v>493.64879532061622</v>
      </c>
      <c r="BH69" s="60">
        <f t="shared" si="62"/>
        <v>760.32563555244656</v>
      </c>
      <c r="BI69" s="60">
        <f ca="1">AVERAGE(OFFSET($BH$3,0,0,'Données projet'!$E$11+1,1))-AVERAGE(OFFSET($H$3,0,0,'Données projet'!$E$11+1,1))</f>
        <v>366.5170155168056</v>
      </c>
      <c r="BJ69" s="60">
        <f t="shared" ref="BJ69:BJ132" si="92">$BJ$3</f>
        <v>394.05057214541966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0" t="e">
        <f t="shared" si="65"/>
        <v>#NUM!</v>
      </c>
      <c r="CD69" s="60">
        <f ca="1">AVERAGE(OFFSET($CC$3,0,0,'Données projet'!$E$12+1,1))-AVERAGE(OFFSET($H$3,0,0,'Données projet'!$E$12+1,1))</f>
        <v>333.512642972663</v>
      </c>
      <c r="CE69" s="60">
        <f t="shared" ref="CE69:CE132" si="94">$CE$3</f>
        <v>464.18634682168488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253.81511999999992</v>
      </c>
      <c r="CV69" s="14">
        <f t="shared" ref="CV69:CV132" si="95">EXP(-1.0587+0.8836*LN(CU69)+0.284)</f>
        <v>61.402169885153235</v>
      </c>
      <c r="CW69" s="22">
        <f t="shared" si="67"/>
        <v>549.00344654997514</v>
      </c>
      <c r="CX69" s="60">
        <f t="shared" si="68"/>
        <v>815.68028678180553</v>
      </c>
      <c r="CY69" s="60">
        <f ca="1">AVERAGE(OFFSET($CX$3,0,0,'Données projet'!$E$13+1,1))-AVERAGE(OFFSET($H$3,0,0,'Données projet'!$E$13+1,1))</f>
        <v>539.76438066597848</v>
      </c>
      <c r="CZ69" s="60">
        <f t="shared" ref="CZ69:CZ132" si="96">$CZ$3</f>
        <v>303.47238367344937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228.06575999999993</v>
      </c>
      <c r="DQ69" s="14">
        <f t="shared" ref="DQ69:DQ132" si="97">EXP(-1.0587+0.8836*LN(DP69)+0.284)</f>
        <v>55.864248276798108</v>
      </c>
      <c r="DR69" s="22">
        <f t="shared" si="70"/>
        <v>494.51143108208981</v>
      </c>
      <c r="DS69" s="60">
        <f t="shared" si="71"/>
        <v>761.18827131392027</v>
      </c>
      <c r="DT69" s="60">
        <f ca="1">AVERAGE(OFFSET($DS$3,0,0,'Données projet'!$E$14+1,1))-AVERAGE(OFFSET($H$3,0,0,'Données projet'!$E$14+1,1))</f>
        <v>493.19478874005267</v>
      </c>
      <c r="DU69" s="60">
        <f t="shared" ref="DU69:DU132" si="98">$DU$3</f>
        <v>278.78337903007821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11.8</v>
      </c>
      <c r="EJ69" s="13">
        <f>IF('Données projet'!$A$192&gt;35,EJ68+EI69-ER68,IF(A69&lt;'Données projet'!$A$192,$EG$205^A69,IF(A69='Données projet'!$A$192,'Données projet'!$B$192,EJ68+EI69-ER68)))</f>
        <v>339.79999999999995</v>
      </c>
      <c r="EK69" s="18">
        <f>EJ69*VLOOKUP('Données projet'!$B$15,Paramètres!$A$1:$I$89,3,0)*VLOOKUP('Données projet'!$B$15,Paramètres!$A$1:$I$89,5,0)</f>
        <v>291.54840000000002</v>
      </c>
      <c r="EL69" s="14">
        <f t="shared" ref="EL69:EL132" si="99">EXP(-1.0587+0.8836*LN(EK69)+0.284)</f>
        <v>69.40174753959208</v>
      </c>
      <c r="EM69" s="22">
        <f t="shared" si="73"/>
        <v>628.65484029812285</v>
      </c>
      <c r="EN69" s="60">
        <f t="shared" si="74"/>
        <v>895.33168052995325</v>
      </c>
      <c r="EO69" s="60">
        <f ca="1">AVERAGE(OFFSET($EN$3,0,0,'Données projet'!$E$15+1,1))-AVERAGE(OFFSET($H$3,0,0,'Données projet'!$E$15+1,1))</f>
        <v>698.30188737818639</v>
      </c>
      <c r="EP69" s="60">
        <f t="shared" ref="EP69:EP132" si="100">$EP$3</f>
        <v>329.77977151358482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5</v>
      </c>
      <c r="FE69" s="13">
        <f>IF('Données projet'!$A$218&gt;35,FE68+FD69-FM68,IF(A69&lt;'Données projet'!$A$218,$FB$205^A69,IF(A69='Données projet'!$A$218,'Données projet'!$B$218,FE68+FD69-FM68)))</f>
        <v>237.00000000000003</v>
      </c>
      <c r="FF69" s="18">
        <f>FE69*VLOOKUP('Données projet'!$B$16,Paramètres!$A$1:$I$89,3,0)*VLOOKUP('Données projet'!$B$16,Paramètres!$A$1:$I$89,5,0)</f>
        <v>207.04320000000004</v>
      </c>
      <c r="FG69" s="14">
        <f t="shared" ref="FG69:FG132" si="101">EXP(-1.0587+0.8836*LN(FF69)+0.284)</f>
        <v>51.288918231806321</v>
      </c>
      <c r="FH69" s="22">
        <f t="shared" si="76"/>
        <v>449.92843925372944</v>
      </c>
      <c r="FI69" s="60">
        <f t="shared" si="77"/>
        <v>716.60527948555978</v>
      </c>
      <c r="FJ69" s="60">
        <f ca="1">AVERAGE(OFFSET($FI$3,0,0,'Données projet'!$E$16+1,1))-AVERAGE(OFFSET($H$3,0,0,'Données projet'!$E$16+1,1))</f>
        <v>396.99335548279453</v>
      </c>
      <c r="FK69" s="60">
        <f t="shared" ref="FK69:FK132" si="102">$FK$3</f>
        <v>388.89849573746335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62.730047335953735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4.6150000000000002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16.921666666666667</v>
      </c>
      <c r="H70" s="68">
        <f t="shared" si="56"/>
        <v>188.98000000000002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305.39999999999986</v>
      </c>
      <c r="O70" s="14">
        <f>N70*VLOOKUP('Données projet'!$B$9,Paramètres!$A$1:$I$89,3,0)*VLOOKUP('Données projet'!$B$9,Paramètres!$A$1:$I$89,5,0)</f>
        <v>276.32591999999988</v>
      </c>
      <c r="P70" s="14">
        <f t="shared" si="87"/>
        <v>66.189974290480777</v>
      </c>
      <c r="Q70" s="22">
        <f t="shared" si="54"/>
        <v>596.54851588925385</v>
      </c>
      <c r="R70" s="60">
        <f t="shared" si="55"/>
        <v>863.68778668140476</v>
      </c>
      <c r="S70" s="60">
        <f ca="1">AVERAGE(OFFSET($R$3,0,0,'Données projet'!$E$9+1,1))-AVERAGE(OFFSET($H$3,0,0,'Données projet'!$E$9+1,1))</f>
        <v>550.53475891182575</v>
      </c>
      <c r="T70" s="60">
        <f t="shared" si="88"/>
        <v>350.2500324347194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799.60896496661121</v>
      </c>
      <c r="AN70" s="60">
        <f ca="1">AVERAGE(OFFSET($AM$3,0,0,'Données projet'!$E$10+1,1))-AVERAGE(OFFSET($H$3,0,0,'Données projet'!$E$10+1,1))</f>
        <v>513.16577009788818</v>
      </c>
      <c r="AO70" s="60">
        <f t="shared" si="90"/>
        <v>289.37159333739146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</v>
      </c>
      <c r="BD70" s="13">
        <f>IF('Données projet'!$A$88&gt;35,BD69+BC70-BL69,IF(A70&lt;'Données projet'!$A$88,$BA$205^A70,IF(A70='Données projet'!$A$88,'Données projet'!$B$88,BD69+BC70-BL69)))</f>
        <v>314.99999999999989</v>
      </c>
      <c r="BE70" s="14">
        <f>BD70*VLOOKUP('Données projet'!$B$11,Paramètres!$A$1:$I$89,3,0)*VLOOKUP('Données projet'!$B$11,Paramètres!$A$1:$I$89,5,0)</f>
        <v>230.95799999999988</v>
      </c>
      <c r="BF70" s="14">
        <f t="shared" si="91"/>
        <v>56.489773392384429</v>
      </c>
      <c r="BG70" s="22">
        <f t="shared" si="61"/>
        <v>500.63820532506929</v>
      </c>
      <c r="BH70" s="60">
        <f t="shared" si="62"/>
        <v>767.7774761172202</v>
      </c>
      <c r="BI70" s="60">
        <f ca="1">AVERAGE(OFFSET($BH$3,0,0,'Données projet'!$E$11+1,1))-AVERAGE(OFFSET($H$3,0,0,'Données projet'!$E$11+1,1))</f>
        <v>366.5170155168056</v>
      </c>
      <c r="BJ70" s="60">
        <f t="shared" si="92"/>
        <v>394.05057214541966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0" t="e">
        <f t="shared" si="65"/>
        <v>#NUM!</v>
      </c>
      <c r="CD70" s="60">
        <f ca="1">AVERAGE(OFFSET($CC$3,0,0,'Données projet'!$E$12+1,1))-AVERAGE(OFFSET($H$3,0,0,'Données projet'!$E$12+1,1))</f>
        <v>333.512642972663</v>
      </c>
      <c r="CE70" s="60">
        <f t="shared" si="94"/>
        <v>464.18634682168488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261.13463999999993</v>
      </c>
      <c r="CV70" s="14">
        <f t="shared" si="95"/>
        <v>62.964176023241265</v>
      </c>
      <c r="CW70" s="22">
        <f t="shared" si="67"/>
        <v>564.47210457381163</v>
      </c>
      <c r="CX70" s="60">
        <f t="shared" si="68"/>
        <v>831.61137536596243</v>
      </c>
      <c r="CY70" s="60">
        <f ca="1">AVERAGE(OFFSET($CX$3,0,0,'Données projet'!$E$13+1,1))-AVERAGE(OFFSET($H$3,0,0,'Données projet'!$E$13+1,1))</f>
        <v>539.76438066597848</v>
      </c>
      <c r="CZ70" s="60">
        <f t="shared" si="96"/>
        <v>303.47238367344937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234.64271999999994</v>
      </c>
      <c r="DQ70" s="14">
        <f t="shared" si="97"/>
        <v>57.285375557336316</v>
      </c>
      <c r="DR70" s="22">
        <f t="shared" si="70"/>
        <v>508.44143309569387</v>
      </c>
      <c r="DS70" s="60">
        <f t="shared" si="71"/>
        <v>775.58070388784472</v>
      </c>
      <c r="DT70" s="60">
        <f ca="1">AVERAGE(OFFSET($DS$3,0,0,'Données projet'!$E$14+1,1))-AVERAGE(OFFSET($H$3,0,0,'Données projet'!$E$14+1,1))</f>
        <v>493.19478874005267</v>
      </c>
      <c r="DU70" s="60">
        <f t="shared" si="98"/>
        <v>278.78337903007821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11.8</v>
      </c>
      <c r="EJ70" s="13">
        <f>IF('Données projet'!$A$192&gt;35,EJ69+EI70-ER69,IF(A70&lt;'Données projet'!$A$192,$EG$205^A70,IF(A70='Données projet'!$A$192,'Données projet'!$B$192,EJ69+EI70-ER69)))</f>
        <v>351.59999999999997</v>
      </c>
      <c r="EK70" s="18">
        <f>EJ70*VLOOKUP('Données projet'!$B$15,Paramètres!$A$1:$I$89,3,0)*VLOOKUP('Données projet'!$B$15,Paramètres!$A$1:$I$89,5,0)</f>
        <v>301.6728</v>
      </c>
      <c r="EL70" s="14">
        <f t="shared" si="99"/>
        <v>71.527033039285058</v>
      </c>
      <c r="EM70" s="22">
        <f t="shared" si="73"/>
        <v>649.98970921008811</v>
      </c>
      <c r="EN70" s="60">
        <f t="shared" si="74"/>
        <v>917.1289800022389</v>
      </c>
      <c r="EO70" s="60">
        <f ca="1">AVERAGE(OFFSET($EN$3,0,0,'Données projet'!$E$15+1,1))-AVERAGE(OFFSET($H$3,0,0,'Données projet'!$E$15+1,1))</f>
        <v>698.30188737818639</v>
      </c>
      <c r="EP70" s="60">
        <f t="shared" si="100"/>
        <v>329.77977151358482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5</v>
      </c>
      <c r="FE70" s="13">
        <f>IF('Données projet'!$A$218&gt;35,FE69+FD70-FM69,IF(A70&lt;'Données projet'!$A$218,$FB$205^A70,IF(A70='Données projet'!$A$218,'Données projet'!$B$218,FE69+FD70-FM69)))</f>
        <v>242.00000000000003</v>
      </c>
      <c r="FF70" s="18">
        <f>FE70*VLOOKUP('Données projet'!$B$16,Paramètres!$A$1:$I$89,3,0)*VLOOKUP('Données projet'!$B$16,Paramètres!$A$1:$I$89,5,0)</f>
        <v>211.41120000000006</v>
      </c>
      <c r="FG70" s="14">
        <f t="shared" si="101"/>
        <v>52.243848094411156</v>
      </c>
      <c r="FH70" s="22">
        <f t="shared" si="76"/>
        <v>459.19920876443285</v>
      </c>
      <c r="FI70" s="60">
        <f t="shared" si="77"/>
        <v>726.33847955658371</v>
      </c>
      <c r="FJ70" s="60">
        <f ca="1">AVERAGE(OFFSET($FI$3,0,0,'Données projet'!$E$16+1,1))-AVERAGE(OFFSET($H$3,0,0,'Données projet'!$E$16+1,1))</f>
        <v>396.99335548279453</v>
      </c>
      <c r="FK70" s="60">
        <f t="shared" si="102"/>
        <v>388.89849573746335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62.856164761495691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4.6150000000000002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16.921666666666667</v>
      </c>
      <c r="H71" s="68">
        <f t="shared" si="56"/>
        <v>188.98000000000002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313.59999999999985</v>
      </c>
      <c r="O71" s="14">
        <f>N71*VLOOKUP('Données projet'!$B$9,Paramètres!$A$1:$I$89,3,0)*VLOOKUP('Données projet'!$B$9,Paramètres!$A$1:$I$89,5,0)</f>
        <v>283.74527999999987</v>
      </c>
      <c r="P71" s="14">
        <f t="shared" si="87"/>
        <v>67.757881096630001</v>
      </c>
      <c r="Q71" s="22">
        <f t="shared" si="54"/>
        <v>612.20133890996374</v>
      </c>
      <c r="R71" s="60">
        <f t="shared" si="55"/>
        <v>879.79501812605338</v>
      </c>
      <c r="S71" s="60">
        <f ca="1">AVERAGE(OFFSET($R$3,0,0,'Données projet'!$E$9+1,1))-AVERAGE(OFFSET($H$3,0,0,'Données projet'!$E$9+1,1))</f>
        <v>550.53475891182575</v>
      </c>
      <c r="T71" s="60">
        <f t="shared" si="88"/>
        <v>350.2500324347194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814.64476715981766</v>
      </c>
      <c r="AN71" s="60">
        <f ca="1">AVERAGE(OFFSET($AM$3,0,0,'Données projet'!$E$10+1,1))-AVERAGE(OFFSET($H$3,0,0,'Données projet'!$E$10+1,1))</f>
        <v>513.16577009788818</v>
      </c>
      <c r="AO71" s="60">
        <f t="shared" si="90"/>
        <v>289.37159333739146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</v>
      </c>
      <c r="BD71" s="13">
        <f>IF('Données projet'!$A$88&gt;35,BD70+BC71-BL70,IF(A71&lt;'Données projet'!$A$88,$BA$205^A71,IF(A71='Données projet'!$A$88,'Données projet'!$B$88,BD70+BC71-BL70)))</f>
        <v>319.49999999999989</v>
      </c>
      <c r="BE71" s="14">
        <f>BD71*VLOOKUP('Données projet'!$B$11,Paramètres!$A$1:$I$89,3,0)*VLOOKUP('Données projet'!$B$11,Paramètres!$A$1:$I$89,5,0)</f>
        <v>234.2573999999999</v>
      </c>
      <c r="BF71" s="14">
        <f t="shared" si="91"/>
        <v>57.202245999692629</v>
      </c>
      <c r="BG71" s="22">
        <f t="shared" si="61"/>
        <v>507.62555011613114</v>
      </c>
      <c r="BH71" s="60">
        <f t="shared" si="62"/>
        <v>775.21922933222072</v>
      </c>
      <c r="BI71" s="60">
        <f ca="1">AVERAGE(OFFSET($BH$3,0,0,'Données projet'!$E$11+1,1))-AVERAGE(OFFSET($H$3,0,0,'Données projet'!$E$11+1,1))</f>
        <v>366.5170155168056</v>
      </c>
      <c r="BJ71" s="60">
        <f t="shared" si="92"/>
        <v>394.05057214541966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0" t="e">
        <f t="shared" si="65"/>
        <v>#NUM!</v>
      </c>
      <c r="CD71" s="60">
        <f ca="1">AVERAGE(OFFSET($CC$3,0,0,'Données projet'!$E$12+1,1))-AVERAGE(OFFSET($H$3,0,0,'Données projet'!$E$12+1,1))</f>
        <v>333.512642972663</v>
      </c>
      <c r="CE71" s="60">
        <f t="shared" si="94"/>
        <v>464.18634682168488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268.45415999999994</v>
      </c>
      <c r="CV71" s="14">
        <f t="shared" si="95"/>
        <v>64.521093475436089</v>
      </c>
      <c r="CW71" s="22">
        <f t="shared" si="67"/>
        <v>579.93189980305101</v>
      </c>
      <c r="CX71" s="60">
        <f t="shared" si="68"/>
        <v>847.52557901914065</v>
      </c>
      <c r="CY71" s="60">
        <f ca="1">AVERAGE(OFFSET($CX$3,0,0,'Données projet'!$E$13+1,1))-AVERAGE(OFFSET($H$3,0,0,'Données projet'!$E$13+1,1))</f>
        <v>539.76438066597848</v>
      </c>
      <c r="CZ71" s="60">
        <f t="shared" si="96"/>
        <v>303.47238367344937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241.21967999999995</v>
      </c>
      <c r="DQ71" s="14">
        <f t="shared" si="97"/>
        <v>58.701873105526744</v>
      </c>
      <c r="DR71" s="22">
        <f t="shared" si="70"/>
        <v>522.36337165879229</v>
      </c>
      <c r="DS71" s="60">
        <f t="shared" si="71"/>
        <v>789.95705087488193</v>
      </c>
      <c r="DT71" s="60">
        <f ca="1">AVERAGE(OFFSET($DS$3,0,0,'Données projet'!$E$14+1,1))-AVERAGE(OFFSET($H$3,0,0,'Données projet'!$E$14+1,1))</f>
        <v>493.19478874005267</v>
      </c>
      <c r="DU71" s="60">
        <f t="shared" si="98"/>
        <v>278.78337903007821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11.8</v>
      </c>
      <c r="EJ71" s="13">
        <f>IF('Données projet'!$A$192&gt;35,EJ70+EI71-ER70,IF(A71&lt;'Données projet'!$A$192,$EG$205^A71,IF(A71='Données projet'!$A$192,'Données projet'!$B$192,EJ70+EI71-ER70)))</f>
        <v>363.4</v>
      </c>
      <c r="EK71" s="18">
        <f>EJ71*VLOOKUP('Données projet'!$B$15,Paramètres!$A$1:$I$89,3,0)*VLOOKUP('Données projet'!$B$15,Paramètres!$A$1:$I$89,5,0)</f>
        <v>311.79720000000003</v>
      </c>
      <c r="EL71" s="14">
        <f t="shared" si="99"/>
        <v>73.644030695714719</v>
      </c>
      <c r="EM71" s="22">
        <f t="shared" si="73"/>
        <v>671.31014346170321</v>
      </c>
      <c r="EN71" s="60">
        <f t="shared" si="74"/>
        <v>938.90382267779285</v>
      </c>
      <c r="EO71" s="60">
        <f ca="1">AVERAGE(OFFSET($EN$3,0,0,'Données projet'!$E$15+1,1))-AVERAGE(OFFSET($H$3,0,0,'Données projet'!$E$15+1,1))</f>
        <v>698.30188737818639</v>
      </c>
      <c r="EP71" s="60">
        <f t="shared" si="100"/>
        <v>329.77977151358482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5</v>
      </c>
      <c r="FE71" s="13">
        <f>IF('Données projet'!$A$218&gt;35,FE70+FD71-FM70,IF(A71&lt;'Données projet'!$A$218,$FB$205^A71,IF(A71='Données projet'!$A$218,'Données projet'!$B$218,FE70+FD71-FM70)))</f>
        <v>247.00000000000003</v>
      </c>
      <c r="FF71" s="18">
        <f>FE71*VLOOKUP('Données projet'!$B$16,Paramètres!$A$1:$I$89,3,0)*VLOOKUP('Données projet'!$B$16,Paramètres!$A$1:$I$89,5,0)</f>
        <v>215.77920000000003</v>
      </c>
      <c r="FG71" s="14">
        <f t="shared" si="101"/>
        <v>53.196483976998607</v>
      </c>
      <c r="FH71" s="22">
        <f t="shared" si="76"/>
        <v>468.46598292660593</v>
      </c>
      <c r="FI71" s="60">
        <f t="shared" si="77"/>
        <v>736.05966214269552</v>
      </c>
      <c r="FJ71" s="60">
        <f ca="1">AVERAGE(OFFSET($FI$3,0,0,'Données projet'!$E$16+1,1))-AVERAGE(OFFSET($H$3,0,0,'Données projet'!$E$16+1,1))</f>
        <v>396.99335548279453</v>
      </c>
      <c r="FK71" s="60">
        <f t="shared" si="102"/>
        <v>388.89849573746335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62.980094331660808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4.6150000000000002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16.921666666666667</v>
      </c>
      <c r="H72" s="68">
        <f t="shared" si="56"/>
        <v>188.98000000000002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321.79999999999984</v>
      </c>
      <c r="O72" s="14">
        <f>N72*VLOOKUP('Données projet'!$B$9,Paramètres!$A$1:$I$89,3,0)*VLOOKUP('Données projet'!$B$9,Paramètres!$A$1:$I$89,5,0)</f>
        <v>291.16463999999985</v>
      </c>
      <c r="P72" s="14">
        <f t="shared" si="87"/>
        <v>69.321022467464573</v>
      </c>
      <c r="Q72" s="22">
        <f t="shared" si="54"/>
        <v>627.84586213083389</v>
      </c>
      <c r="R72" s="60">
        <f t="shared" si="55"/>
        <v>895.88606680061207</v>
      </c>
      <c r="S72" s="60">
        <f ca="1">AVERAGE(OFFSET($R$3,0,0,'Données projet'!$E$9+1,1))-AVERAGE(OFFSET($H$3,0,0,'Données projet'!$E$9+1,1))</f>
        <v>550.53475891182575</v>
      </c>
      <c r="T72" s="60">
        <f t="shared" si="88"/>
        <v>350.2500324347194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829.66453470238207</v>
      </c>
      <c r="AN72" s="60">
        <f ca="1">AVERAGE(OFFSET($AM$3,0,0,'Données projet'!$E$10+1,1))-AVERAGE(OFFSET($H$3,0,0,'Données projet'!$E$10+1,1))</f>
        <v>513.16577009788818</v>
      </c>
      <c r="AO72" s="60">
        <f t="shared" si="90"/>
        <v>289.37159333739146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</v>
      </c>
      <c r="BD72" s="13">
        <f>IF('Données projet'!$A$88&gt;35,BD71+BC72-BL71,IF(A72&lt;'Données projet'!$A$88,$BA$205^A72,IF(A72='Données projet'!$A$88,'Données projet'!$B$88,BD71+BC72-BL71)))</f>
        <v>323.99999999999989</v>
      </c>
      <c r="BE72" s="14">
        <f>BD72*VLOOKUP('Données projet'!$B$11,Paramètres!$A$1:$I$89,3,0)*VLOOKUP('Données projet'!$B$11,Paramètres!$A$1:$I$89,5,0)</f>
        <v>237.55679999999992</v>
      </c>
      <c r="BF72" s="14">
        <f t="shared" si="91"/>
        <v>57.913551469467308</v>
      </c>
      <c r="BG72" s="22">
        <f t="shared" si="61"/>
        <v>514.61086214265538</v>
      </c>
      <c r="BH72" s="60">
        <f t="shared" si="62"/>
        <v>782.65106681243356</v>
      </c>
      <c r="BI72" s="60">
        <f ca="1">AVERAGE(OFFSET($BH$3,0,0,'Données projet'!$E$11+1,1))-AVERAGE(OFFSET($H$3,0,0,'Données projet'!$E$11+1,1))</f>
        <v>366.5170155168056</v>
      </c>
      <c r="BJ72" s="60">
        <f t="shared" si="92"/>
        <v>394.05057214541966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0" t="e">
        <f t="shared" si="65"/>
        <v>#NUM!</v>
      </c>
      <c r="CD72" s="60">
        <f ca="1">AVERAGE(OFFSET($CC$3,0,0,'Données projet'!$E$12+1,1))-AVERAGE(OFFSET($H$3,0,0,'Données projet'!$E$12+1,1))</f>
        <v>333.512642972663</v>
      </c>
      <c r="CE72" s="60">
        <f t="shared" si="94"/>
        <v>464.18634682168488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275.7736799999999</v>
      </c>
      <c r="CV72" s="14">
        <f t="shared" si="95"/>
        <v>66.073076930208813</v>
      </c>
      <c r="CW72" s="22">
        <f t="shared" si="67"/>
        <v>595.38310165344672</v>
      </c>
      <c r="CX72" s="60">
        <f t="shared" si="68"/>
        <v>863.42330632322478</v>
      </c>
      <c r="CY72" s="60">
        <f ca="1">AVERAGE(OFFSET($CX$3,0,0,'Données projet'!$E$13+1,1))-AVERAGE(OFFSET($H$3,0,0,'Données projet'!$E$13+1,1))</f>
        <v>539.76438066597848</v>
      </c>
      <c r="CZ72" s="60">
        <f t="shared" si="96"/>
        <v>303.47238367344937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247.79663999999997</v>
      </c>
      <c r="DQ72" s="14">
        <f t="shared" si="97"/>
        <v>60.113881658336368</v>
      </c>
      <c r="DR72" s="22">
        <f t="shared" si="70"/>
        <v>536.27749188826908</v>
      </c>
      <c r="DS72" s="60">
        <f t="shared" si="71"/>
        <v>804.31769655804715</v>
      </c>
      <c r="DT72" s="60">
        <f ca="1">AVERAGE(OFFSET($DS$3,0,0,'Données projet'!$E$14+1,1))-AVERAGE(OFFSET($H$3,0,0,'Données projet'!$E$14+1,1))</f>
        <v>493.19478874005267</v>
      </c>
      <c r="DU72" s="60">
        <f t="shared" si="98"/>
        <v>278.78337903007821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11.8</v>
      </c>
      <c r="EJ72" s="13">
        <f>IF('Données projet'!$A$192&gt;35,EJ71+EI72-ER71,IF(A72&lt;'Données projet'!$A$192,$EG$205^A72,IF(A72='Données projet'!$A$192,'Données projet'!$B$192,EJ71+EI72-ER71)))</f>
        <v>375.2</v>
      </c>
      <c r="EK72" s="18">
        <f>EJ72*VLOOKUP('Données projet'!$B$15,Paramètres!$A$1:$I$89,3,0)*VLOOKUP('Données projet'!$B$15,Paramètres!$A$1:$I$89,5,0)</f>
        <v>321.92160000000001</v>
      </c>
      <c r="EL72" s="14">
        <f t="shared" si="99"/>
        <v>75.753040489321577</v>
      </c>
      <c r="EM72" s="22">
        <f t="shared" si="73"/>
        <v>692.61666551890175</v>
      </c>
      <c r="EN72" s="60">
        <f t="shared" si="74"/>
        <v>960.65687018867993</v>
      </c>
      <c r="EO72" s="60">
        <f ca="1">AVERAGE(OFFSET($EN$3,0,0,'Données projet'!$E$15+1,1))-AVERAGE(OFFSET($H$3,0,0,'Données projet'!$E$15+1,1))</f>
        <v>698.30188737818639</v>
      </c>
      <c r="EP72" s="60">
        <f t="shared" si="100"/>
        <v>329.77977151358482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5</v>
      </c>
      <c r="FE72" s="13">
        <f>IF('Données projet'!$A$218&gt;35,FE71+FD72-FM71,IF(A72&lt;'Données projet'!$A$218,$FB$205^A72,IF(A72='Données projet'!$A$218,'Données projet'!$B$218,FE71+FD72-FM71)))</f>
        <v>252.00000000000003</v>
      </c>
      <c r="FF72" s="18">
        <f>FE72*VLOOKUP('Données projet'!$B$16,Paramètres!$A$1:$I$89,3,0)*VLOOKUP('Données projet'!$B$16,Paramètres!$A$1:$I$89,5,0)</f>
        <v>220.14720000000005</v>
      </c>
      <c r="FG72" s="14">
        <f t="shared" si="101"/>
        <v>54.146877667769687</v>
      </c>
      <c r="FH72" s="22">
        <f t="shared" si="76"/>
        <v>477.72885193803222</v>
      </c>
      <c r="FI72" s="60">
        <f t="shared" si="77"/>
        <v>745.7690566078104</v>
      </c>
      <c r="FJ72" s="60">
        <f ca="1">AVERAGE(OFFSET($FI$3,0,0,'Données projet'!$E$16+1,1))-AVERAGE(OFFSET($H$3,0,0,'Données projet'!$E$16+1,1))</f>
        <v>396.99335548279453</v>
      </c>
      <c r="FK72" s="60">
        <f t="shared" si="102"/>
        <v>388.89849573746335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63.101874000848575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4.6150000000000002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16.921666666666667</v>
      </c>
      <c r="H73" s="68">
        <f t="shared" si="56"/>
        <v>188.98000000000002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330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329.99999999999983</v>
      </c>
      <c r="O73" s="14">
        <f>N73*VLOOKUP('Données projet'!$B$9,Paramètres!$A$1:$I$89,3,0)*VLOOKUP('Données projet'!$B$9,Paramètres!$A$1:$I$89,5,0)</f>
        <v>298.58399999999983</v>
      </c>
      <c r="P73" s="14">
        <f t="shared" si="87"/>
        <v>70.879533797607607</v>
      </c>
      <c r="Q73" s="22">
        <f t="shared" si="54"/>
        <v>643.4823213641663</v>
      </c>
      <c r="R73" s="60">
        <f t="shared" si="55"/>
        <v>911.96130526929278</v>
      </c>
      <c r="S73" s="60">
        <f ca="1">AVERAGE(OFFSET($R$3,0,0,'Données projet'!$E$9+1,1))-AVERAGE(OFFSET($H$3,0,0,'Données projet'!$E$9+1,1))</f>
        <v>550.53475891182575</v>
      </c>
      <c r="T73" s="60">
        <f t="shared" si="88"/>
        <v>350.2500324347194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56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844.66864557509848</v>
      </c>
      <c r="AN73" s="60">
        <f ca="1">AVERAGE(OFFSET($AM$3,0,0,'Données projet'!$E$10+1,1))-AVERAGE(OFFSET($H$3,0,0,'Données projet'!$E$10+1,1))</f>
        <v>513.16577009788818</v>
      </c>
      <c r="AO73" s="60">
        <f t="shared" si="90"/>
        <v>289.37159333739146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328.5</v>
      </c>
      <c r="BB73" s="13">
        <f>VLOOKUP(A73,'Données projet'!$A$87:$I$107,9,0)</f>
        <v>4.5</v>
      </c>
      <c r="BC73" s="13">
        <f t="array" ref="BC73">INDEX(BB:BB,MIN(IF(ISNUMBER(BB73:BB269),ROW(BB73:BB269),"")))</f>
        <v>4.5</v>
      </c>
      <c r="BD73" s="13">
        <f>IF('Données projet'!$A$88&gt;35,BD72+BC73-BL72,IF(A73&lt;'Données projet'!$A$88,$BA$205^A73,IF(A73='Données projet'!$A$88,'Données projet'!$B$88,BD72+BC73-BL72)))</f>
        <v>328.49999999999989</v>
      </c>
      <c r="BE73" s="14">
        <f>BD73*VLOOKUP('Données projet'!$B$11,Paramètres!$A$1:$I$89,3,0)*VLOOKUP('Données projet'!$B$11,Paramètres!$A$1:$I$89,5,0)</f>
        <v>240.85619999999989</v>
      </c>
      <c r="BF73" s="14">
        <f t="shared" si="91"/>
        <v>58.623707885373882</v>
      </c>
      <c r="BG73" s="22">
        <f t="shared" si="61"/>
        <v>521.59417290035935</v>
      </c>
      <c r="BH73" s="60">
        <f t="shared" si="62"/>
        <v>790.07315680548572</v>
      </c>
      <c r="BI73" s="60">
        <f ca="1">AVERAGE(OFFSET($BH$3,0,0,'Données projet'!$E$11+1,1))-AVERAGE(OFFSET($H$3,0,0,'Données projet'!$E$11+1,1))</f>
        <v>366.5170155168056</v>
      </c>
      <c r="BJ73" s="60">
        <f t="shared" si="92"/>
        <v>394.05057214541966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0" t="e">
        <f t="shared" si="65"/>
        <v>#NUM!</v>
      </c>
      <c r="CD73" s="60">
        <f ca="1">AVERAGE(OFFSET($CC$3,0,0,'Données projet'!$E$12+1,1))-AVERAGE(OFFSET($H$3,0,0,'Données projet'!$E$12+1,1))</f>
        <v>333.512642972663</v>
      </c>
      <c r="CE73" s="60">
        <f t="shared" si="94"/>
        <v>464.18634682168488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283.09319999999991</v>
      </c>
      <c r="CV73" s="14">
        <f t="shared" si="95"/>
        <v>67.620272397048666</v>
      </c>
      <c r="CW73" s="22">
        <f t="shared" si="67"/>
        <v>610.82596442485954</v>
      </c>
      <c r="CX73" s="60">
        <f t="shared" si="68"/>
        <v>879.30494832998602</v>
      </c>
      <c r="CY73" s="60">
        <f ca="1">AVERAGE(OFFSET($CX$3,0,0,'Données projet'!$E$13+1,1))-AVERAGE(OFFSET($H$3,0,0,'Données projet'!$E$13+1,1))</f>
        <v>539.76438066597848</v>
      </c>
      <c r="CZ73" s="60">
        <f t="shared" si="96"/>
        <v>303.47238367344937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254.37359999999998</v>
      </c>
      <c r="DQ73" s="14">
        <f t="shared" si="97"/>
        <v>61.521534056516209</v>
      </c>
      <c r="DR73" s="22">
        <f t="shared" si="70"/>
        <v>550.1840251484324</v>
      </c>
      <c r="DS73" s="60">
        <f t="shared" si="71"/>
        <v>818.66300905355888</v>
      </c>
      <c r="DT73" s="60">
        <f ca="1">AVERAGE(OFFSET($DS$3,0,0,'Données projet'!$E$14+1,1))-AVERAGE(OFFSET($H$3,0,0,'Données projet'!$E$14+1,1))</f>
        <v>493.19478874005267</v>
      </c>
      <c r="DU73" s="60">
        <f t="shared" si="98"/>
        <v>278.78337903007821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387</v>
      </c>
      <c r="EH73" s="13">
        <f>VLOOKUP(A73,'Données projet'!$A$191:$I$211,9,0)</f>
        <v>11.8</v>
      </c>
      <c r="EI73" s="13">
        <f t="array" ref="EI73">INDEX(EH:EH,MIN(IF(ISNUMBER(EH73:EH269),ROW(EH73:EH269),"")))</f>
        <v>11.8</v>
      </c>
      <c r="EJ73" s="13">
        <f>IF('Données projet'!$A$192&gt;35,EJ72+EI73-ER72,IF(A73&lt;'Données projet'!$A$192,$EG$205^A73,IF(A73='Données projet'!$A$192,'Données projet'!$B$192,EJ72+EI73-ER72)))</f>
        <v>387</v>
      </c>
      <c r="EK73" s="18">
        <f>EJ73*VLOOKUP('Données projet'!$B$15,Paramètres!$A$1:$I$89,3,0)*VLOOKUP('Données projet'!$B$15,Paramètres!$A$1:$I$89,5,0)</f>
        <v>332.04600000000005</v>
      </c>
      <c r="EL73" s="14">
        <f t="shared" si="99"/>
        <v>77.854342460208699</v>
      </c>
      <c r="EM73" s="22">
        <f t="shared" si="73"/>
        <v>713.90976311819679</v>
      </c>
      <c r="EN73" s="60">
        <f t="shared" si="74"/>
        <v>982.38874702332328</v>
      </c>
      <c r="EO73" s="60">
        <f ca="1">AVERAGE(OFFSET($EN$3,0,0,'Données projet'!$E$15+1,1))-AVERAGE(OFFSET($H$3,0,0,'Données projet'!$E$15+1,1))</f>
        <v>698.30188737818639</v>
      </c>
      <c r="EP73" s="60">
        <f t="shared" si="100"/>
        <v>329.77977151358482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257</v>
      </c>
      <c r="FC73" s="13">
        <f>VLOOKUP(A73,'Données projet'!$A$217:$I$237,9,0)</f>
        <v>5</v>
      </c>
      <c r="FD73" s="13">
        <f t="array" ref="FD73">INDEX(FC:FC,MIN(IF(ISNUMBER(FC73:FC269),ROW(FC73:FC269),"")))</f>
        <v>5</v>
      </c>
      <c r="FE73" s="13">
        <f>IF('Données projet'!$A$218&gt;35,FE72+FD73-FM72,IF(A73&lt;'Données projet'!$A$218,$FB$205^A73,IF(A73='Données projet'!$A$218,'Données projet'!$B$218,FE72+FD73-FM72)))</f>
        <v>257</v>
      </c>
      <c r="FF73" s="18">
        <f>FE73*VLOOKUP('Données projet'!$B$16,Paramètres!$A$1:$I$89,3,0)*VLOOKUP('Données projet'!$B$16,Paramètres!$A$1:$I$89,5,0)</f>
        <v>224.51520000000002</v>
      </c>
      <c r="FG73" s="14">
        <f t="shared" si="101"/>
        <v>55.095078782313543</v>
      </c>
      <c r="FH73" s="22">
        <f t="shared" si="76"/>
        <v>486.98790221252949</v>
      </c>
      <c r="FI73" s="60">
        <f t="shared" si="77"/>
        <v>755.46688611765592</v>
      </c>
      <c r="FJ73" s="60">
        <f ca="1">AVERAGE(OFFSET($FI$3,0,0,'Données projet'!$E$16+1,1))-AVERAGE(OFFSET($H$3,0,0,'Données projet'!$E$16+1,1))</f>
        <v>396.99335548279453</v>
      </c>
      <c r="FK73" s="60">
        <f t="shared" si="102"/>
        <v>388.89849573746335</v>
      </c>
      <c r="FL73" s="16">
        <f>IF(ISNA(VLOOKUP(A73,'Données projet'!$A$217:$I$237,3,0)),0,VLOOKUP(A73,'Données projet'!$A$217:$I$237,3,0))</f>
        <v>6</v>
      </c>
      <c r="FM73" s="16">
        <f>IF(ISNA(VLOOKUP(A73,'Données projet'!$A$217:$I$237,4,0)),0,VLOOKUP(A73,'Données projet'!$A$217:$I$237,4,0))</f>
        <v>38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63.221541065034486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4.6150000000000002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16.921666666666667</v>
      </c>
      <c r="H74" s="68">
        <f t="shared" si="56"/>
        <v>188.98000000000002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281.59999999999985</v>
      </c>
      <c r="O74" s="14">
        <f>N74*VLOOKUP('Données projet'!$B$9,Paramètres!$A$1:$I$89,3,0)*VLOOKUP('Données projet'!$B$9,Paramètres!$A$1:$I$89,5,0)</f>
        <v>254.79167999999984</v>
      </c>
      <c r="P74" s="14">
        <f t="shared" si="87"/>
        <v>61.610870508448471</v>
      </c>
      <c r="Q74" s="22">
        <f t="shared" si="54"/>
        <v>551.06777546888077</v>
      </c>
      <c r="R74" s="60">
        <f t="shared" si="55"/>
        <v>819.97792677058567</v>
      </c>
      <c r="S74" s="60">
        <f ca="1">AVERAGE(OFFSET($R$3,0,0,'Données projet'!$E$9+1,1))-AVERAGE(OFFSET($H$3,0,0,'Données projet'!$E$9+1,1))</f>
        <v>550.53475891182575</v>
      </c>
      <c r="T74" s="60">
        <f t="shared" si="88"/>
        <v>350.2500324347194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768.32577293682357</v>
      </c>
      <c r="AN74" s="60">
        <f ca="1">AVERAGE(OFFSET($AM$3,0,0,'Données projet'!$E$10+1,1))-AVERAGE(OFFSET($H$3,0,0,'Données projet'!$E$10+1,1))</f>
        <v>513.16577009788818</v>
      </c>
      <c r="AO74" s="60">
        <f t="shared" si="90"/>
        <v>289.37159333739146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4.1799999999999953</v>
      </c>
      <c r="BD74" s="13">
        <f>IF('Données projet'!$A$88&gt;35,BD73+BC74-BL73,IF(A74&lt;'Données projet'!$A$88,$BA$205^A74,IF(A74='Données projet'!$A$88,'Données projet'!$B$88,BD73+BC74-BL73)))</f>
        <v>306.77999999999992</v>
      </c>
      <c r="BE74" s="14">
        <f>BD74*VLOOKUP('Données projet'!$B$11,Paramètres!$A$1:$I$89,3,0)*VLOOKUP('Données projet'!$B$11,Paramètres!$A$1:$I$89,5,0)</f>
        <v>224.93109599999991</v>
      </c>
      <c r="BF74" s="14">
        <f t="shared" si="91"/>
        <v>55.185248501771945</v>
      </c>
      <c r="BG74" s="22">
        <f t="shared" si="61"/>
        <v>487.8693000072526</v>
      </c>
      <c r="BH74" s="60">
        <f t="shared" si="62"/>
        <v>756.7794513089575</v>
      </c>
      <c r="BI74" s="60">
        <f ca="1">AVERAGE(OFFSET($BH$3,0,0,'Données projet'!$E$11+1,1))-AVERAGE(OFFSET($H$3,0,0,'Données projet'!$E$11+1,1))</f>
        <v>366.5170155168056</v>
      </c>
      <c r="BJ74" s="60">
        <f t="shared" si="92"/>
        <v>394.05057214541966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0" t="e">
        <f t="shared" si="65"/>
        <v>#NUM!</v>
      </c>
      <c r="CD74" s="60">
        <f ca="1">AVERAGE(OFFSET($CC$3,0,0,'Données projet'!$E$12+1,1))-AVERAGE(OFFSET($H$3,0,0,'Données projet'!$E$12+1,1))</f>
        <v>333.512642972663</v>
      </c>
      <c r="CE74" s="60">
        <f t="shared" si="94"/>
        <v>464.18634682168488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244.55807999999993</v>
      </c>
      <c r="CV74" s="14">
        <f t="shared" si="95"/>
        <v>59.419147189674156</v>
      </c>
      <c r="CW74" s="22">
        <f t="shared" si="67"/>
        <v>529.42700402201569</v>
      </c>
      <c r="CX74" s="60">
        <f t="shared" si="68"/>
        <v>798.33715532372059</v>
      </c>
      <c r="CY74" s="60">
        <f ca="1">AVERAGE(OFFSET($CX$3,0,0,'Données projet'!$E$13+1,1))-AVERAGE(OFFSET($H$3,0,0,'Données projet'!$E$13+1,1))</f>
        <v>539.76438066597848</v>
      </c>
      <c r="CZ74" s="60">
        <f t="shared" si="96"/>
        <v>303.47238367344937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219.74783999999994</v>
      </c>
      <c r="DQ74" s="14">
        <f t="shared" si="97"/>
        <v>54.060076332940561</v>
      </c>
      <c r="DR74" s="22">
        <f t="shared" si="70"/>
        <v>476.88212094653812</v>
      </c>
      <c r="DS74" s="60">
        <f t="shared" si="71"/>
        <v>745.79227224824308</v>
      </c>
      <c r="DT74" s="60">
        <f ca="1">AVERAGE(OFFSET($DS$3,0,0,'Données projet'!$E$14+1,1))-AVERAGE(OFFSET($H$3,0,0,'Données projet'!$E$14+1,1))</f>
        <v>493.19478874005267</v>
      </c>
      <c r="DU74" s="60">
        <f t="shared" si="98"/>
        <v>278.78337903007821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</v>
      </c>
      <c r="EJ74" s="13">
        <f>IF('Données projet'!$A$192&gt;35,EJ73+EI74-ER73,IF(A74&lt;'Données projet'!$A$192,$EG$205^A74,IF(A74='Données projet'!$A$192,'Données projet'!$B$192,EJ73+EI74-ER73)))</f>
        <v>398</v>
      </c>
      <c r="EK74" s="18">
        <f>EJ74*VLOOKUP('Données projet'!$B$15,Paramètres!$A$1:$I$89,3,0)*VLOOKUP('Données projet'!$B$15,Paramètres!$A$1:$I$89,5,0)</f>
        <v>341.48400000000004</v>
      </c>
      <c r="EL74" s="14">
        <f t="shared" si="99"/>
        <v>79.806472458430065</v>
      </c>
      <c r="EM74" s="22">
        <f t="shared" si="73"/>
        <v>733.74757286509896</v>
      </c>
      <c r="EN74" s="60">
        <f t="shared" si="74"/>
        <v>1002.6577241668039</v>
      </c>
      <c r="EO74" s="60">
        <f ca="1">AVERAGE(OFFSET($EN$3,0,0,'Données projet'!$E$15+1,1))-AVERAGE(OFFSET($H$3,0,0,'Données projet'!$E$15+1,1))</f>
        <v>698.30188737818639</v>
      </c>
      <c r="EP74" s="60">
        <f t="shared" si="100"/>
        <v>329.77977151358482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4.4000000000000004</v>
      </c>
      <c r="FE74" s="13">
        <f>IF('Données projet'!$A$218&gt;35,FE73+FD74-FM73,IF(A74&lt;'Données projet'!$A$218,$FB$205^A74,IF(A74='Données projet'!$A$218,'Données projet'!$B$218,FE73+FD74-FM73)))</f>
        <v>223.39999999999998</v>
      </c>
      <c r="FF74" s="18">
        <f>FE74*VLOOKUP('Données projet'!$B$16,Paramètres!$A$1:$I$89,3,0)*VLOOKUP('Données projet'!$B$16,Paramètres!$A$1:$I$89,5,0)</f>
        <v>195.16224</v>
      </c>
      <c r="FG74" s="14">
        <f t="shared" si="101"/>
        <v>48.67946410296608</v>
      </c>
      <c r="FH74" s="22">
        <f t="shared" si="76"/>
        <v>424.69096797933253</v>
      </c>
      <c r="FI74" s="60">
        <f t="shared" si="77"/>
        <v>693.60111928103743</v>
      </c>
      <c r="FJ74" s="60">
        <f ca="1">AVERAGE(OFFSET($FI$3,0,0,'Données projet'!$E$16+1,1))-AVERAGE(OFFSET($H$3,0,0,'Données projet'!$E$16+1,1))</f>
        <v>396.99335548279453</v>
      </c>
      <c r="FK74" s="60">
        <f t="shared" si="102"/>
        <v>388.89849573746335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63.339132173192247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4.6150000000000002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16.921666666666667</v>
      </c>
      <c r="H75" s="68">
        <f t="shared" si="56"/>
        <v>188.98000000000002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289.19999999999987</v>
      </c>
      <c r="O75" s="14">
        <f>N75*VLOOKUP('Données projet'!$B$9,Paramètres!$A$1:$I$89,3,0)*VLOOKUP('Données projet'!$B$9,Paramètres!$A$1:$I$89,5,0)</f>
        <v>261.66815999999989</v>
      </c>
      <c r="P75" s="14">
        <f t="shared" si="87"/>
        <v>63.077829793082856</v>
      </c>
      <c r="Q75" s="22">
        <f t="shared" si="54"/>
        <v>565.59926555628579</v>
      </c>
      <c r="R75" s="60">
        <f t="shared" si="55"/>
        <v>834.93310446418445</v>
      </c>
      <c r="S75" s="60">
        <f ca="1">AVERAGE(OFFSET($R$3,0,0,'Données projet'!$E$9+1,1))-AVERAGE(OFFSET($H$3,0,0,'Données projet'!$E$9+1,1))</f>
        <v>550.53475891182575</v>
      </c>
      <c r="T75" s="60">
        <f t="shared" si="88"/>
        <v>350.2500324347194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782.06233298025859</v>
      </c>
      <c r="AN75" s="60">
        <f ca="1">AVERAGE(OFFSET($AM$3,0,0,'Données projet'!$E$10+1,1))-AVERAGE(OFFSET($H$3,0,0,'Données projet'!$E$10+1,1))</f>
        <v>513.16577009788818</v>
      </c>
      <c r="AO75" s="60">
        <f t="shared" si="90"/>
        <v>289.37159333739146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4.1799999999999953</v>
      </c>
      <c r="BD75" s="13">
        <f>IF('Données projet'!$A$88&gt;35,BD74+BC75-BL74,IF(A75&lt;'Données projet'!$A$88,$BA$205^A75,IF(A75='Données projet'!$A$88,'Données projet'!$B$88,BD74+BC75-BL74)))</f>
        <v>310.95999999999992</v>
      </c>
      <c r="BE75" s="14">
        <f>BD75*VLOOKUP('Données projet'!$B$11,Paramètres!$A$1:$I$89,3,0)*VLOOKUP('Données projet'!$B$11,Paramètres!$A$1:$I$89,5,0)</f>
        <v>227.99587199999993</v>
      </c>
      <c r="BF75" s="14">
        <f t="shared" si="91"/>
        <v>55.849121725085425</v>
      </c>
      <c r="BG75" s="22">
        <f t="shared" si="61"/>
        <v>494.36336407119035</v>
      </c>
      <c r="BH75" s="60">
        <f t="shared" si="62"/>
        <v>763.69720297908896</v>
      </c>
      <c r="BI75" s="60">
        <f ca="1">AVERAGE(OFFSET($BH$3,0,0,'Données projet'!$E$11+1,1))-AVERAGE(OFFSET($H$3,0,0,'Données projet'!$E$11+1,1))</f>
        <v>366.5170155168056</v>
      </c>
      <c r="BJ75" s="60">
        <f t="shared" si="92"/>
        <v>394.05057214541966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0" t="e">
        <f t="shared" si="65"/>
        <v>#NUM!</v>
      </c>
      <c r="CD75" s="60">
        <f ca="1">AVERAGE(OFFSET($CC$3,0,0,'Données projet'!$E$12+1,1))-AVERAGE(OFFSET($H$3,0,0,'Données projet'!$E$12+1,1))</f>
        <v>333.512642972663</v>
      </c>
      <c r="CE75" s="60">
        <f t="shared" si="94"/>
        <v>464.18634682168488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251.23175999999989</v>
      </c>
      <c r="CV75" s="14">
        <f t="shared" si="95"/>
        <v>60.849628220886878</v>
      </c>
      <c r="CW75" s="22">
        <f t="shared" si="67"/>
        <v>543.54175115137775</v>
      </c>
      <c r="CX75" s="60">
        <f t="shared" si="68"/>
        <v>812.87559005927642</v>
      </c>
      <c r="CY75" s="60">
        <f ca="1">AVERAGE(OFFSET($CX$3,0,0,'Données projet'!$E$13+1,1))-AVERAGE(OFFSET($H$3,0,0,'Données projet'!$E$13+1,1))</f>
        <v>539.76438066597848</v>
      </c>
      <c r="CZ75" s="60">
        <f t="shared" si="96"/>
        <v>303.47238367344937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225.74447999999992</v>
      </c>
      <c r="DQ75" s="14">
        <f t="shared" si="97"/>
        <v>55.36154088431374</v>
      </c>
      <c r="DR75" s="22">
        <f t="shared" si="70"/>
        <v>489.59298637351299</v>
      </c>
      <c r="DS75" s="60">
        <f t="shared" si="71"/>
        <v>758.92682528141154</v>
      </c>
      <c r="DT75" s="60">
        <f ca="1">AVERAGE(OFFSET($DS$3,0,0,'Données projet'!$E$14+1,1))-AVERAGE(OFFSET($H$3,0,0,'Données projet'!$E$14+1,1))</f>
        <v>493.19478874005267</v>
      </c>
      <c r="DU75" s="60">
        <f t="shared" si="98"/>
        <v>278.78337903007821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</v>
      </c>
      <c r="EJ75" s="13">
        <f>IF('Données projet'!$A$192&gt;35,EJ74+EI75-ER74,IF(A75&lt;'Données projet'!$A$192,$EG$205^A75,IF(A75='Données projet'!$A$192,'Données projet'!$B$192,EJ74+EI75-ER74)))</f>
        <v>409</v>
      </c>
      <c r="EK75" s="18">
        <f>EJ75*VLOOKUP('Données projet'!$B$15,Paramètres!$A$1:$I$89,3,0)*VLOOKUP('Données projet'!$B$15,Paramètres!$A$1:$I$89,5,0)</f>
        <v>350.92200000000003</v>
      </c>
      <c r="EL75" s="14">
        <f t="shared" si="99"/>
        <v>81.752331535154511</v>
      </c>
      <c r="EM75" s="22">
        <f t="shared" si="73"/>
        <v>753.57446075706082</v>
      </c>
      <c r="EN75" s="60">
        <f t="shared" si="74"/>
        <v>1022.9082996649595</v>
      </c>
      <c r="EO75" s="60">
        <f ca="1">AVERAGE(OFFSET($EN$3,0,0,'Données projet'!$E$15+1,1))-AVERAGE(OFFSET($H$3,0,0,'Données projet'!$E$15+1,1))</f>
        <v>698.30188737818639</v>
      </c>
      <c r="EP75" s="60">
        <f t="shared" si="100"/>
        <v>329.77977151358482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4.4000000000000004</v>
      </c>
      <c r="FE75" s="13">
        <f>IF('Données projet'!$A$218&gt;35,FE74+FD75-FM74,IF(A75&lt;'Données projet'!$A$218,$FB$205^A75,IF(A75='Données projet'!$A$218,'Données projet'!$B$218,FE74+FD75-FM74)))</f>
        <v>227.79999999999998</v>
      </c>
      <c r="FF75" s="18">
        <f>FE75*VLOOKUP('Données projet'!$B$16,Paramètres!$A$1:$I$89,3,0)*VLOOKUP('Données projet'!$B$16,Paramètres!$A$1:$I$89,5,0)</f>
        <v>199.00608</v>
      </c>
      <c r="FG75" s="14">
        <f t="shared" si="101"/>
        <v>49.525670897515027</v>
      </c>
      <c r="FH75" s="22">
        <f t="shared" si="76"/>
        <v>432.85946614650533</v>
      </c>
      <c r="FI75" s="60">
        <f t="shared" si="77"/>
        <v>702.19330505440394</v>
      </c>
      <c r="FJ75" s="60">
        <f ca="1">AVERAGE(OFFSET($FI$3,0,0,'Données projet'!$E$16+1,1))-AVERAGE(OFFSET($H$3,0,0,'Données projet'!$E$16+1,1))</f>
        <v>396.99335548279453</v>
      </c>
      <c r="FK75" s="60">
        <f t="shared" si="102"/>
        <v>388.89849573746335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63.454683338517803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4.6150000000000002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16.921666666666667</v>
      </c>
      <c r="H76" s="68">
        <f t="shared" si="56"/>
        <v>188.98000000000002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296.7999999999999</v>
      </c>
      <c r="O76" s="14">
        <f>N76*VLOOKUP('Données projet'!$B$9,Paramètres!$A$1:$I$89,3,0)*VLOOKUP('Données projet'!$B$9,Paramètres!$A$1:$I$89,5,0)</f>
        <v>268.5446399999999</v>
      </c>
      <c r="P76" s="14">
        <f t="shared" si="87"/>
        <v>64.54030807605065</v>
      </c>
      <c r="Q76" s="22">
        <f t="shared" si="54"/>
        <v>580.12295123245474</v>
      </c>
      <c r="R76" s="60">
        <f t="shared" si="55"/>
        <v>849.87312771380311</v>
      </c>
      <c r="S76" s="60">
        <f ca="1">AVERAGE(OFFSET($R$3,0,0,'Données projet'!$E$9+1,1))-AVERAGE(OFFSET($H$3,0,0,'Données projet'!$E$9+1,1))</f>
        <v>550.53475891182575</v>
      </c>
      <c r="T76" s="60">
        <f t="shared" si="88"/>
        <v>350.2500324347194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795.78424578050249</v>
      </c>
      <c r="AN76" s="60">
        <f ca="1">AVERAGE(OFFSET($AM$3,0,0,'Données projet'!$E$10+1,1))-AVERAGE(OFFSET($H$3,0,0,'Données projet'!$E$10+1,1))</f>
        <v>513.16577009788818</v>
      </c>
      <c r="AO76" s="60">
        <f t="shared" si="90"/>
        <v>289.37159333739146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4.1799999999999953</v>
      </c>
      <c r="BD76" s="13">
        <f>IF('Données projet'!$A$88&gt;35,BD75+BC76-BL75,IF(A76&lt;'Données projet'!$A$88,$BA$205^A76,IF(A76='Données projet'!$A$88,'Données projet'!$B$88,BD75+BC76-BL75)))</f>
        <v>315.13999999999993</v>
      </c>
      <c r="BE76" s="14">
        <f>BD76*VLOOKUP('Données projet'!$B$11,Paramètres!$A$1:$I$89,3,0)*VLOOKUP('Données projet'!$B$11,Paramètres!$A$1:$I$89,5,0)</f>
        <v>231.06064799999993</v>
      </c>
      <c r="BF76" s="14">
        <f t="shared" si="91"/>
        <v>56.511956980324314</v>
      </c>
      <c r="BG76" s="22">
        <f t="shared" si="61"/>
        <v>500.85562034073132</v>
      </c>
      <c r="BH76" s="60">
        <f t="shared" si="62"/>
        <v>770.60579682207981</v>
      </c>
      <c r="BI76" s="60">
        <f ca="1">AVERAGE(OFFSET($BH$3,0,0,'Données projet'!$E$11+1,1))-AVERAGE(OFFSET($H$3,0,0,'Données projet'!$E$11+1,1))</f>
        <v>366.5170155168056</v>
      </c>
      <c r="BJ76" s="60">
        <f t="shared" si="92"/>
        <v>394.05057214541966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0" t="e">
        <f t="shared" si="65"/>
        <v>#NUM!</v>
      </c>
      <c r="CD76" s="60">
        <f ca="1">AVERAGE(OFFSET($CC$3,0,0,'Données projet'!$E$12+1,1))-AVERAGE(OFFSET($H$3,0,0,'Données projet'!$E$12+1,1))</f>
        <v>333.512642972663</v>
      </c>
      <c r="CE76" s="60">
        <f t="shared" si="94"/>
        <v>464.18634682168488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257.90543999999989</v>
      </c>
      <c r="CV76" s="14">
        <f t="shared" si="95"/>
        <v>62.275692442827719</v>
      </c>
      <c r="CW76" s="22">
        <f t="shared" si="67"/>
        <v>557.64880567125817</v>
      </c>
      <c r="CX76" s="60">
        <f t="shared" si="68"/>
        <v>827.39898215260655</v>
      </c>
      <c r="CY76" s="60">
        <f ca="1">AVERAGE(OFFSET($CX$3,0,0,'Données projet'!$E$13+1,1))-AVERAGE(OFFSET($H$3,0,0,'Données projet'!$E$13+1,1))</f>
        <v>539.76438066597848</v>
      </c>
      <c r="CZ76" s="60">
        <f t="shared" si="96"/>
        <v>303.47238367344937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231.74111999999991</v>
      </c>
      <c r="DQ76" s="14">
        <f t="shared" si="97"/>
        <v>56.658986982752438</v>
      </c>
      <c r="DR76" s="22">
        <f t="shared" si="70"/>
        <v>502.29685299496032</v>
      </c>
      <c r="DS76" s="60">
        <f t="shared" si="71"/>
        <v>772.04702947630881</v>
      </c>
      <c r="DT76" s="60">
        <f ca="1">AVERAGE(OFFSET($DS$3,0,0,'Données projet'!$E$14+1,1))-AVERAGE(OFFSET($H$3,0,0,'Données projet'!$E$14+1,1))</f>
        <v>493.19478874005267</v>
      </c>
      <c r="DU76" s="60">
        <f t="shared" si="98"/>
        <v>278.78337903007821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11</v>
      </c>
      <c r="EJ76" s="13">
        <f>IF('Données projet'!$A$192&gt;35,EJ75+EI76-ER75,IF(A76&lt;'Données projet'!$A$192,$EG$205^A76,IF(A76='Données projet'!$A$192,'Données projet'!$B$192,EJ75+EI76-ER75)))</f>
        <v>420</v>
      </c>
      <c r="EK76" s="18">
        <f>EJ76*VLOOKUP('Données projet'!$B$15,Paramètres!$A$1:$I$89,3,0)*VLOOKUP('Données projet'!$B$15,Paramètres!$A$1:$I$89,5,0)</f>
        <v>360.36000000000007</v>
      </c>
      <c r="EL76" s="14">
        <f t="shared" si="99"/>
        <v>83.692107728969603</v>
      </c>
      <c r="EM76" s="22">
        <f t="shared" si="73"/>
        <v>773.39075429462207</v>
      </c>
      <c r="EN76" s="60">
        <f t="shared" si="74"/>
        <v>1043.1409307759704</v>
      </c>
      <c r="EO76" s="60">
        <f ca="1">AVERAGE(OFFSET($EN$3,0,0,'Données projet'!$E$15+1,1))-AVERAGE(OFFSET($H$3,0,0,'Données projet'!$E$15+1,1))</f>
        <v>698.30188737818639</v>
      </c>
      <c r="EP76" s="60">
        <f t="shared" si="100"/>
        <v>329.77977151358482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4.4000000000000004</v>
      </c>
      <c r="FE76" s="13">
        <f>IF('Données projet'!$A$218&gt;35,FE75+FD76-FM75,IF(A76&lt;'Données projet'!$A$218,$FB$205^A76,IF(A76='Données projet'!$A$218,'Données projet'!$B$218,FE75+FD76-FM75)))</f>
        <v>232.2</v>
      </c>
      <c r="FF76" s="18">
        <f>FE76*VLOOKUP('Données projet'!$B$16,Paramètres!$A$1:$I$89,3,0)*VLOOKUP('Données projet'!$B$16,Paramètres!$A$1:$I$89,5,0)</f>
        <v>202.84992000000003</v>
      </c>
      <c r="FG76" s="14">
        <f t="shared" si="101"/>
        <v>50.369977187686075</v>
      </c>
      <c r="FH76" s="22">
        <f t="shared" si="76"/>
        <v>441.02465426855332</v>
      </c>
      <c r="FI76" s="60">
        <f t="shared" si="77"/>
        <v>710.77483074990175</v>
      </c>
      <c r="FJ76" s="60">
        <f ca="1">AVERAGE(OFFSET($FI$3,0,0,'Données projet'!$E$16+1,1))-AVERAGE(OFFSET($H$3,0,0,'Données projet'!$E$16+1,1))</f>
        <v>396.99335548279453</v>
      </c>
      <c r="FK76" s="60">
        <f t="shared" si="102"/>
        <v>388.89849573746335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63.568229949458669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4.6150000000000002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16.921666666666667</v>
      </c>
      <c r="H77" s="68">
        <f t="shared" si="56"/>
        <v>188.98000000000002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304.39999999999992</v>
      </c>
      <c r="O77" s="14">
        <f>N77*VLOOKUP('Données projet'!$B$9,Paramètres!$A$1:$I$89,3,0)*VLOOKUP('Données projet'!$B$9,Paramètres!$A$1:$I$89,5,0)</f>
        <v>275.42111999999992</v>
      </c>
      <c r="P77" s="14">
        <f t="shared" si="87"/>
        <v>65.998433293601067</v>
      </c>
      <c r="Q77" s="22">
        <f t="shared" si="54"/>
        <v>594.63905531968828</v>
      </c>
      <c r="R77" s="60">
        <f t="shared" si="55"/>
        <v>864.79834684837851</v>
      </c>
      <c r="S77" s="60">
        <f ca="1">AVERAGE(OFFSET($R$3,0,0,'Données projet'!$E$9+1,1))-AVERAGE(OFFSET($H$3,0,0,'Données projet'!$E$9+1,1))</f>
        <v>550.53475891182575</v>
      </c>
      <c r="T77" s="60">
        <f t="shared" si="88"/>
        <v>350.2500324347194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809.49184937991004</v>
      </c>
      <c r="AN77" s="60">
        <f ca="1">AVERAGE(OFFSET($AM$3,0,0,'Données projet'!$E$10+1,1))-AVERAGE(OFFSET($H$3,0,0,'Données projet'!$E$10+1,1))</f>
        <v>513.16577009788818</v>
      </c>
      <c r="AO77" s="60">
        <f t="shared" si="90"/>
        <v>289.37159333739146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4.1799999999999953</v>
      </c>
      <c r="BD77" s="13">
        <f>IF('Données projet'!$A$88&gt;35,BD76+BC77-BL76,IF(A77&lt;'Données projet'!$A$88,$BA$205^A77,IF(A77='Données projet'!$A$88,'Données projet'!$B$88,BD76+BC77-BL76)))</f>
        <v>319.31999999999994</v>
      </c>
      <c r="BE77" s="14">
        <f>BD77*VLOOKUP('Données projet'!$B$11,Paramètres!$A$1:$I$89,3,0)*VLOOKUP('Données projet'!$B$11,Paramètres!$A$1:$I$89,5,0)</f>
        <v>234.12542399999995</v>
      </c>
      <c r="BF77" s="14">
        <f t="shared" si="91"/>
        <v>57.173769626631554</v>
      </c>
      <c r="BG77" s="22">
        <f t="shared" si="61"/>
        <v>507.34609556638321</v>
      </c>
      <c r="BH77" s="60">
        <f t="shared" si="62"/>
        <v>777.5053870950735</v>
      </c>
      <c r="BI77" s="60">
        <f ca="1">AVERAGE(OFFSET($BH$3,0,0,'Données projet'!$E$11+1,1))-AVERAGE(OFFSET($H$3,0,0,'Données projet'!$E$11+1,1))</f>
        <v>366.5170155168056</v>
      </c>
      <c r="BJ77" s="60">
        <f t="shared" si="92"/>
        <v>394.05057214541966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0" t="e">
        <f t="shared" si="65"/>
        <v>#NUM!</v>
      </c>
      <c r="CD77" s="60">
        <f ca="1">AVERAGE(OFFSET($CC$3,0,0,'Données projet'!$E$12+1,1))-AVERAGE(OFFSET($H$3,0,0,'Données projet'!$E$12+1,1))</f>
        <v>333.512642972663</v>
      </c>
      <c r="CE77" s="60">
        <f t="shared" si="94"/>
        <v>464.18634682168488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264.57911999999988</v>
      </c>
      <c r="CV77" s="14">
        <f t="shared" si="95"/>
        <v>63.697467287221869</v>
      </c>
      <c r="CW77" s="22">
        <f t="shared" si="67"/>
        <v>571.74838952524453</v>
      </c>
      <c r="CX77" s="60">
        <f t="shared" si="68"/>
        <v>841.90768105393477</v>
      </c>
      <c r="CY77" s="60">
        <f ca="1">AVERAGE(OFFSET($CX$3,0,0,'Données projet'!$E$13+1,1))-AVERAGE(OFFSET($H$3,0,0,'Données projet'!$E$13+1,1))</f>
        <v>539.76438066597848</v>
      </c>
      <c r="CZ77" s="60">
        <f t="shared" si="96"/>
        <v>303.47238367344937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237.73775999999989</v>
      </c>
      <c r="DQ77" s="14">
        <f t="shared" si="97"/>
        <v>57.952530566790166</v>
      </c>
      <c r="DR77" s="22">
        <f t="shared" si="70"/>
        <v>514.99392273715932</v>
      </c>
      <c r="DS77" s="60">
        <f t="shared" si="71"/>
        <v>785.15321426584956</v>
      </c>
      <c r="DT77" s="60">
        <f ca="1">AVERAGE(OFFSET($DS$3,0,0,'Données projet'!$E$14+1,1))-AVERAGE(OFFSET($H$3,0,0,'Données projet'!$E$14+1,1))</f>
        <v>493.19478874005267</v>
      </c>
      <c r="DU77" s="60">
        <f t="shared" si="98"/>
        <v>278.78337903007821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11</v>
      </c>
      <c r="EJ77" s="13">
        <f>IF('Données projet'!$A$192&gt;35,EJ76+EI77-ER76,IF(A77&lt;'Données projet'!$A$192,$EG$205^A77,IF(A77='Données projet'!$A$192,'Données projet'!$B$192,EJ76+EI77-ER76)))</f>
        <v>431</v>
      </c>
      <c r="EK77" s="18">
        <f>EJ77*VLOOKUP('Données projet'!$B$15,Paramètres!$A$1:$I$89,3,0)*VLOOKUP('Données projet'!$B$15,Paramètres!$A$1:$I$89,5,0)</f>
        <v>369.79800000000006</v>
      </c>
      <c r="EL77" s="14">
        <f t="shared" si="99"/>
        <v>85.625978667852522</v>
      </c>
      <c r="EM77" s="22">
        <f t="shared" si="73"/>
        <v>793.19676284650984</v>
      </c>
      <c r="EN77" s="60">
        <f t="shared" si="74"/>
        <v>1063.3560543752001</v>
      </c>
      <c r="EO77" s="60">
        <f ca="1">AVERAGE(OFFSET($EN$3,0,0,'Données projet'!$E$15+1,1))-AVERAGE(OFFSET($H$3,0,0,'Données projet'!$E$15+1,1))</f>
        <v>698.30188737818639</v>
      </c>
      <c r="EP77" s="60">
        <f t="shared" si="100"/>
        <v>329.77977151358482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4.4000000000000004</v>
      </c>
      <c r="FE77" s="13">
        <f>IF('Données projet'!$A$218&gt;35,FE76+FD77-FM76,IF(A77&lt;'Données projet'!$A$218,$FB$205^A77,IF(A77='Données projet'!$A$218,'Données projet'!$B$218,FE76+FD77-FM76)))</f>
        <v>236.6</v>
      </c>
      <c r="FF77" s="18">
        <f>FE77*VLOOKUP('Données projet'!$B$16,Paramètres!$A$1:$I$89,3,0)*VLOOKUP('Données projet'!$B$16,Paramètres!$A$1:$I$89,5,0)</f>
        <v>206.69376000000003</v>
      </c>
      <c r="FG77" s="14">
        <f t="shared" si="101"/>
        <v>51.212423138937325</v>
      </c>
      <c r="FH77" s="22">
        <f t="shared" si="76"/>
        <v>449.18660230031583</v>
      </c>
      <c r="FI77" s="60">
        <f t="shared" si="77"/>
        <v>719.34589382900617</v>
      </c>
      <c r="FJ77" s="60">
        <f ca="1">AVERAGE(OFFSET($FI$3,0,0,'Données projet'!$E$16+1,1))-AVERAGE(OFFSET($H$3,0,0,'Données projet'!$E$16+1,1))</f>
        <v>396.99335548279453</v>
      </c>
      <c r="FK77" s="60">
        <f t="shared" si="102"/>
        <v>388.89849573746335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63.679806780551893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4.6150000000000002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16.921666666666667</v>
      </c>
      <c r="H78" s="68">
        <f t="shared" si="56"/>
        <v>188.98000000000002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311.99999999999994</v>
      </c>
      <c r="O78" s="14">
        <f>N78*VLOOKUP('Données projet'!$B$9,Paramètres!$A$1:$I$89,3,0)*VLOOKUP('Données projet'!$B$9,Paramètres!$A$1:$I$89,5,0)</f>
        <v>282.29759999999993</v>
      </c>
      <c r="P78" s="14">
        <f t="shared" si="87"/>
        <v>67.452326629470178</v>
      </c>
      <c r="Q78" s="22">
        <f t="shared" si="54"/>
        <v>609.14778887966042</v>
      </c>
      <c r="R78" s="60">
        <f t="shared" si="55"/>
        <v>879.7090982242654</v>
      </c>
      <c r="S78" s="60">
        <f ca="1">AVERAGE(OFFSET($R$3,0,0,'Données projet'!$E$9+1,1))-AVERAGE(OFFSET($H$3,0,0,'Données projet'!$E$9+1,1))</f>
        <v>550.53475891182575</v>
      </c>
      <c r="T78" s="60">
        <f t="shared" si="88"/>
        <v>350.2500324347194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823.18546838262807</v>
      </c>
      <c r="AN78" s="60">
        <f ca="1">AVERAGE(OFFSET($AM$3,0,0,'Données projet'!$E$10+1,1))-AVERAGE(OFFSET($H$3,0,0,'Données projet'!$E$10+1,1))</f>
        <v>513.16577009788818</v>
      </c>
      <c r="AO78" s="60">
        <f t="shared" si="90"/>
        <v>289.37159333739146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323.5</v>
      </c>
      <c r="BB78" s="13">
        <f>VLOOKUP(A78,'Données projet'!$A$87:$I$107,9,0)</f>
        <v>4.1799999999999953</v>
      </c>
      <c r="BC78" s="13">
        <f t="array" ref="BC78">INDEX(BB:BB,MIN(IF(ISNUMBER(BB78:BB274),ROW(BB78:BB274),"")))</f>
        <v>4.1799999999999953</v>
      </c>
      <c r="BD78" s="13">
        <f>IF('Données projet'!$A$88&gt;35,BD77+BC78-BL77,IF(A78&lt;'Données projet'!$A$88,$BA$205^A78,IF(A78='Données projet'!$A$88,'Données projet'!$B$88,BD77+BC78-BL77)))</f>
        <v>323.49999999999994</v>
      </c>
      <c r="BE78" s="14">
        <f>BD78*VLOOKUP('Données projet'!$B$11,Paramètres!$A$1:$I$89,3,0)*VLOOKUP('Données projet'!$B$11,Paramètres!$A$1:$I$89,5,0)</f>
        <v>237.19019999999995</v>
      </c>
      <c r="BF78" s="14">
        <f t="shared" si="91"/>
        <v>57.834574597922789</v>
      </c>
      <c r="BG78" s="22">
        <f t="shared" si="61"/>
        <v>513.83481575804865</v>
      </c>
      <c r="BH78" s="60">
        <f t="shared" si="62"/>
        <v>784.39612510265363</v>
      </c>
      <c r="BI78" s="60">
        <f ca="1">AVERAGE(OFFSET($BH$3,0,0,'Données projet'!$E$11+1,1))-AVERAGE(OFFSET($H$3,0,0,'Données projet'!$E$11+1,1))</f>
        <v>366.5170155168056</v>
      </c>
      <c r="BJ78" s="60">
        <f t="shared" si="92"/>
        <v>394.05057214541966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0" t="e">
        <f t="shared" si="65"/>
        <v>#NUM!</v>
      </c>
      <c r="CD78" s="60">
        <f ca="1">AVERAGE(OFFSET($CC$3,0,0,'Données projet'!$E$12+1,1))-AVERAGE(OFFSET($H$3,0,0,'Données projet'!$E$12+1,1))</f>
        <v>333.512642972663</v>
      </c>
      <c r="CE78" s="60">
        <f t="shared" si="94"/>
        <v>464.18634682168488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271.25279999999987</v>
      </c>
      <c r="CV78" s="14">
        <f t="shared" si="95"/>
        <v>65.115073390838859</v>
      </c>
      <c r="CW78" s="22">
        <f t="shared" si="67"/>
        <v>585.84071282237744</v>
      </c>
      <c r="CX78" s="60">
        <f t="shared" si="68"/>
        <v>856.40202216698242</v>
      </c>
      <c r="CY78" s="60">
        <f ca="1">AVERAGE(OFFSET($CX$3,0,0,'Données projet'!$E$13+1,1))-AVERAGE(OFFSET($H$3,0,0,'Données projet'!$E$13+1,1))</f>
        <v>539.76438066597848</v>
      </c>
      <c r="CZ78" s="60">
        <f t="shared" si="96"/>
        <v>303.47238367344937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243.73439999999988</v>
      </c>
      <c r="DQ78" s="14">
        <f t="shared" si="97"/>
        <v>59.242281392848767</v>
      </c>
      <c r="DR78" s="22">
        <f t="shared" si="70"/>
        <v>527.68438675921141</v>
      </c>
      <c r="DS78" s="60">
        <f t="shared" si="71"/>
        <v>798.24569610381639</v>
      </c>
      <c r="DT78" s="60">
        <f ca="1">AVERAGE(OFFSET($DS$3,0,0,'Données projet'!$E$14+1,1))-AVERAGE(OFFSET($H$3,0,0,'Données projet'!$E$14+1,1))</f>
        <v>493.19478874005267</v>
      </c>
      <c r="DU78" s="60">
        <f t="shared" si="98"/>
        <v>278.78337903007821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442</v>
      </c>
      <c r="EH78" s="13">
        <f>VLOOKUP(A78,'Données projet'!$A$191:$I$211,9,0)</f>
        <v>11</v>
      </c>
      <c r="EI78" s="13">
        <f t="array" ref="EI78">INDEX(EH:EH,MIN(IF(ISNUMBER(EH78:EH274),ROW(EH78:EH274),"")))</f>
        <v>11</v>
      </c>
      <c r="EJ78" s="13">
        <f>IF('Données projet'!$A$192&gt;35,EJ77+EI78-ER77,IF(A78&lt;'Données projet'!$A$192,$EG$205^A78,IF(A78='Données projet'!$A$192,'Données projet'!$B$192,EJ77+EI78-ER77)))</f>
        <v>442</v>
      </c>
      <c r="EK78" s="18">
        <f>EJ78*VLOOKUP('Données projet'!$B$15,Paramètres!$A$1:$I$89,3,0)*VLOOKUP('Données projet'!$B$15,Paramètres!$A$1:$I$89,5,0)</f>
        <v>379.23600000000005</v>
      </c>
      <c r="EL78" s="14">
        <f t="shared" si="99"/>
        <v>87.554112396331476</v>
      </c>
      <c r="EM78" s="22">
        <f t="shared" si="73"/>
        <v>812.99277909027751</v>
      </c>
      <c r="EN78" s="60">
        <f t="shared" si="74"/>
        <v>1083.5540884348825</v>
      </c>
      <c r="EO78" s="60">
        <f ca="1">AVERAGE(OFFSET($EN$3,0,0,'Données projet'!$E$15+1,1))-AVERAGE(OFFSET($H$3,0,0,'Données projet'!$E$15+1,1))</f>
        <v>698.30188737818639</v>
      </c>
      <c r="EP78" s="60">
        <f t="shared" si="100"/>
        <v>329.77977151358482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70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241</v>
      </c>
      <c r="FC78" s="13">
        <f>VLOOKUP(A78,'Données projet'!$A$217:$I$237,9,0)</f>
        <v>4.4000000000000004</v>
      </c>
      <c r="FD78" s="13">
        <f t="array" ref="FD78">INDEX(FC:FC,MIN(IF(ISNUMBER(FC78:FC274),ROW(FC78:FC274),"")))</f>
        <v>4.4000000000000004</v>
      </c>
      <c r="FE78" s="13">
        <f>IF('Données projet'!$A$218&gt;35,FE77+FD78-FM77,IF(A78&lt;'Données projet'!$A$218,$FB$205^A78,IF(A78='Données projet'!$A$218,'Données projet'!$B$218,FE77+FD78-FM77)))</f>
        <v>241</v>
      </c>
      <c r="FF78" s="18">
        <f>FE78*VLOOKUP('Données projet'!$B$16,Paramètres!$A$1:$I$89,3,0)*VLOOKUP('Données projet'!$B$16,Paramètres!$A$1:$I$89,5,0)</f>
        <v>210.53760000000003</v>
      </c>
      <c r="FG78" s="14">
        <f t="shared" si="101"/>
        <v>52.053047337322276</v>
      </c>
      <c r="FH78" s="22">
        <f t="shared" si="76"/>
        <v>457.34537744583628</v>
      </c>
      <c r="FI78" s="60">
        <f t="shared" si="77"/>
        <v>727.9066867904412</v>
      </c>
      <c r="FJ78" s="60">
        <f ca="1">AVERAGE(OFFSET($FI$3,0,0,'Données projet'!$E$16+1,1))-AVERAGE(OFFSET($H$3,0,0,'Données projet'!$E$16+1,1))</f>
        <v>396.99335548279453</v>
      </c>
      <c r="FK78" s="60">
        <f t="shared" si="102"/>
        <v>388.89849573746335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63.789448003074085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4.6150000000000002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16.921666666666667</v>
      </c>
      <c r="H79" s="68">
        <f t="shared" si="56"/>
        <v>188.98000000000002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319.19999999999993</v>
      </c>
      <c r="O79" s="14">
        <f>N79*VLOOKUP('Données projet'!$B$9,Paramètres!$A$1:$I$89,3,0)*VLOOKUP('Données projet'!$B$9,Paramètres!$A$1:$I$89,5,0)</f>
        <v>288.81215999999989</v>
      </c>
      <c r="P79" s="14">
        <f t="shared" si="87"/>
        <v>68.825899854238102</v>
      </c>
      <c r="Q79" s="22">
        <f t="shared" si="54"/>
        <v>622.88628757946447</v>
      </c>
      <c r="R79" s="60">
        <f t="shared" si="55"/>
        <v>893.84264062965519</v>
      </c>
      <c r="S79" s="60">
        <f ca="1">AVERAGE(OFFSET($R$3,0,0,'Données projet'!$E$9+1,1))-AVERAGE(OFFSET($H$3,0,0,'Données projet'!$E$9+1,1))</f>
        <v>550.53475891182575</v>
      </c>
      <c r="T79" s="60">
        <f t="shared" si="88"/>
        <v>350.2500324347194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836.43697229589691</v>
      </c>
      <c r="AN79" s="60">
        <f ca="1">AVERAGE(OFFSET($AM$3,0,0,'Données projet'!$E$10+1,1))-AVERAGE(OFFSET($H$3,0,0,'Données projet'!$E$10+1,1))</f>
        <v>513.16577009788818</v>
      </c>
      <c r="AO79" s="60">
        <f t="shared" si="90"/>
        <v>289.37159333739146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3.5600000000000023</v>
      </c>
      <c r="BD79" s="13">
        <f>IF('Données projet'!$A$88&gt;35,BD78+BC79-BL78,IF(A79&lt;'Données projet'!$A$88,$BA$205^A79,IF(A79='Données projet'!$A$88,'Données projet'!$B$88,BD78+BC79-BL78)))</f>
        <v>327.05999999999995</v>
      </c>
      <c r="BE79" s="14">
        <f>BD79*VLOOKUP('Données projet'!$B$11,Paramètres!$A$1:$I$89,3,0)*VLOOKUP('Données projet'!$B$11,Paramètres!$A$1:$I$89,5,0)</f>
        <v>239.80039199999996</v>
      </c>
      <c r="BF79" s="14">
        <f t="shared" si="91"/>
        <v>58.396581769172833</v>
      </c>
      <c r="BG79" s="22">
        <f t="shared" si="61"/>
        <v>519.35972931464255</v>
      </c>
      <c r="BH79" s="60">
        <f t="shared" si="62"/>
        <v>790.31608236483328</v>
      </c>
      <c r="BI79" s="60">
        <f ca="1">AVERAGE(OFFSET($BH$3,0,0,'Données projet'!$E$11+1,1))-AVERAGE(OFFSET($H$3,0,0,'Données projet'!$E$11+1,1))</f>
        <v>366.5170155168056</v>
      </c>
      <c r="BJ79" s="60">
        <f t="shared" si="92"/>
        <v>394.05057214541966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0" t="e">
        <f t="shared" si="65"/>
        <v>#NUM!</v>
      </c>
      <c r="CD79" s="60">
        <f ca="1">AVERAGE(OFFSET($CC$3,0,0,'Données projet'!$E$12+1,1))-AVERAGE(OFFSET($H$3,0,0,'Données projet'!$E$12+1,1))</f>
        <v>333.512642972663</v>
      </c>
      <c r="CE79" s="60">
        <f t="shared" si="94"/>
        <v>464.18634682168488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277.71119999999985</v>
      </c>
      <c r="CV79" s="14">
        <f t="shared" si="95"/>
        <v>66.483088830893976</v>
      </c>
      <c r="CW79" s="22">
        <f t="shared" si="67"/>
        <v>599.47171971380669</v>
      </c>
      <c r="CX79" s="60">
        <f t="shared" si="68"/>
        <v>870.42807276399742</v>
      </c>
      <c r="CY79" s="60">
        <f ca="1">AVERAGE(OFFSET($CX$3,0,0,'Données projet'!$E$13+1,1))-AVERAGE(OFFSET($H$3,0,0,'Données projet'!$E$13+1,1))</f>
        <v>539.76438066597848</v>
      </c>
      <c r="CZ79" s="60">
        <f t="shared" si="96"/>
        <v>303.47238367344937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249.53759999999988</v>
      </c>
      <c r="DQ79" s="14">
        <f t="shared" si="97"/>
        <v>60.486914185674671</v>
      </c>
      <c r="DR79" s="22">
        <f t="shared" si="70"/>
        <v>539.95936220671649</v>
      </c>
      <c r="DS79" s="60">
        <f t="shared" si="71"/>
        <v>810.91571525690722</v>
      </c>
      <c r="DT79" s="60">
        <f ca="1">AVERAGE(OFFSET($DS$3,0,0,'Données projet'!$E$14+1,1))-AVERAGE(OFFSET($H$3,0,0,'Données projet'!$E$14+1,1))</f>
        <v>493.19478874005267</v>
      </c>
      <c r="DU79" s="60">
        <f t="shared" si="98"/>
        <v>278.78337903007821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10.4</v>
      </c>
      <c r="EJ79" s="13">
        <f>IF('Données projet'!$A$192&gt;35,EJ78+EI79-ER78,IF(A79&lt;'Données projet'!$A$192,$EG$205^A79,IF(A79='Données projet'!$A$192,'Données projet'!$B$192,EJ78+EI79-ER78)))</f>
        <v>382.4</v>
      </c>
      <c r="EK79" s="18">
        <f>EJ79*VLOOKUP('Données projet'!$B$15,Paramètres!$A$1:$I$89,3,0)*VLOOKUP('Données projet'!$B$15,Paramètres!$A$1:$I$89,5,0)</f>
        <v>328.0992</v>
      </c>
      <c r="EL79" s="14">
        <f t="shared" si="99"/>
        <v>77.036090442258086</v>
      </c>
      <c r="EM79" s="22">
        <f t="shared" si="73"/>
        <v>705.61063085359956</v>
      </c>
      <c r="EN79" s="60">
        <f t="shared" si="74"/>
        <v>976.56698390379029</v>
      </c>
      <c r="EO79" s="60">
        <f ca="1">AVERAGE(OFFSET($EN$3,0,0,'Données projet'!$E$15+1,1))-AVERAGE(OFFSET($H$3,0,0,'Données projet'!$E$15+1,1))</f>
        <v>698.30188737818639</v>
      </c>
      <c r="EP79" s="60">
        <f t="shared" si="100"/>
        <v>329.77977151358482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4</v>
      </c>
      <c r="FE79" s="13">
        <f>IF('Données projet'!$A$218&gt;35,FE78+FD79-FM78,IF(A79&lt;'Données projet'!$A$218,$FB$205^A79,IF(A79='Données projet'!$A$218,'Données projet'!$B$218,FE78+FD79-FM78)))</f>
        <v>245</v>
      </c>
      <c r="FF79" s="18">
        <f>FE79*VLOOKUP('Données projet'!$B$16,Paramètres!$A$1:$I$89,3,0)*VLOOKUP('Données projet'!$B$16,Paramètres!$A$1:$I$89,5,0)</f>
        <v>214.03200000000004</v>
      </c>
      <c r="FG79" s="14">
        <f t="shared" si="101"/>
        <v>52.815701536972242</v>
      </c>
      <c r="FH79" s="22">
        <f t="shared" si="76"/>
        <v>464.75974684356009</v>
      </c>
      <c r="FI79" s="60">
        <f t="shared" si="77"/>
        <v>735.71609989375088</v>
      </c>
      <c r="FJ79" s="60">
        <f ca="1">AVERAGE(OFFSET($FI$3,0,0,'Données projet'!$E$16+1,1))-AVERAGE(OFFSET($H$3,0,0,'Données projet'!$E$16+1,1))</f>
        <v>396.99335548279453</v>
      </c>
      <c r="FK79" s="60">
        <f t="shared" si="102"/>
        <v>388.89849573746335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63.897187195506561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4.6150000000000002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16.921666666666667</v>
      </c>
      <c r="H80" s="68">
        <f t="shared" si="56"/>
        <v>188.98000000000002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326.39999999999992</v>
      </c>
      <c r="O80" s="14">
        <f>N80*VLOOKUP('Données projet'!$B$9,Paramètres!$A$1:$I$89,3,0)*VLOOKUP('Données projet'!$B$9,Paramètres!$A$1:$I$89,5,0)</f>
        <v>295.32671999999997</v>
      </c>
      <c r="P80" s="14">
        <f t="shared" si="87"/>
        <v>70.195871082165155</v>
      </c>
      <c r="Q80" s="22">
        <f t="shared" si="54"/>
        <v>636.61851280143765</v>
      </c>
      <c r="R80" s="60">
        <f t="shared" si="55"/>
        <v>907.96305643210758</v>
      </c>
      <c r="S80" s="60">
        <f ca="1">AVERAGE(OFFSET($R$3,0,0,'Données projet'!$E$9+1,1))-AVERAGE(OFFSET($H$3,0,0,'Données projet'!$E$9+1,1))</f>
        <v>550.53475891182575</v>
      </c>
      <c r="T80" s="60">
        <f t="shared" si="88"/>
        <v>350.2500324347194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849.6755125742477</v>
      </c>
      <c r="AN80" s="60">
        <f ca="1">AVERAGE(OFFSET($AM$3,0,0,'Données projet'!$E$10+1,1))-AVERAGE(OFFSET($H$3,0,0,'Données projet'!$E$10+1,1))</f>
        <v>513.16577009788818</v>
      </c>
      <c r="AO80" s="60">
        <f t="shared" si="90"/>
        <v>289.37159333739146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3.5600000000000023</v>
      </c>
      <c r="BD80" s="13">
        <f>IF('Données projet'!$A$88&gt;35,BD79+BC80-BL79,IF(A80&lt;'Données projet'!$A$88,$BA$205^A80,IF(A80='Données projet'!$A$88,'Données projet'!$B$88,BD79+BC80-BL79)))</f>
        <v>330.61999999999995</v>
      </c>
      <c r="BE80" s="14">
        <f>BD80*VLOOKUP('Données projet'!$B$11,Paramètres!$A$1:$I$89,3,0)*VLOOKUP('Données projet'!$B$11,Paramètres!$A$1:$I$89,5,0)</f>
        <v>242.41058399999997</v>
      </c>
      <c r="BF80" s="14">
        <f t="shared" si="91"/>
        <v>58.957877315127767</v>
      </c>
      <c r="BG80" s="22">
        <f t="shared" si="61"/>
        <v>524.88340345718075</v>
      </c>
      <c r="BH80" s="60">
        <f t="shared" si="62"/>
        <v>796.22794708785068</v>
      </c>
      <c r="BI80" s="60">
        <f ca="1">AVERAGE(OFFSET($BH$3,0,0,'Données projet'!$E$11+1,1))-AVERAGE(OFFSET($H$3,0,0,'Données projet'!$E$11+1,1))</f>
        <v>366.5170155168056</v>
      </c>
      <c r="BJ80" s="60">
        <f t="shared" si="92"/>
        <v>394.05057214541966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0" t="e">
        <f t="shared" si="65"/>
        <v>#NUM!</v>
      </c>
      <c r="CD80" s="60">
        <f ca="1">AVERAGE(OFFSET($CC$3,0,0,'Données projet'!$E$12+1,1))-AVERAGE(OFFSET($H$3,0,0,'Données projet'!$E$12+1,1))</f>
        <v>333.512642972663</v>
      </c>
      <c r="CE80" s="60">
        <f t="shared" si="94"/>
        <v>464.18634682168488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284.16959999999989</v>
      </c>
      <c r="CV80" s="14">
        <f t="shared" si="95"/>
        <v>67.847405740313874</v>
      </c>
      <c r="CW80" s="22">
        <f t="shared" si="67"/>
        <v>613.09628499771316</v>
      </c>
      <c r="CX80" s="60">
        <f t="shared" si="68"/>
        <v>884.44082862838309</v>
      </c>
      <c r="CY80" s="60">
        <f ca="1">AVERAGE(OFFSET($CX$3,0,0,'Données projet'!$E$13+1,1))-AVERAGE(OFFSET($H$3,0,0,'Données projet'!$E$13+1,1))</f>
        <v>539.76438066597848</v>
      </c>
      <c r="CZ80" s="60">
        <f t="shared" si="96"/>
        <v>303.47238367344937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255.34079999999989</v>
      </c>
      <c r="DQ80" s="14">
        <f t="shared" si="97"/>
        <v>61.728182021951895</v>
      </c>
      <c r="DR80" s="22">
        <f t="shared" si="70"/>
        <v>552.22847702156594</v>
      </c>
      <c r="DS80" s="60">
        <f t="shared" si="71"/>
        <v>823.57302065223598</v>
      </c>
      <c r="DT80" s="60">
        <f ca="1">AVERAGE(OFFSET($DS$3,0,0,'Données projet'!$E$14+1,1))-AVERAGE(OFFSET($H$3,0,0,'Données projet'!$E$14+1,1))</f>
        <v>493.19478874005267</v>
      </c>
      <c r="DU80" s="60">
        <f t="shared" si="98"/>
        <v>278.78337903007821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10.4</v>
      </c>
      <c r="EJ80" s="13">
        <f>IF('Données projet'!$A$192&gt;35,EJ79+EI80-ER79,IF(A80&lt;'Données projet'!$A$192,$EG$205^A80,IF(A80='Données projet'!$A$192,'Données projet'!$B$192,EJ79+EI80-ER79)))</f>
        <v>392.79999999999995</v>
      </c>
      <c r="EK80" s="18">
        <f>EJ80*VLOOKUP('Données projet'!$B$15,Paramètres!$A$1:$I$89,3,0)*VLOOKUP('Données projet'!$B$15,Paramètres!$A$1:$I$89,5,0)</f>
        <v>337.0224</v>
      </c>
      <c r="EL80" s="14">
        <f t="shared" si="99"/>
        <v>78.884440823098231</v>
      </c>
      <c r="EM80" s="22">
        <f t="shared" si="73"/>
        <v>724.37108110022939</v>
      </c>
      <c r="EN80" s="60">
        <f t="shared" si="74"/>
        <v>995.71562473089944</v>
      </c>
      <c r="EO80" s="60">
        <f ca="1">AVERAGE(OFFSET($EN$3,0,0,'Données projet'!$E$15+1,1))-AVERAGE(OFFSET($H$3,0,0,'Données projet'!$E$15+1,1))</f>
        <v>698.30188737818639</v>
      </c>
      <c r="EP80" s="60">
        <f t="shared" si="100"/>
        <v>329.77977151358482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4</v>
      </c>
      <c r="FE80" s="13">
        <f>IF('Données projet'!$A$218&gt;35,FE79+FD80-FM79,IF(A80&lt;'Données projet'!$A$218,$FB$205^A80,IF(A80='Données projet'!$A$218,'Données projet'!$B$218,FE79+FD80-FM79)))</f>
        <v>249</v>
      </c>
      <c r="FF80" s="18">
        <f>FE80*VLOOKUP('Données projet'!$B$16,Paramètres!$A$1:$I$89,3,0)*VLOOKUP('Données projet'!$B$16,Paramètres!$A$1:$I$89,5,0)</f>
        <v>217.52640000000005</v>
      </c>
      <c r="FG80" s="14">
        <f t="shared" si="101"/>
        <v>53.576907690651254</v>
      </c>
      <c r="FH80" s="22">
        <f t="shared" si="76"/>
        <v>472.17159422788433</v>
      </c>
      <c r="FI80" s="60">
        <f t="shared" si="77"/>
        <v>743.51613785855432</v>
      </c>
      <c r="FJ80" s="60">
        <f ca="1">AVERAGE(OFFSET($FI$3,0,0,'Données projet'!$E$16+1,1))-AVERAGE(OFFSET($H$3,0,0,'Données projet'!$E$16+1,1))</f>
        <v>396.99335548279453</v>
      </c>
      <c r="FK80" s="60">
        <f t="shared" si="102"/>
        <v>388.89849573746335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64.003057353819088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4.6150000000000002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16.921666666666667</v>
      </c>
      <c r="H81" s="68">
        <f t="shared" si="56"/>
        <v>188.98000000000002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333.59999999999991</v>
      </c>
      <c r="O81" s="14">
        <f>N81*VLOOKUP('Données projet'!$B$9,Paramètres!$A$1:$I$89,3,0)*VLOOKUP('Données projet'!$B$9,Paramètres!$A$1:$I$89,5,0)</f>
        <v>301.84127999999993</v>
      </c>
      <c r="P81" s="14">
        <f t="shared" si="87"/>
        <v>71.562328918453616</v>
      </c>
      <c r="Q81" s="22">
        <f t="shared" si="54"/>
        <v>650.34461886630652</v>
      </c>
      <c r="R81" s="60">
        <f t="shared" si="55"/>
        <v>922.07061883874849</v>
      </c>
      <c r="S81" s="60">
        <f ca="1">AVERAGE(OFFSET($R$3,0,0,'Données projet'!$E$9+1,1))-AVERAGE(OFFSET($H$3,0,0,'Données projet'!$E$9+1,1))</f>
        <v>550.53475891182575</v>
      </c>
      <c r="T81" s="60">
        <f t="shared" si="88"/>
        <v>350.2500324347194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862.90136296642504</v>
      </c>
      <c r="AN81" s="60">
        <f ca="1">AVERAGE(OFFSET($AM$3,0,0,'Données projet'!$E$10+1,1))-AVERAGE(OFFSET($H$3,0,0,'Données projet'!$E$10+1,1))</f>
        <v>513.16577009788818</v>
      </c>
      <c r="AO81" s="60">
        <f t="shared" si="90"/>
        <v>289.37159333739146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3.5600000000000023</v>
      </c>
      <c r="BD81" s="13">
        <f>IF('Données projet'!$A$88&gt;35,BD80+BC81-BL80,IF(A81&lt;'Données projet'!$A$88,$BA$205^A81,IF(A81='Données projet'!$A$88,'Données projet'!$B$88,BD80+BC81-BL80)))</f>
        <v>334.17999999999995</v>
      </c>
      <c r="BE81" s="14">
        <f>BD81*VLOOKUP('Données projet'!$B$11,Paramètres!$A$1:$I$89,3,0)*VLOOKUP('Données projet'!$B$11,Paramètres!$A$1:$I$89,5,0)</f>
        <v>245.02077599999993</v>
      </c>
      <c r="BF81" s="14">
        <f t="shared" si="91"/>
        <v>59.518469785210911</v>
      </c>
      <c r="BG81" s="22">
        <f t="shared" si="61"/>
        <v>530.40585307590879</v>
      </c>
      <c r="BH81" s="60">
        <f t="shared" si="62"/>
        <v>802.13185304835088</v>
      </c>
      <c r="BI81" s="60">
        <f ca="1">AVERAGE(OFFSET($BH$3,0,0,'Données projet'!$E$11+1,1))-AVERAGE(OFFSET($H$3,0,0,'Données projet'!$E$11+1,1))</f>
        <v>366.5170155168056</v>
      </c>
      <c r="BJ81" s="60">
        <f t="shared" si="92"/>
        <v>394.05057214541966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0" t="e">
        <f t="shared" si="65"/>
        <v>#NUM!</v>
      </c>
      <c r="CD81" s="60">
        <f ca="1">AVERAGE(OFFSET($CC$3,0,0,'Données projet'!$E$12+1,1))-AVERAGE(OFFSET($H$3,0,0,'Données projet'!$E$12+1,1))</f>
        <v>333.512642972663</v>
      </c>
      <c r="CE81" s="60">
        <f t="shared" si="94"/>
        <v>464.18634682168488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290.62799999999987</v>
      </c>
      <c r="CV81" s="14">
        <f t="shared" si="95"/>
        <v>69.208117853196882</v>
      </c>
      <c r="CW81" s="22">
        <f t="shared" si="67"/>
        <v>626.71457192765104</v>
      </c>
      <c r="CX81" s="60">
        <f t="shared" si="68"/>
        <v>898.44057190009312</v>
      </c>
      <c r="CY81" s="60">
        <f ca="1">AVERAGE(OFFSET($CX$3,0,0,'Données projet'!$E$13+1,1))-AVERAGE(OFFSET($H$3,0,0,'Données projet'!$E$13+1,1))</f>
        <v>539.76438066597848</v>
      </c>
      <c r="CZ81" s="60">
        <f t="shared" si="96"/>
        <v>303.47238367344937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261.14399999999989</v>
      </c>
      <c r="DQ81" s="14">
        <f t="shared" si="97"/>
        <v>62.966170181808813</v>
      </c>
      <c r="DR81" s="22">
        <f t="shared" si="70"/>
        <v>564.49187973331675</v>
      </c>
      <c r="DS81" s="60">
        <f t="shared" si="71"/>
        <v>836.21787970575883</v>
      </c>
      <c r="DT81" s="60">
        <f ca="1">AVERAGE(OFFSET($DS$3,0,0,'Données projet'!$E$14+1,1))-AVERAGE(OFFSET($H$3,0,0,'Données projet'!$E$14+1,1))</f>
        <v>493.19478874005267</v>
      </c>
      <c r="DU81" s="60">
        <f t="shared" si="98"/>
        <v>278.78337903007821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10.4</v>
      </c>
      <c r="EJ81" s="13">
        <f>IF('Données projet'!$A$192&gt;35,EJ80+EI81-ER80,IF(A81&lt;'Données projet'!$A$192,$EG$205^A81,IF(A81='Données projet'!$A$192,'Données projet'!$B$192,EJ80+EI81-ER80)))</f>
        <v>403.19999999999993</v>
      </c>
      <c r="EK81" s="18">
        <f>EJ81*VLOOKUP('Données projet'!$B$15,Paramètres!$A$1:$I$89,3,0)*VLOOKUP('Données projet'!$B$15,Paramètres!$A$1:$I$89,5,0)</f>
        <v>345.94560000000001</v>
      </c>
      <c r="EL81" s="14">
        <f t="shared" si="99"/>
        <v>80.727102887907222</v>
      </c>
      <c r="EM81" s="22">
        <f t="shared" si="73"/>
        <v>743.12162419643846</v>
      </c>
      <c r="EN81" s="60">
        <f t="shared" si="74"/>
        <v>1014.8476241688804</v>
      </c>
      <c r="EO81" s="60">
        <f ca="1">AVERAGE(OFFSET($EN$3,0,0,'Données projet'!$E$15+1,1))-AVERAGE(OFFSET($H$3,0,0,'Données projet'!$E$15+1,1))</f>
        <v>698.30188737818639</v>
      </c>
      <c r="EP81" s="60">
        <f t="shared" si="100"/>
        <v>329.77977151358482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4</v>
      </c>
      <c r="FE81" s="13">
        <f>IF('Données projet'!$A$218&gt;35,FE80+FD81-FM80,IF(A81&lt;'Données projet'!$A$218,$FB$205^A81,IF(A81='Données projet'!$A$218,'Données projet'!$B$218,FE80+FD81-FM80)))</f>
        <v>253</v>
      </c>
      <c r="FF81" s="18">
        <f>FE81*VLOOKUP('Données projet'!$B$16,Paramètres!$A$1:$I$89,3,0)*VLOOKUP('Données projet'!$B$16,Paramètres!$A$1:$I$89,5,0)</f>
        <v>221.02080000000001</v>
      </c>
      <c r="FG81" s="14">
        <f t="shared" si="101"/>
        <v>54.336691745796898</v>
      </c>
      <c r="FH81" s="22">
        <f t="shared" si="76"/>
        <v>479.58096479059623</v>
      </c>
      <c r="FI81" s="60">
        <f t="shared" si="77"/>
        <v>751.3069647630382</v>
      </c>
      <c r="FJ81" s="60">
        <f ca="1">AVERAGE(OFFSET($FI$3,0,0,'Données projet'!$E$16+1,1))-AVERAGE(OFFSET($H$3,0,0,'Données projet'!$E$16+1,1))</f>
        <v>396.99335548279453</v>
      </c>
      <c r="FK81" s="60">
        <f t="shared" si="102"/>
        <v>388.89849573746335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64.107090901575106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4.6150000000000002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16.921666666666667</v>
      </c>
      <c r="H82" s="68">
        <f t="shared" si="56"/>
        <v>188.98000000000002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340.7999999999999</v>
      </c>
      <c r="O82" s="14">
        <f>N82*VLOOKUP('Données projet'!$B$9,Paramètres!$A$1:$I$89,3,0)*VLOOKUP('Données projet'!$B$9,Paramètres!$A$1:$I$89,5,0)</f>
        <v>308.35583999999989</v>
      </c>
      <c r="P82" s="14">
        <f t="shared" si="87"/>
        <v>72.925357925160824</v>
      </c>
      <c r="Q82" s="22">
        <f t="shared" si="54"/>
        <v>664.06475305298818</v>
      </c>
      <c r="R82" s="60">
        <f t="shared" si="55"/>
        <v>936.16559195248124</v>
      </c>
      <c r="S82" s="60">
        <f ca="1">AVERAGE(OFFSET($R$3,0,0,'Données projet'!$E$9+1,1))-AVERAGE(OFFSET($H$3,0,0,'Données projet'!$E$9+1,1))</f>
        <v>550.53475891182575</v>
      </c>
      <c r="T82" s="60">
        <f t="shared" si="88"/>
        <v>350.2500324347194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876.1147878830235</v>
      </c>
      <c r="AN82" s="60">
        <f ca="1">AVERAGE(OFFSET($AM$3,0,0,'Données projet'!$E$10+1,1))-AVERAGE(OFFSET($H$3,0,0,'Données projet'!$E$10+1,1))</f>
        <v>513.16577009788818</v>
      </c>
      <c r="AO82" s="60">
        <f t="shared" si="90"/>
        <v>289.37159333739146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3.5600000000000023</v>
      </c>
      <c r="BD82" s="13">
        <f>IF('Données projet'!$A$88&gt;35,BD81+BC82-BL81,IF(A82&lt;'Données projet'!$A$88,$BA$205^A82,IF(A82='Données projet'!$A$88,'Données projet'!$B$88,BD81+BC82-BL81)))</f>
        <v>337.73999999999995</v>
      </c>
      <c r="BE82" s="14">
        <f>BD82*VLOOKUP('Données projet'!$B$11,Paramètres!$A$1:$I$89,3,0)*VLOOKUP('Données projet'!$B$11,Paramètres!$A$1:$I$89,5,0)</f>
        <v>247.63096799999994</v>
      </c>
      <c r="BF82" s="14">
        <f t="shared" si="91"/>
        <v>60.078367536199657</v>
      </c>
      <c r="BG82" s="22">
        <f t="shared" si="61"/>
        <v>535.9270927255476</v>
      </c>
      <c r="BH82" s="60">
        <f t="shared" si="62"/>
        <v>808.02793162504065</v>
      </c>
      <c r="BI82" s="60">
        <f ca="1">AVERAGE(OFFSET($BH$3,0,0,'Données projet'!$E$11+1,1))-AVERAGE(OFFSET($H$3,0,0,'Données projet'!$E$11+1,1))</f>
        <v>366.5170155168056</v>
      </c>
      <c r="BJ82" s="60">
        <f t="shared" si="92"/>
        <v>394.05057214541966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0" t="e">
        <f t="shared" si="65"/>
        <v>#NUM!</v>
      </c>
      <c r="CD82" s="60">
        <f ca="1">AVERAGE(OFFSET($CC$3,0,0,'Données projet'!$E$12+1,1))-AVERAGE(OFFSET($H$3,0,0,'Données projet'!$E$12+1,1))</f>
        <v>333.512642972663</v>
      </c>
      <c r="CE82" s="60">
        <f t="shared" si="94"/>
        <v>464.18634682168488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297.08639999999986</v>
      </c>
      <c r="CV82" s="14">
        <f t="shared" si="95"/>
        <v>70.565314499829583</v>
      </c>
      <c r="CW82" s="22">
        <f t="shared" si="67"/>
        <v>640.3267360872029</v>
      </c>
      <c r="CX82" s="60">
        <f t="shared" si="68"/>
        <v>912.42757498669596</v>
      </c>
      <c r="CY82" s="60">
        <f ca="1">AVERAGE(OFFSET($CX$3,0,0,'Données projet'!$E$13+1,1))-AVERAGE(OFFSET($H$3,0,0,'Données projet'!$E$13+1,1))</f>
        <v>539.76438066597848</v>
      </c>
      <c r="CZ82" s="60">
        <f t="shared" si="96"/>
        <v>303.47238367344937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266.9471999999999</v>
      </c>
      <c r="DQ82" s="14">
        <f t="shared" si="97"/>
        <v>64.200959938746379</v>
      </c>
      <c r="DR82" s="22">
        <f t="shared" si="70"/>
        <v>576.74971189331643</v>
      </c>
      <c r="DS82" s="60">
        <f t="shared" si="71"/>
        <v>848.85055079280949</v>
      </c>
      <c r="DT82" s="60">
        <f ca="1">AVERAGE(OFFSET($DS$3,0,0,'Données projet'!$E$14+1,1))-AVERAGE(OFFSET($H$3,0,0,'Données projet'!$E$14+1,1))</f>
        <v>493.19478874005267</v>
      </c>
      <c r="DU82" s="60">
        <f t="shared" si="98"/>
        <v>278.78337903007821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10.4</v>
      </c>
      <c r="EJ82" s="13">
        <f>IF('Données projet'!$A$192&gt;35,EJ81+EI82-ER81,IF(A82&lt;'Données projet'!$A$192,$EG$205^A82,IF(A82='Données projet'!$A$192,'Données projet'!$B$192,EJ81+EI82-ER81)))</f>
        <v>413.59999999999991</v>
      </c>
      <c r="EK82" s="18">
        <f>EJ82*VLOOKUP('Données projet'!$B$15,Paramètres!$A$1:$I$89,3,0)*VLOOKUP('Données projet'!$B$15,Paramètres!$A$1:$I$89,5,0)</f>
        <v>354.86879999999996</v>
      </c>
      <c r="EL82" s="14">
        <f t="shared" si="99"/>
        <v>82.564240228675203</v>
      </c>
      <c r="EM82" s="22">
        <f t="shared" si="73"/>
        <v>761.86254506494254</v>
      </c>
      <c r="EN82" s="60">
        <f t="shared" si="74"/>
        <v>1033.9633839644357</v>
      </c>
      <c r="EO82" s="60">
        <f ca="1">AVERAGE(OFFSET($EN$3,0,0,'Données projet'!$E$15+1,1))-AVERAGE(OFFSET($H$3,0,0,'Données projet'!$E$15+1,1))</f>
        <v>698.30188737818639</v>
      </c>
      <c r="EP82" s="60">
        <f t="shared" si="100"/>
        <v>329.77977151358482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4</v>
      </c>
      <c r="FE82" s="13">
        <f>IF('Données projet'!$A$218&gt;35,FE81+FD82-FM81,IF(A82&lt;'Données projet'!$A$218,$FB$205^A82,IF(A82='Données projet'!$A$218,'Données projet'!$B$218,FE81+FD82-FM81)))</f>
        <v>257</v>
      </c>
      <c r="FF82" s="18">
        <f>FE82*VLOOKUP('Données projet'!$B$16,Paramètres!$A$1:$I$89,3,0)*VLOOKUP('Données projet'!$B$16,Paramètres!$A$1:$I$89,5,0)</f>
        <v>224.51520000000002</v>
      </c>
      <c r="FG82" s="14">
        <f t="shared" si="101"/>
        <v>55.095078782313543</v>
      </c>
      <c r="FH82" s="22">
        <f t="shared" si="76"/>
        <v>486.98790221252949</v>
      </c>
      <c r="FI82" s="60">
        <f t="shared" si="77"/>
        <v>759.08874111202249</v>
      </c>
      <c r="FJ82" s="60">
        <f ca="1">AVERAGE(OFFSET($FI$3,0,0,'Données projet'!$E$16+1,1))-AVERAGE(OFFSET($H$3,0,0,'Données projet'!$E$16+1,1))</f>
        <v>396.99335548279453</v>
      </c>
      <c r="FK82" s="60">
        <f t="shared" si="102"/>
        <v>388.89849573746335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64.209319699861737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4.6150000000000002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16.921666666666667</v>
      </c>
      <c r="H83" s="68">
        <f t="shared" si="56"/>
        <v>188.98000000000002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348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347.99999999999989</v>
      </c>
      <c r="O83" s="14">
        <f>N83*VLOOKUP('Données projet'!$B$9,Paramètres!$A$1:$I$89,3,0)*VLOOKUP('Données projet'!$B$9,Paramètres!$A$1:$I$89,5,0)</f>
        <v>314.8703999999999</v>
      </c>
      <c r="P83" s="14">
        <f t="shared" si="87"/>
        <v>74.285038887149952</v>
      </c>
      <c r="Q83" s="22">
        <f t="shared" si="54"/>
        <v>677.77905606178604</v>
      </c>
      <c r="R83" s="60">
        <f t="shared" si="55"/>
        <v>950.24823127095988</v>
      </c>
      <c r="S83" s="60">
        <f ca="1">AVERAGE(OFFSET($R$3,0,0,'Données projet'!$E$9+1,1))-AVERAGE(OFFSET($H$3,0,0,'Données projet'!$E$9+1,1))</f>
        <v>550.53475891182575</v>
      </c>
      <c r="T83" s="60">
        <f t="shared" si="88"/>
        <v>350.2500324347194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56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889.31604292471343</v>
      </c>
      <c r="AN83" s="60">
        <f ca="1">AVERAGE(OFFSET($AM$3,0,0,'Données projet'!$E$10+1,1))-AVERAGE(OFFSET($H$3,0,0,'Données projet'!$E$10+1,1))</f>
        <v>513.16577009788818</v>
      </c>
      <c r="AO83" s="60">
        <f t="shared" si="90"/>
        <v>289.37159333739146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341.3</v>
      </c>
      <c r="BB83" s="13">
        <f>VLOOKUP(A83,'Données projet'!$A$87:$I$107,9,0)</f>
        <v>3.5600000000000023</v>
      </c>
      <c r="BC83" s="13">
        <f t="array" ref="BC83">INDEX(BB:BB,MIN(IF(ISNUMBER(BB83:BB279),ROW(BB83:BB279),"")))</f>
        <v>3.5600000000000023</v>
      </c>
      <c r="BD83" s="13">
        <f>IF('Données projet'!$A$88&gt;35,BD82+BC83-BL82,IF(A83&lt;'Données projet'!$A$88,$BA$205^A83,IF(A83='Données projet'!$A$88,'Données projet'!$B$88,BD82+BC83-BL82)))</f>
        <v>341.29999999999995</v>
      </c>
      <c r="BE83" s="14">
        <f>BD83*VLOOKUP('Données projet'!$B$11,Paramètres!$A$1:$I$89,3,0)*VLOOKUP('Données projet'!$B$11,Paramètres!$A$1:$I$89,5,0)</f>
        <v>250.24115999999998</v>
      </c>
      <c r="BF83" s="14">
        <f t="shared" si="91"/>
        <v>60.637578738550481</v>
      </c>
      <c r="BG83" s="22">
        <f t="shared" si="61"/>
        <v>541.44713663630864</v>
      </c>
      <c r="BH83" s="60">
        <f t="shared" si="62"/>
        <v>813.9163118454826</v>
      </c>
      <c r="BI83" s="60">
        <f ca="1">AVERAGE(OFFSET($BH$3,0,0,'Données projet'!$E$11+1,1))-AVERAGE(OFFSET($H$3,0,0,'Données projet'!$E$11+1,1))</f>
        <v>366.5170155168056</v>
      </c>
      <c r="BJ83" s="60">
        <f t="shared" si="92"/>
        <v>394.05057214541966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341.3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0" t="e">
        <f t="shared" si="65"/>
        <v>#NUM!</v>
      </c>
      <c r="CD83" s="60">
        <f ca="1">AVERAGE(OFFSET($CC$3,0,0,'Données projet'!$E$12+1,1))-AVERAGE(OFFSET($H$3,0,0,'Données projet'!$E$12+1,1))</f>
        <v>333.512642972663</v>
      </c>
      <c r="CE83" s="60">
        <f t="shared" si="94"/>
        <v>464.18634682168488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303.54479999999984</v>
      </c>
      <c r="CV83" s="14">
        <f t="shared" si="95"/>
        <v>71.919080904752505</v>
      </c>
      <c r="CW83" s="22">
        <f t="shared" si="67"/>
        <v>653.93292590911028</v>
      </c>
      <c r="CX83" s="60">
        <f t="shared" si="68"/>
        <v>926.40210111828424</v>
      </c>
      <c r="CY83" s="60">
        <f ca="1">AVERAGE(OFFSET($CX$3,0,0,'Données projet'!$E$13+1,1))-AVERAGE(OFFSET($H$3,0,0,'Données projet'!$E$13+1,1))</f>
        <v>539.76438066597848</v>
      </c>
      <c r="CZ83" s="60">
        <f t="shared" si="96"/>
        <v>303.47238367344937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272.7503999999999</v>
      </c>
      <c r="DQ83" s="14">
        <f t="shared" si="97"/>
        <v>65.432628830820633</v>
      </c>
      <c r="DR83" s="22">
        <f t="shared" si="70"/>
        <v>589.00210854701243</v>
      </c>
      <c r="DS83" s="60">
        <f t="shared" si="71"/>
        <v>861.47128375618627</v>
      </c>
      <c r="DT83" s="60">
        <f ca="1">AVERAGE(OFFSET($DS$3,0,0,'Données projet'!$E$14+1,1))-AVERAGE(OFFSET($H$3,0,0,'Données projet'!$E$14+1,1))</f>
        <v>493.19478874005267</v>
      </c>
      <c r="DU83" s="60">
        <f t="shared" si="98"/>
        <v>278.78337903007821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424</v>
      </c>
      <c r="EH83" s="13">
        <f>VLOOKUP(A83,'Données projet'!$A$191:$I$211,9,0)</f>
        <v>10.4</v>
      </c>
      <c r="EI83" s="13">
        <f t="array" ref="EI83">INDEX(EH:EH,MIN(IF(ISNUMBER(EH83:EH279),ROW(EH83:EH279),"")))</f>
        <v>10.4</v>
      </c>
      <c r="EJ83" s="13">
        <f>IF('Données projet'!$A$192&gt;35,EJ82+EI83-ER82,IF(A83&lt;'Données projet'!$A$192,$EG$205^A83,IF(A83='Données projet'!$A$192,'Données projet'!$B$192,EJ82+EI83-ER82)))</f>
        <v>423.99999999999989</v>
      </c>
      <c r="EK83" s="18">
        <f>EJ83*VLOOKUP('Données projet'!$B$15,Paramètres!$A$1:$I$89,3,0)*VLOOKUP('Données projet'!$B$15,Paramètres!$A$1:$I$89,5,0)</f>
        <v>363.79199999999997</v>
      </c>
      <c r="EL83" s="14">
        <f t="shared" si="99"/>
        <v>84.396007741478684</v>
      </c>
      <c r="EM83" s="22">
        <f t="shared" si="73"/>
        <v>780.59411348307538</v>
      </c>
      <c r="EN83" s="60">
        <f t="shared" si="74"/>
        <v>1053.0632886922492</v>
      </c>
      <c r="EO83" s="60">
        <f ca="1">AVERAGE(OFFSET($EN$3,0,0,'Données projet'!$E$15+1,1))-AVERAGE(OFFSET($H$3,0,0,'Données projet'!$E$15+1,1))</f>
        <v>698.30188737818639</v>
      </c>
      <c r="EP83" s="60">
        <f t="shared" si="100"/>
        <v>329.77977151358482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261</v>
      </c>
      <c r="FC83" s="13">
        <f>VLOOKUP(A83,'Données projet'!$A$217:$I$237,9,0)</f>
        <v>4</v>
      </c>
      <c r="FD83" s="13">
        <f t="array" ref="FD83">INDEX(FC:FC,MIN(IF(ISNUMBER(FC83:FC279),ROW(FC83:FC279),"")))</f>
        <v>4</v>
      </c>
      <c r="FE83" s="13">
        <f>IF('Données projet'!$A$218&gt;35,FE82+FD83-FM82,IF(A83&lt;'Données projet'!$A$218,$FB$205^A83,IF(A83='Données projet'!$A$218,'Données projet'!$B$218,FE82+FD83-FM82)))</f>
        <v>261</v>
      </c>
      <c r="FF83" s="18">
        <f>FE83*VLOOKUP('Données projet'!$B$16,Paramètres!$A$1:$I$89,3,0)*VLOOKUP('Données projet'!$B$16,Paramètres!$A$1:$I$89,5,0)</f>
        <v>228.00960000000003</v>
      </c>
      <c r="FG83" s="14">
        <f t="shared" si="101"/>
        <v>55.852093054619829</v>
      </c>
      <c r="FH83" s="22">
        <f t="shared" si="76"/>
        <v>494.39244873679627</v>
      </c>
      <c r="FI83" s="60">
        <f t="shared" si="77"/>
        <v>766.86162394597022</v>
      </c>
      <c r="FJ83" s="60">
        <f ca="1">AVERAGE(OFFSET($FI$3,0,0,'Données projet'!$E$16+1,1))-AVERAGE(OFFSET($H$3,0,0,'Données projet'!$E$16+1,1))</f>
        <v>396.99335548279453</v>
      </c>
      <c r="FK83" s="60">
        <f t="shared" si="102"/>
        <v>388.89849573746335</v>
      </c>
      <c r="FL83" s="16">
        <f>IF(ISNA(VLOOKUP(A83,'Données projet'!$A$217:$I$237,3,0)),0,VLOOKUP(A83,'Données projet'!$A$217:$I$237,3,0))</f>
        <v>7</v>
      </c>
      <c r="FM83" s="16">
        <f>IF(ISNA(VLOOKUP(A83,'Données projet'!$A$217:$I$237,4,0)),0,VLOOKUP(A83,'Données projet'!$A$217:$I$237,4,0))</f>
        <v>31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64.309775057047432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4.6150000000000002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16.921666666666667</v>
      </c>
      <c r="H84" s="68">
        <f t="shared" si="56"/>
        <v>188.98000000000002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298.59999999999991</v>
      </c>
      <c r="O84" s="14">
        <f>N84*VLOOKUP('Données projet'!$B$9,Paramètres!$A$1:$I$89,3,0)*VLOOKUP('Données projet'!$B$9,Paramètres!$A$1:$I$89,5,0)</f>
        <v>270.17327999999992</v>
      </c>
      <c r="P84" s="14">
        <f t="shared" si="87"/>
        <v>64.886042303882988</v>
      </c>
      <c r="Q84" s="22">
        <f t="shared" si="54"/>
        <v>583.56165301259614</v>
      </c>
      <c r="R84" s="60">
        <f t="shared" si="55"/>
        <v>856.39277471995456</v>
      </c>
      <c r="S84" s="60">
        <f ca="1">AVERAGE(OFFSET($R$3,0,0,'Données projet'!$E$9+1,1))-AVERAGE(OFFSET($H$3,0,0,'Données projet'!$E$9+1,1))</f>
        <v>550.53475891182575</v>
      </c>
      <c r="T84" s="60">
        <f t="shared" si="88"/>
        <v>350.2500324347194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811.73480460217547</v>
      </c>
      <c r="AN84" s="60">
        <f ca="1">AVERAGE(OFFSET($AM$3,0,0,'Données projet'!$E$10+1,1))-AVERAGE(OFFSET($H$3,0,0,'Données projet'!$E$10+1,1))</f>
        <v>513.16577009788818</v>
      </c>
      <c r="AO84" s="60">
        <f t="shared" si="90"/>
        <v>289.37159333739146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-4.1677594708744434E-14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366.5170155168056</v>
      </c>
      <c r="BJ84" s="60">
        <f t="shared" si="92"/>
        <v>394.05057214541966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333.512642972663</v>
      </c>
      <c r="CE84" s="60">
        <f t="shared" si="94"/>
        <v>464.18634682168488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264.36383999999987</v>
      </c>
      <c r="CV84" s="14">
        <f t="shared" si="95"/>
        <v>63.651669282160768</v>
      </c>
      <c r="CW84" s="22">
        <f t="shared" si="67"/>
        <v>571.29367866642974</v>
      </c>
      <c r="CX84" s="60">
        <f t="shared" si="68"/>
        <v>844.12480037378828</v>
      </c>
      <c r="CY84" s="60">
        <f ca="1">AVERAGE(OFFSET($CX$3,0,0,'Données projet'!$E$13+1,1))-AVERAGE(OFFSET($H$3,0,0,'Données projet'!$E$13+1,1))</f>
        <v>539.76438066597848</v>
      </c>
      <c r="CZ84" s="60">
        <f t="shared" si="96"/>
        <v>303.47238367344937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237.54431999999991</v>
      </c>
      <c r="DQ84" s="14">
        <f t="shared" si="97"/>
        <v>57.910863128487989</v>
      </c>
      <c r="DR84" s="22">
        <f t="shared" si="70"/>
        <v>514.58444394878302</v>
      </c>
      <c r="DS84" s="60">
        <f t="shared" si="71"/>
        <v>787.41556565614155</v>
      </c>
      <c r="DT84" s="60">
        <f ca="1">AVERAGE(OFFSET($DS$3,0,0,'Données projet'!$E$14+1,1))-AVERAGE(OFFSET($H$3,0,0,'Données projet'!$E$14+1,1))</f>
        <v>493.19478874005267</v>
      </c>
      <c r="DU84" s="60">
        <f t="shared" si="98"/>
        <v>278.78337903007821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9.6</v>
      </c>
      <c r="EJ84" s="13">
        <f>IF('Données projet'!$A$192&gt;35,EJ83+EI84-ER83,IF(A84&lt;'Données projet'!$A$192,$EG$205^A84,IF(A84='Données projet'!$A$192,'Données projet'!$B$192,EJ83+EI84-ER83)))</f>
        <v>433.59999999999991</v>
      </c>
      <c r="EK84" s="18">
        <f>EJ84*VLOOKUP('Données projet'!$B$15,Paramètres!$A$1:$I$89,3,0)*VLOOKUP('Données projet'!$B$15,Paramètres!$A$1:$I$89,5,0)</f>
        <v>372.02879999999993</v>
      </c>
      <c r="EL84" s="14">
        <f t="shared" si="99"/>
        <v>86.082231077580573</v>
      </c>
      <c r="EM84" s="22">
        <f t="shared" si="73"/>
        <v>797.87671246011939</v>
      </c>
      <c r="EN84" s="60">
        <f t="shared" si="74"/>
        <v>1070.7078341674778</v>
      </c>
      <c r="EO84" s="60">
        <f ca="1">AVERAGE(OFFSET($EN$3,0,0,'Données projet'!$E$15+1,1))-AVERAGE(OFFSET($H$3,0,0,'Données projet'!$E$15+1,1))</f>
        <v>698.30188737818639</v>
      </c>
      <c r="EP84" s="60">
        <f t="shared" si="100"/>
        <v>329.77977151358482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3.6</v>
      </c>
      <c r="FE84" s="13">
        <f>IF('Données projet'!$A$218&gt;35,FE83+FD84-FM83,IF(A84&lt;'Données projet'!$A$218,$FB$205^A84,IF(A84='Données projet'!$A$218,'Données projet'!$B$218,FE83+FD84-FM83)))</f>
        <v>233.60000000000002</v>
      </c>
      <c r="FF84" s="18">
        <f>FE84*VLOOKUP('Données projet'!$B$16,Paramètres!$A$1:$I$89,3,0)*VLOOKUP('Données projet'!$B$16,Paramètres!$A$1:$I$89,5,0)</f>
        <v>204.07296000000005</v>
      </c>
      <c r="FG84" s="14">
        <f t="shared" si="101"/>
        <v>50.638228095278635</v>
      </c>
      <c r="FH84" s="22">
        <f t="shared" si="76"/>
        <v>443.62198593261041</v>
      </c>
      <c r="FI84" s="60">
        <f t="shared" si="77"/>
        <v>716.45310763996895</v>
      </c>
      <c r="FJ84" s="60">
        <f ca="1">AVERAGE(OFFSET($FI$3,0,0,'Données projet'!$E$16+1,1))-AVERAGE(OFFSET($H$3,0,0,'Données projet'!$E$16+1,1))</f>
        <v>396.99335548279453</v>
      </c>
      <c r="FK84" s="60">
        <f t="shared" si="102"/>
        <v>388.89849573746335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64.408487738370496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4.6150000000000002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16.921666666666667</v>
      </c>
      <c r="H85" s="68">
        <f t="shared" si="56"/>
        <v>188.98000000000002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305.19999999999993</v>
      </c>
      <c r="O85" s="14">
        <f>N85*VLOOKUP('Données projet'!$B$9,Paramètres!$A$1:$I$89,3,0)*VLOOKUP('Données projet'!$B$9,Paramètres!$A$1:$I$89,5,0)</f>
        <v>276.14495999999991</v>
      </c>
      <c r="P85" s="14">
        <f t="shared" si="87"/>
        <v>66.151671938851194</v>
      </c>
      <c r="Q85" s="22">
        <f t="shared" si="54"/>
        <v>596.16663396016554</v>
      </c>
      <c r="R85" s="60">
        <f t="shared" si="55"/>
        <v>869.35342320315635</v>
      </c>
      <c r="S85" s="60">
        <f ca="1">AVERAGE(OFFSET($R$3,0,0,'Données projet'!$E$9+1,1))-AVERAGE(OFFSET($H$3,0,0,'Données projet'!$E$9+1,1))</f>
        <v>550.53475891182575</v>
      </c>
      <c r="T85" s="60">
        <f t="shared" si="88"/>
        <v>350.2500324347194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824.0962832584205</v>
      </c>
      <c r="AN85" s="60">
        <f ca="1">AVERAGE(OFFSET($AM$3,0,0,'Données projet'!$E$10+1,1))-AVERAGE(OFFSET($H$3,0,0,'Données projet'!$E$10+1,1))</f>
        <v>513.16577009788818</v>
      </c>
      <c r="AO85" s="60">
        <f t="shared" si="90"/>
        <v>289.37159333739146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-4.1677594708744434E-14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366.5170155168056</v>
      </c>
      <c r="BJ85" s="60">
        <f t="shared" si="92"/>
        <v>394.05057214541966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333.512642972663</v>
      </c>
      <c r="CE85" s="60">
        <f t="shared" si="94"/>
        <v>464.18634682168488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270.39167999999989</v>
      </c>
      <c r="CV85" s="14">
        <f t="shared" si="95"/>
        <v>64.932386654872516</v>
      </c>
      <c r="CW85" s="22">
        <f t="shared" si="67"/>
        <v>584.02274942390272</v>
      </c>
      <c r="CX85" s="60">
        <f t="shared" si="68"/>
        <v>857.20953866689342</v>
      </c>
      <c r="CY85" s="60">
        <f ca="1">AVERAGE(OFFSET($CX$3,0,0,'Données projet'!$E$13+1,1))-AVERAGE(OFFSET($H$3,0,0,'Données projet'!$E$13+1,1))</f>
        <v>539.76438066597848</v>
      </c>
      <c r="CZ85" s="60">
        <f t="shared" si="96"/>
        <v>303.47238367344937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242.96063999999993</v>
      </c>
      <c r="DQ85" s="14">
        <f t="shared" si="97"/>
        <v>59.076071351835715</v>
      </c>
      <c r="DR85" s="22">
        <f t="shared" si="70"/>
        <v>526.04727227111368</v>
      </c>
      <c r="DS85" s="60">
        <f t="shared" si="71"/>
        <v>799.2340615141045</v>
      </c>
      <c r="DT85" s="60">
        <f ca="1">AVERAGE(OFFSET($DS$3,0,0,'Données projet'!$E$14+1,1))-AVERAGE(OFFSET($H$3,0,0,'Données projet'!$E$14+1,1))</f>
        <v>493.19478874005267</v>
      </c>
      <c r="DU85" s="60">
        <f t="shared" si="98"/>
        <v>278.78337903007821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9.6</v>
      </c>
      <c r="EJ85" s="13">
        <f>IF('Données projet'!$A$192&gt;35,EJ84+EI85-ER84,IF(A85&lt;'Données projet'!$A$192,$EG$205^A85,IF(A85='Données projet'!$A$192,'Données projet'!$B$192,EJ84+EI85-ER84)))</f>
        <v>443.19999999999993</v>
      </c>
      <c r="EK85" s="18">
        <f>EJ85*VLOOKUP('Données projet'!$B$15,Paramètres!$A$1:$I$89,3,0)*VLOOKUP('Données projet'!$B$15,Paramètres!$A$1:$I$89,5,0)</f>
        <v>380.26560000000001</v>
      </c>
      <c r="EL85" s="14">
        <f t="shared" si="99"/>
        <v>87.764114030778003</v>
      </c>
      <c r="EM85" s="22">
        <f t="shared" si="73"/>
        <v>815.15175193693824</v>
      </c>
      <c r="EN85" s="60">
        <f t="shared" si="74"/>
        <v>1088.3385411799291</v>
      </c>
      <c r="EO85" s="60">
        <f ca="1">AVERAGE(OFFSET($EN$3,0,0,'Données projet'!$E$15+1,1))-AVERAGE(OFFSET($H$3,0,0,'Données projet'!$E$15+1,1))</f>
        <v>698.30188737818639</v>
      </c>
      <c r="EP85" s="60">
        <f t="shared" si="100"/>
        <v>329.77977151358482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3.6</v>
      </c>
      <c r="FE85" s="13">
        <f>IF('Données projet'!$A$218&gt;35,FE84+FD85-FM84,IF(A85&lt;'Données projet'!$A$218,$FB$205^A85,IF(A85='Données projet'!$A$218,'Données projet'!$B$218,FE84+FD85-FM84)))</f>
        <v>237.20000000000002</v>
      </c>
      <c r="FF85" s="18">
        <f>FE85*VLOOKUP('Données projet'!$B$16,Paramètres!$A$1:$I$89,3,0)*VLOOKUP('Données projet'!$B$16,Paramètres!$A$1:$I$89,5,0)</f>
        <v>207.21792000000005</v>
      </c>
      <c r="FG85" s="14">
        <f t="shared" si="101"/>
        <v>51.327160141561521</v>
      </c>
      <c r="FH85" s="22">
        <f t="shared" si="76"/>
        <v>450.29934791321972</v>
      </c>
      <c r="FI85" s="60">
        <f t="shared" si="77"/>
        <v>723.48613715621048</v>
      </c>
      <c r="FJ85" s="60">
        <f ca="1">AVERAGE(OFFSET($FI$3,0,0,'Données projet'!$E$16+1,1))-AVERAGE(OFFSET($H$3,0,0,'Données projet'!$E$16+1,1))</f>
        <v>396.99335548279453</v>
      </c>
      <c r="FK85" s="60">
        <f t="shared" si="102"/>
        <v>388.89849573746335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64.505487975361106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4.6150000000000002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16.921666666666667</v>
      </c>
      <c r="H86" s="68">
        <f t="shared" si="56"/>
        <v>188.98000000000002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311.79999999999995</v>
      </c>
      <c r="O86" s="14">
        <f>N86*VLOOKUP('Données projet'!$B$9,Paramètres!$A$1:$I$89,3,0)*VLOOKUP('Données projet'!$B$9,Paramètres!$A$1:$I$89,5,0)</f>
        <v>282.11663999999996</v>
      </c>
      <c r="P86" s="14">
        <f t="shared" si="87"/>
        <v>67.414119514142243</v>
      </c>
      <c r="Q86" s="22">
        <f t="shared" si="54"/>
        <v>608.76607282046439</v>
      </c>
      <c r="R86" s="60">
        <f t="shared" si="55"/>
        <v>882.30235956249749</v>
      </c>
      <c r="S86" s="60">
        <f ca="1">AVERAGE(OFFSET($R$3,0,0,'Données projet'!$E$9+1,1))-AVERAGE(OFFSET($H$3,0,0,'Données projet'!$E$9+1,1))</f>
        <v>550.53475891182575</v>
      </c>
      <c r="T86" s="60">
        <f t="shared" si="88"/>
        <v>350.2500324347194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836.44610787655211</v>
      </c>
      <c r="AN86" s="60">
        <f ca="1">AVERAGE(OFFSET($AM$3,0,0,'Données projet'!$E$10+1,1))-AVERAGE(OFFSET($H$3,0,0,'Données projet'!$E$10+1,1))</f>
        <v>513.16577009788818</v>
      </c>
      <c r="AO86" s="60">
        <f t="shared" si="90"/>
        <v>289.37159333739146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-4.1677594708744434E-14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366.5170155168056</v>
      </c>
      <c r="BJ86" s="60">
        <f t="shared" si="92"/>
        <v>394.05057214541966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333.512642972663</v>
      </c>
      <c r="CE86" s="60">
        <f t="shared" si="94"/>
        <v>464.18634682168488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276.41951999999986</v>
      </c>
      <c r="CV86" s="14">
        <f t="shared" si="95"/>
        <v>66.209784705913108</v>
      </c>
      <c r="CW86" s="22">
        <f t="shared" si="67"/>
        <v>596.74603902946512</v>
      </c>
      <c r="CX86" s="60">
        <f t="shared" si="68"/>
        <v>870.28232577149834</v>
      </c>
      <c r="CY86" s="60">
        <f ca="1">AVERAGE(OFFSET($CX$3,0,0,'Données projet'!$E$13+1,1))-AVERAGE(OFFSET($H$3,0,0,'Données projet'!$E$13+1,1))</f>
        <v>539.76438066597848</v>
      </c>
      <c r="CZ86" s="60">
        <f t="shared" si="96"/>
        <v>303.47238367344937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248.37695999999988</v>
      </c>
      <c r="DQ86" s="14">
        <f t="shared" si="97"/>
        <v>60.238259626372319</v>
      </c>
      <c r="DR86" s="22">
        <f t="shared" si="70"/>
        <v>537.50484084926495</v>
      </c>
      <c r="DS86" s="60">
        <f t="shared" si="71"/>
        <v>811.04112759129816</v>
      </c>
      <c r="DT86" s="60">
        <f ca="1">AVERAGE(OFFSET($DS$3,0,0,'Données projet'!$E$14+1,1))-AVERAGE(OFFSET($H$3,0,0,'Données projet'!$E$14+1,1))</f>
        <v>493.19478874005267</v>
      </c>
      <c r="DU86" s="60">
        <f t="shared" si="98"/>
        <v>278.78337903007821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9.6</v>
      </c>
      <c r="EJ86" s="13">
        <f>IF('Données projet'!$A$192&gt;35,EJ85+EI86-ER85,IF(A86&lt;'Données projet'!$A$192,$EG$205^A86,IF(A86='Données projet'!$A$192,'Données projet'!$B$192,EJ85+EI86-ER85)))</f>
        <v>452.79999999999995</v>
      </c>
      <c r="EK86" s="18">
        <f>EJ86*VLOOKUP('Données projet'!$B$15,Paramètres!$A$1:$I$89,3,0)*VLOOKUP('Données projet'!$B$15,Paramètres!$A$1:$I$89,5,0)</f>
        <v>388.50240000000002</v>
      </c>
      <c r="EL86" s="14">
        <f t="shared" si="99"/>
        <v>89.441761444345047</v>
      </c>
      <c r="EM86" s="22">
        <f t="shared" si="73"/>
        <v>832.41941451556761</v>
      </c>
      <c r="EN86" s="60">
        <f t="shared" si="74"/>
        <v>1105.9557012576008</v>
      </c>
      <c r="EO86" s="60">
        <f ca="1">AVERAGE(OFFSET($EN$3,0,0,'Données projet'!$E$15+1,1))-AVERAGE(OFFSET($H$3,0,0,'Données projet'!$E$15+1,1))</f>
        <v>698.30188737818639</v>
      </c>
      <c r="EP86" s="60">
        <f t="shared" si="100"/>
        <v>329.77977151358482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3.6</v>
      </c>
      <c r="FE86" s="13">
        <f>IF('Données projet'!$A$218&gt;35,FE85+FD86-FM85,IF(A86&lt;'Données projet'!$A$218,$FB$205^A86,IF(A86='Données projet'!$A$218,'Données projet'!$B$218,FE85+FD86-FM85)))</f>
        <v>240.8</v>
      </c>
      <c r="FF86" s="18">
        <f>FE86*VLOOKUP('Données projet'!$B$16,Paramètres!$A$1:$I$89,3,0)*VLOOKUP('Données projet'!$B$16,Paramètres!$A$1:$I$89,5,0)</f>
        <v>210.36288000000002</v>
      </c>
      <c r="FG86" s="14">
        <f t="shared" si="101"/>
        <v>52.014876138342963</v>
      </c>
      <c r="FH86" s="22">
        <f t="shared" si="76"/>
        <v>456.97459194094728</v>
      </c>
      <c r="FI86" s="60">
        <f t="shared" si="77"/>
        <v>730.51087868298043</v>
      </c>
      <c r="FJ86" s="60">
        <f ca="1">AVERAGE(OFFSET($FI$3,0,0,'Données projet'!$E$16+1,1))-AVERAGE(OFFSET($H$3,0,0,'Données projet'!$E$16+1,1))</f>
        <v>396.99335548279453</v>
      </c>
      <c r="FK86" s="60">
        <f t="shared" si="102"/>
        <v>388.89849573746335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64.600805475099961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4.6150000000000002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16.921666666666667</v>
      </c>
      <c r="H87" s="68">
        <f t="shared" si="56"/>
        <v>188.98000000000002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318.39999999999998</v>
      </c>
      <c r="O87" s="14">
        <f>N87*VLOOKUP('Données projet'!$B$9,Paramètres!$A$1:$I$89,3,0)*VLOOKUP('Données projet'!$B$9,Paramètres!$A$1:$I$89,5,0)</f>
        <v>288.08831999999995</v>
      </c>
      <c r="P87" s="14">
        <f t="shared" si="87"/>
        <v>68.673460144735557</v>
      </c>
      <c r="Q87" s="22">
        <f t="shared" si="54"/>
        <v>621.36010041874761</v>
      </c>
      <c r="R87" s="60">
        <f t="shared" si="55"/>
        <v>895.2398216595742</v>
      </c>
      <c r="S87" s="60">
        <f ca="1">AVERAGE(OFFSET($R$3,0,0,'Données projet'!$E$9+1,1))-AVERAGE(OFFSET($H$3,0,0,'Données projet'!$E$9+1,1))</f>
        <v>550.53475891182575</v>
      </c>
      <c r="T87" s="60">
        <f t="shared" si="88"/>
        <v>350.2500324347194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848.78451885391758</v>
      </c>
      <c r="AN87" s="60">
        <f ca="1">AVERAGE(OFFSET($AM$3,0,0,'Données projet'!$E$10+1,1))-AVERAGE(OFFSET($H$3,0,0,'Données projet'!$E$10+1,1))</f>
        <v>513.16577009788818</v>
      </c>
      <c r="AO87" s="60">
        <f t="shared" si="90"/>
        <v>289.37159333739146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-4.1677594708744434E-14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366.5170155168056</v>
      </c>
      <c r="BJ87" s="60">
        <f t="shared" si="92"/>
        <v>394.05057214541966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333.512642972663</v>
      </c>
      <c r="CE87" s="60">
        <f t="shared" si="94"/>
        <v>464.18634682168488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282.44735999999989</v>
      </c>
      <c r="CV87" s="14">
        <f t="shared" si="95"/>
        <v>67.48394415518699</v>
      </c>
      <c r="CW87" s="22">
        <f t="shared" si="67"/>
        <v>609.46368807028375</v>
      </c>
      <c r="CX87" s="60">
        <f t="shared" si="68"/>
        <v>883.34340931111035</v>
      </c>
      <c r="CY87" s="60">
        <f ca="1">AVERAGE(OFFSET($CX$3,0,0,'Données projet'!$E$13+1,1))-AVERAGE(OFFSET($H$3,0,0,'Données projet'!$E$13+1,1))</f>
        <v>539.76438066597848</v>
      </c>
      <c r="CZ87" s="60">
        <f t="shared" si="96"/>
        <v>303.47238367344937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253.79327999999995</v>
      </c>
      <c r="DQ87" s="14">
        <f t="shared" si="97"/>
        <v>61.39750139179521</v>
      </c>
      <c r="DR87" s="22">
        <f t="shared" si="70"/>
        <v>548.95727759070985</v>
      </c>
      <c r="DS87" s="60">
        <f t="shared" si="71"/>
        <v>822.83699883153645</v>
      </c>
      <c r="DT87" s="60">
        <f ca="1">AVERAGE(OFFSET($DS$3,0,0,'Données projet'!$E$14+1,1))-AVERAGE(OFFSET($H$3,0,0,'Données projet'!$E$14+1,1))</f>
        <v>493.19478874005267</v>
      </c>
      <c r="DU87" s="60">
        <f t="shared" si="98"/>
        <v>278.78337903007821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9.6</v>
      </c>
      <c r="EJ87" s="13">
        <f>IF('Données projet'!$A$192&gt;35,EJ86+EI87-ER86,IF(A87&lt;'Données projet'!$A$192,$EG$205^A87,IF(A87='Données projet'!$A$192,'Données projet'!$B$192,EJ86+EI87-ER86)))</f>
        <v>462.4</v>
      </c>
      <c r="EK87" s="18">
        <f>EJ87*VLOOKUP('Données projet'!$B$15,Paramètres!$A$1:$I$89,3,0)*VLOOKUP('Données projet'!$B$15,Paramètres!$A$1:$I$89,5,0)</f>
        <v>396.73920000000004</v>
      </c>
      <c r="EL87" s="14">
        <f t="shared" si="99"/>
        <v>91.11527346191049</v>
      </c>
      <c r="EM87" s="22">
        <f t="shared" si="73"/>
        <v>849.67987461282746</v>
      </c>
      <c r="EN87" s="60">
        <f t="shared" si="74"/>
        <v>1123.5595958536542</v>
      </c>
      <c r="EO87" s="60">
        <f ca="1">AVERAGE(OFFSET($EN$3,0,0,'Données projet'!$E$15+1,1))-AVERAGE(OFFSET($H$3,0,0,'Données projet'!$E$15+1,1))</f>
        <v>698.30188737818639</v>
      </c>
      <c r="EP87" s="60">
        <f t="shared" si="100"/>
        <v>329.77977151358482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3.6</v>
      </c>
      <c r="FE87" s="13">
        <f>IF('Données projet'!$A$218&gt;35,FE86+FD87-FM86,IF(A87&lt;'Données projet'!$A$218,$FB$205^A87,IF(A87='Données projet'!$A$218,'Données projet'!$B$218,FE86+FD87-FM86)))</f>
        <v>244.4</v>
      </c>
      <c r="FF87" s="18">
        <f>FE87*VLOOKUP('Données projet'!$B$16,Paramètres!$A$1:$I$89,3,0)*VLOOKUP('Données projet'!$B$16,Paramètres!$A$1:$I$89,5,0)</f>
        <v>213.50784000000002</v>
      </c>
      <c r="FG87" s="14">
        <f t="shared" si="101"/>
        <v>52.701396365805124</v>
      </c>
      <c r="FH87" s="22">
        <f t="shared" si="76"/>
        <v>463.6477533371106</v>
      </c>
      <c r="FI87" s="60">
        <f t="shared" si="77"/>
        <v>737.52747457793726</v>
      </c>
      <c r="FJ87" s="60">
        <f ca="1">AVERAGE(OFFSET($FI$3,0,0,'Données projet'!$E$16+1,1))-AVERAGE(OFFSET($H$3,0,0,'Données projet'!$E$16+1,1))</f>
        <v>396.99335548279453</v>
      </c>
      <c r="FK87" s="60">
        <f t="shared" si="102"/>
        <v>388.89849573746335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64.694469429316342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4.6150000000000002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16.921666666666667</v>
      </c>
      <c r="H88" s="68">
        <f t="shared" si="56"/>
        <v>188.98000000000002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325</v>
      </c>
      <c r="O88" s="14">
        <f>N88*VLOOKUP('Données projet'!$B$9,Paramètres!$A$1:$I$89,3,0)*VLOOKUP('Données projet'!$B$9,Paramètres!$A$1:$I$89,5,0)</f>
        <v>294.06</v>
      </c>
      <c r="P88" s="14">
        <f t="shared" si="87"/>
        <v>69.929765653573313</v>
      </c>
      <c r="Q88" s="22">
        <f t="shared" si="54"/>
        <v>633.94884184664022</v>
      </c>
      <c r="R88" s="60">
        <f t="shared" si="55"/>
        <v>908.16603976551073</v>
      </c>
      <c r="S88" s="60">
        <f ca="1">AVERAGE(OFFSET($R$3,0,0,'Données projet'!$E$9+1,1))-AVERAGE(OFFSET($H$3,0,0,'Données projet'!$E$9+1,1))</f>
        <v>550.53475891182575</v>
      </c>
      <c r="T88" s="60">
        <f t="shared" si="88"/>
        <v>350.2500324347194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861.11174871359958</v>
      </c>
      <c r="AN88" s="60">
        <f ca="1">AVERAGE(OFFSET($AM$3,0,0,'Données projet'!$E$10+1,1))-AVERAGE(OFFSET($H$3,0,0,'Données projet'!$E$10+1,1))</f>
        <v>513.16577009788818</v>
      </c>
      <c r="AO88" s="60">
        <f t="shared" si="90"/>
        <v>289.37159333739146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-4.1677594708744434E-14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366.5170155168056</v>
      </c>
      <c r="BJ88" s="60">
        <f t="shared" si="92"/>
        <v>394.05057214541966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333.512642972663</v>
      </c>
      <c r="CE88" s="60">
        <f t="shared" si="94"/>
        <v>464.18634682168488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288.47519999999997</v>
      </c>
      <c r="CV88" s="14">
        <f t="shared" si="95"/>
        <v>68.754942080410842</v>
      </c>
      <c r="CW88" s="22">
        <f t="shared" si="67"/>
        <v>622.17583079004874</v>
      </c>
      <c r="CX88" s="60">
        <f t="shared" si="68"/>
        <v>896.39302870891925</v>
      </c>
      <c r="CY88" s="60">
        <f ca="1">AVERAGE(OFFSET($CX$3,0,0,'Données projet'!$E$13+1,1))-AVERAGE(OFFSET($H$3,0,0,'Données projet'!$E$13+1,1))</f>
        <v>539.76438066597848</v>
      </c>
      <c r="CZ88" s="60">
        <f t="shared" si="96"/>
        <v>303.47238367344937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259.20959999999997</v>
      </c>
      <c r="DQ88" s="14">
        <f t="shared" si="97"/>
        <v>62.553866774106702</v>
      </c>
      <c r="DR88" s="22">
        <f t="shared" si="70"/>
        <v>560.40470463156907</v>
      </c>
      <c r="DS88" s="60">
        <f t="shared" si="71"/>
        <v>834.62190255043959</v>
      </c>
      <c r="DT88" s="60">
        <f ca="1">AVERAGE(OFFSET($DS$3,0,0,'Données projet'!$E$14+1,1))-AVERAGE(OFFSET($H$3,0,0,'Données projet'!$E$14+1,1))</f>
        <v>493.19478874005267</v>
      </c>
      <c r="DU88" s="60">
        <f t="shared" si="98"/>
        <v>278.78337903007821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472</v>
      </c>
      <c r="EH88" s="13">
        <f>VLOOKUP(A88,'Données projet'!$A$191:$I$211,9,0)</f>
        <v>9.6</v>
      </c>
      <c r="EI88" s="13">
        <f t="array" ref="EI88">INDEX(EH:EH,MIN(IF(ISNUMBER(EH88:EH284),ROW(EH88:EH284),"")))</f>
        <v>9.6</v>
      </c>
      <c r="EJ88" s="13">
        <f>IF('Données projet'!$A$192&gt;35,EJ87+EI88-ER87,IF(A88&lt;'Données projet'!$A$192,$EG$205^A88,IF(A88='Données projet'!$A$192,'Données projet'!$B$192,EJ87+EI88-ER87)))</f>
        <v>472</v>
      </c>
      <c r="EK88" s="18">
        <f>EJ88*VLOOKUP('Données projet'!$B$15,Paramètres!$A$1:$I$89,3,0)*VLOOKUP('Données projet'!$B$15,Paramètres!$A$1:$I$89,5,0)</f>
        <v>404.97600000000006</v>
      </c>
      <c r="EL88" s="14">
        <f t="shared" si="99"/>
        <v>92.784745831246795</v>
      </c>
      <c r="EM88" s="22">
        <f t="shared" si="73"/>
        <v>866.93329898942159</v>
      </c>
      <c r="EN88" s="60">
        <f t="shared" si="74"/>
        <v>1141.1504969082921</v>
      </c>
      <c r="EO88" s="60">
        <f ca="1">AVERAGE(OFFSET($EN$3,0,0,'Données projet'!$E$15+1,1))-AVERAGE(OFFSET($H$3,0,0,'Données projet'!$E$15+1,1))</f>
        <v>698.30188737818639</v>
      </c>
      <c r="EP88" s="60">
        <f t="shared" si="100"/>
        <v>329.77977151358482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67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248</v>
      </c>
      <c r="FC88" s="13">
        <f>VLOOKUP(A88,'Données projet'!$A$217:$I$237,9,0)</f>
        <v>3.6</v>
      </c>
      <c r="FD88" s="13">
        <f t="array" ref="FD88">INDEX(FC:FC,MIN(IF(ISNUMBER(FC88:FC284),ROW(FC88:FC284),"")))</f>
        <v>3.6</v>
      </c>
      <c r="FE88" s="13">
        <f>IF('Données projet'!$A$218&gt;35,FE87+FD88-FM87,IF(A88&lt;'Données projet'!$A$218,$FB$205^A88,IF(A88='Données projet'!$A$218,'Données projet'!$B$218,FE87+FD88-FM87)))</f>
        <v>248</v>
      </c>
      <c r="FF88" s="18">
        <f>FE88*VLOOKUP('Données projet'!$B$16,Paramètres!$A$1:$I$89,3,0)*VLOOKUP('Données projet'!$B$16,Paramètres!$A$1:$I$89,5,0)</f>
        <v>216.65280000000004</v>
      </c>
      <c r="FG88" s="14">
        <f t="shared" si="101"/>
        <v>53.38674047237982</v>
      </c>
      <c r="FH88" s="22">
        <f t="shared" si="76"/>
        <v>470.3188663227283</v>
      </c>
      <c r="FI88" s="60">
        <f t="shared" si="77"/>
        <v>744.53606424159875</v>
      </c>
      <c r="FJ88" s="60">
        <f ca="1">AVERAGE(OFFSET($FI$3,0,0,'Données projet'!$E$16+1,1))-AVERAGE(OFFSET($H$3,0,0,'Données projet'!$E$16+1,1))</f>
        <v>396.99335548279453</v>
      </c>
      <c r="FK88" s="60">
        <f t="shared" si="102"/>
        <v>388.89849573746335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64.786508523328322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4.6150000000000002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16.921666666666667</v>
      </c>
      <c r="H89" s="68">
        <f t="shared" si="56"/>
        <v>188.98000000000002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331.6</v>
      </c>
      <c r="O89" s="14">
        <f>N89*VLOOKUP('Données projet'!$B$9,Paramètres!$A$1:$I$89,3,0)*VLOOKUP('Données projet'!$B$9,Paramètres!$A$1:$I$89,5,0)</f>
        <v>300.03167999999999</v>
      </c>
      <c r="P89" s="14">
        <f t="shared" si="87"/>
        <v>71.183104779714938</v>
      </c>
      <c r="Q89" s="22">
        <f t="shared" si="54"/>
        <v>646.53241682467012</v>
      </c>
      <c r="R89" s="60">
        <f t="shared" si="55"/>
        <v>921.08123695570532</v>
      </c>
      <c r="S89" s="60">
        <f ca="1">AVERAGE(OFFSET($R$3,0,0,'Données projet'!$E$9+1,1))-AVERAGE(OFFSET($H$3,0,0,'Données projet'!$E$9+1,1))</f>
        <v>550.53475891182575</v>
      </c>
      <c r="T89" s="60">
        <f t="shared" si="88"/>
        <v>350.2500324347194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873.42802252811487</v>
      </c>
      <c r="AN89" s="60">
        <f ca="1">AVERAGE(OFFSET($AM$3,0,0,'Données projet'!$E$10+1,1))-AVERAGE(OFFSET($H$3,0,0,'Données projet'!$E$10+1,1))</f>
        <v>513.16577009788818</v>
      </c>
      <c r="AO89" s="60">
        <f t="shared" si="90"/>
        <v>289.37159333739146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-4.1677594708744434E-14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366.5170155168056</v>
      </c>
      <c r="BJ89" s="60">
        <f t="shared" si="92"/>
        <v>394.05057214541966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333.512642972663</v>
      </c>
      <c r="CE89" s="60">
        <f t="shared" si="94"/>
        <v>464.18634682168488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294.50303999999994</v>
      </c>
      <c r="CV89" s="14">
        <f t="shared" si="95"/>
        <v>70.022852154069838</v>
      </c>
      <c r="CW89" s="22">
        <f t="shared" si="67"/>
        <v>634.88259550167152</v>
      </c>
      <c r="CX89" s="60">
        <f t="shared" si="68"/>
        <v>909.43141563270672</v>
      </c>
      <c r="CY89" s="60">
        <f ca="1">AVERAGE(OFFSET($CX$3,0,0,'Données projet'!$E$13+1,1))-AVERAGE(OFFSET($H$3,0,0,'Données projet'!$E$13+1,1))</f>
        <v>539.76438066597848</v>
      </c>
      <c r="CZ89" s="60">
        <f t="shared" si="96"/>
        <v>303.47238367344937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264.62591999999995</v>
      </c>
      <c r="DQ89" s="14">
        <f t="shared" si="97"/>
        <v>63.707422801198604</v>
      </c>
      <c r="DR89" s="22">
        <f t="shared" si="70"/>
        <v>571.84723871208746</v>
      </c>
      <c r="DS89" s="60">
        <f t="shared" si="71"/>
        <v>846.39605884312266</v>
      </c>
      <c r="DT89" s="60">
        <f ca="1">AVERAGE(OFFSET($DS$3,0,0,'Données projet'!$E$14+1,1))-AVERAGE(OFFSET($H$3,0,0,'Données projet'!$E$14+1,1))</f>
        <v>493.19478874005267</v>
      </c>
      <c r="DU89" s="60">
        <f t="shared" si="98"/>
        <v>278.78337903007821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8.9</v>
      </c>
      <c r="EJ89" s="13">
        <f>IF('Données projet'!$A$192&gt;35,EJ88+EI89-ER88,IF(A89&lt;'Données projet'!$A$192,$EG$205^A89,IF(A89='Données projet'!$A$192,'Données projet'!$B$192,EJ88+EI89-ER88)))</f>
        <v>413.9</v>
      </c>
      <c r="EK89" s="18">
        <f>EJ89*VLOOKUP('Données projet'!$B$15,Paramètres!$A$1:$I$89,3,0)*VLOOKUP('Données projet'!$B$15,Paramètres!$A$1:$I$89,5,0)</f>
        <v>355.12620000000004</v>
      </c>
      <c r="EL89" s="14">
        <f t="shared" si="99"/>
        <v>82.617154167584189</v>
      </c>
      <c r="EM89" s="22">
        <f t="shared" si="73"/>
        <v>762.40300850854248</v>
      </c>
      <c r="EN89" s="60">
        <f t="shared" si="74"/>
        <v>1036.9518286395778</v>
      </c>
      <c r="EO89" s="60">
        <f ca="1">AVERAGE(OFFSET($EN$3,0,0,'Données projet'!$E$15+1,1))-AVERAGE(OFFSET($H$3,0,0,'Données projet'!$E$15+1,1))</f>
        <v>698.30188737818639</v>
      </c>
      <c r="EP89" s="60">
        <f t="shared" si="100"/>
        <v>329.77977151358482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</v>
      </c>
      <c r="FE89" s="13">
        <f>IF('Données projet'!$A$218&gt;35,FE88+FD89-FM88,IF(A89&lt;'Données projet'!$A$218,$FB$205^A89,IF(A89='Données projet'!$A$218,'Données projet'!$B$218,FE88+FD89-FM88)))</f>
        <v>251</v>
      </c>
      <c r="FF89" s="18">
        <f>FE89*VLOOKUP('Données projet'!$B$16,Paramètres!$A$1:$I$89,3,0)*VLOOKUP('Données projet'!$B$16,Paramètres!$A$1:$I$89,5,0)</f>
        <v>219.27360000000002</v>
      </c>
      <c r="FG89" s="14">
        <f t="shared" si="101"/>
        <v>53.956975893220125</v>
      </c>
      <c r="FH89" s="22">
        <f t="shared" si="76"/>
        <v>475.8765863473584</v>
      </c>
      <c r="FI89" s="60">
        <f t="shared" si="77"/>
        <v>750.4254064783936</v>
      </c>
      <c r="FJ89" s="60">
        <f ca="1">AVERAGE(OFFSET($FI$3,0,0,'Données projet'!$E$16+1,1))-AVERAGE(OFFSET($H$3,0,0,'Données projet'!$E$16+1,1))</f>
        <v>396.99335548279453</v>
      </c>
      <c r="FK89" s="60">
        <f t="shared" si="102"/>
        <v>388.89849573746335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64.876950944827783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4.6150000000000002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16.921666666666667</v>
      </c>
      <c r="H90" s="68">
        <f t="shared" si="56"/>
        <v>188.98000000000002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338.20000000000005</v>
      </c>
      <c r="O90" s="14">
        <f>N90*VLOOKUP('Données projet'!$B$9,Paramètres!$A$1:$I$89,3,0)*VLOOKUP('Données projet'!$B$9,Paramètres!$A$1:$I$89,5,0)</f>
        <v>306.00336000000004</v>
      </c>
      <c r="P90" s="14">
        <f t="shared" si="87"/>
        <v>72.433543369450447</v>
      </c>
      <c r="Q90" s="22">
        <f t="shared" si="54"/>
        <v>659.11094003512619</v>
      </c>
      <c r="R90" s="60">
        <f t="shared" si="55"/>
        <v>933.98562947434107</v>
      </c>
      <c r="S90" s="60">
        <f ca="1">AVERAGE(OFFSET($R$3,0,0,'Données projet'!$E$9+1,1))-AVERAGE(OFFSET($H$3,0,0,'Données projet'!$E$9+1,1))</f>
        <v>550.53475891182575</v>
      </c>
      <c r="T90" s="60">
        <f t="shared" si="88"/>
        <v>350.2500324347194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885.73355830959531</v>
      </c>
      <c r="AN90" s="60">
        <f ca="1">AVERAGE(OFFSET($AM$3,0,0,'Données projet'!$E$10+1,1))-AVERAGE(OFFSET($H$3,0,0,'Données projet'!$E$10+1,1))</f>
        <v>513.16577009788818</v>
      </c>
      <c r="AO90" s="60">
        <f t="shared" si="90"/>
        <v>289.37159333739146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-4.1677594708744434E-14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366.5170155168056</v>
      </c>
      <c r="BJ90" s="60">
        <f t="shared" si="92"/>
        <v>394.05057214541966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333.512642972663</v>
      </c>
      <c r="CE90" s="60">
        <f t="shared" si="94"/>
        <v>464.18634682168488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300.53087999999997</v>
      </c>
      <c r="CV90" s="14">
        <f t="shared" si="95"/>
        <v>71.287744860425462</v>
      </c>
      <c r="CW90" s="22">
        <f t="shared" si="67"/>
        <v>647.58410496524095</v>
      </c>
      <c r="CX90" s="60">
        <f t="shared" si="68"/>
        <v>922.45879440445583</v>
      </c>
      <c r="CY90" s="60">
        <f ca="1">AVERAGE(OFFSET($CX$3,0,0,'Données projet'!$E$13+1,1))-AVERAGE(OFFSET($H$3,0,0,'Données projet'!$E$13+1,1))</f>
        <v>539.76438066597848</v>
      </c>
      <c r="CZ90" s="60">
        <f t="shared" si="96"/>
        <v>303.47238367344937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270.04223999999999</v>
      </c>
      <c r="DQ90" s="14">
        <f t="shared" si="97"/>
        <v>64.858233600288145</v>
      </c>
      <c r="DR90" s="22">
        <f t="shared" si="70"/>
        <v>583.28499152050188</v>
      </c>
      <c r="DS90" s="60">
        <f t="shared" si="71"/>
        <v>858.15968095971675</v>
      </c>
      <c r="DT90" s="60">
        <f ca="1">AVERAGE(OFFSET($DS$3,0,0,'Données projet'!$E$14+1,1))-AVERAGE(OFFSET($H$3,0,0,'Données projet'!$E$14+1,1))</f>
        <v>493.19478874005267</v>
      </c>
      <c r="DU90" s="60">
        <f t="shared" si="98"/>
        <v>278.78337903007821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8.9</v>
      </c>
      <c r="EJ90" s="13">
        <f>IF('Données projet'!$A$192&gt;35,EJ89+EI90-ER89,IF(A90&lt;'Données projet'!$A$192,$EG$205^A90,IF(A90='Données projet'!$A$192,'Données projet'!$B$192,EJ89+EI90-ER89)))</f>
        <v>422.79999999999995</v>
      </c>
      <c r="EK90" s="18">
        <f>EJ90*VLOOKUP('Données projet'!$B$15,Paramètres!$A$1:$I$89,3,0)*VLOOKUP('Données projet'!$B$15,Paramètres!$A$1:$I$89,5,0)</f>
        <v>362.76240000000001</v>
      </c>
      <c r="EL90" s="14">
        <f t="shared" si="99"/>
        <v>84.18491922622529</v>
      </c>
      <c r="EM90" s="22">
        <f t="shared" si="73"/>
        <v>778.43324765234229</v>
      </c>
      <c r="EN90" s="60">
        <f t="shared" si="74"/>
        <v>1053.3079370915573</v>
      </c>
      <c r="EO90" s="60">
        <f ca="1">AVERAGE(OFFSET($EN$3,0,0,'Données projet'!$E$15+1,1))-AVERAGE(OFFSET($H$3,0,0,'Données projet'!$E$15+1,1))</f>
        <v>698.30188737818639</v>
      </c>
      <c r="EP90" s="60">
        <f t="shared" si="100"/>
        <v>329.77977151358482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</v>
      </c>
      <c r="FE90" s="13">
        <f>IF('Données projet'!$A$218&gt;35,FE89+FD90-FM89,IF(A90&lt;'Données projet'!$A$218,$FB$205^A90,IF(A90='Données projet'!$A$218,'Données projet'!$B$218,FE89+FD90-FM89)))</f>
        <v>254</v>
      </c>
      <c r="FF90" s="18">
        <f>FE90*VLOOKUP('Données projet'!$B$16,Paramètres!$A$1:$I$89,3,0)*VLOOKUP('Données projet'!$B$16,Paramètres!$A$1:$I$89,5,0)</f>
        <v>221.89440000000002</v>
      </c>
      <c r="FG90" s="14">
        <f t="shared" si="101"/>
        <v>54.526418514188897</v>
      </c>
      <c r="FH90" s="22">
        <f t="shared" si="76"/>
        <v>481.43292557887906</v>
      </c>
      <c r="FI90" s="60">
        <f t="shared" si="77"/>
        <v>756.307615018094</v>
      </c>
      <c r="FJ90" s="60">
        <f ca="1">AVERAGE(OFFSET($FI$3,0,0,'Données projet'!$E$16+1,1))-AVERAGE(OFFSET($H$3,0,0,'Données projet'!$E$16+1,1))</f>
        <v>396.99335548279453</v>
      </c>
      <c r="FK90" s="60">
        <f t="shared" si="102"/>
        <v>388.89849573746335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64.965824392513156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4.6150000000000002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16.921666666666667</v>
      </c>
      <c r="H91" s="68">
        <f t="shared" si="56"/>
        <v>188.98000000000002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344.80000000000007</v>
      </c>
      <c r="O91" s="14">
        <f>N91*VLOOKUP('Données projet'!$B$9,Paramètres!$A$1:$I$89,3,0)*VLOOKUP('Données projet'!$B$9,Paramètres!$A$1:$I$89,5,0)</f>
        <v>311.97504000000009</v>
      </c>
      <c r="P91" s="14">
        <f t="shared" si="87"/>
        <v>73.681144552074599</v>
      </c>
      <c r="Q91" s="22">
        <f t="shared" si="54"/>
        <v>671.68452142819672</v>
      </c>
      <c r="R91" s="60">
        <f t="shared" si="55"/>
        <v>946.87942707162915</v>
      </c>
      <c r="S91" s="60">
        <f ca="1">AVERAGE(OFFSET($R$3,0,0,'Données projet'!$E$9+1,1))-AVERAGE(OFFSET($H$3,0,0,'Données projet'!$E$9+1,1))</f>
        <v>550.53475891182575</v>
      </c>
      <c r="T91" s="60">
        <f t="shared" si="88"/>
        <v>350.2500324347194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898.02856736984472</v>
      </c>
      <c r="AN91" s="60">
        <f ca="1">AVERAGE(OFFSET($AM$3,0,0,'Données projet'!$E$10+1,1))-AVERAGE(OFFSET($H$3,0,0,'Données projet'!$E$10+1,1))</f>
        <v>513.16577009788818</v>
      </c>
      <c r="AO91" s="60">
        <f t="shared" si="90"/>
        <v>289.37159333739146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-4.1677594708744434E-14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366.5170155168056</v>
      </c>
      <c r="BJ91" s="60">
        <f t="shared" si="92"/>
        <v>394.05057214541966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333.512642972663</v>
      </c>
      <c r="CE91" s="60">
        <f t="shared" si="94"/>
        <v>464.18634682168488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306.55871999999999</v>
      </c>
      <c r="CV91" s="14">
        <f t="shared" si="95"/>
        <v>72.549687694621639</v>
      </c>
      <c r="CW91" s="22">
        <f t="shared" si="67"/>
        <v>660.28047673479932</v>
      </c>
      <c r="CX91" s="60">
        <f t="shared" si="68"/>
        <v>935.47538237823187</v>
      </c>
      <c r="CY91" s="60">
        <f ca="1">AVERAGE(OFFSET($CX$3,0,0,'Données projet'!$E$13+1,1))-AVERAGE(OFFSET($H$3,0,0,'Données projet'!$E$13+1,1))</f>
        <v>539.76438066597848</v>
      </c>
      <c r="CZ91" s="60">
        <f t="shared" si="96"/>
        <v>303.47238367344937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275.45855999999998</v>
      </c>
      <c r="DQ91" s="14">
        <f t="shared" si="97"/>
        <v>66.006360579066197</v>
      </c>
      <c r="DR91" s="22">
        <f t="shared" si="70"/>
        <v>594.71807000854017</v>
      </c>
      <c r="DS91" s="60">
        <f t="shared" si="71"/>
        <v>869.9129756519726</v>
      </c>
      <c r="DT91" s="60">
        <f ca="1">AVERAGE(OFFSET($DS$3,0,0,'Données projet'!$E$14+1,1))-AVERAGE(OFFSET($H$3,0,0,'Données projet'!$E$14+1,1))</f>
        <v>493.19478874005267</v>
      </c>
      <c r="DU91" s="60">
        <f t="shared" si="98"/>
        <v>278.78337903007821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8.9</v>
      </c>
      <c r="EJ91" s="13">
        <f>IF('Données projet'!$A$192&gt;35,EJ90+EI91-ER90,IF(A91&lt;'Données projet'!$A$192,$EG$205^A91,IF(A91='Données projet'!$A$192,'Données projet'!$B$192,EJ90+EI91-ER90)))</f>
        <v>431.69999999999993</v>
      </c>
      <c r="EK91" s="18">
        <f>EJ91*VLOOKUP('Données projet'!$B$15,Paramètres!$A$1:$I$89,3,0)*VLOOKUP('Données projet'!$B$15,Paramètres!$A$1:$I$89,5,0)</f>
        <v>370.39859999999999</v>
      </c>
      <c r="EL91" s="14">
        <f t="shared" si="99"/>
        <v>85.748847292465143</v>
      </c>
      <c r="EM91" s="22">
        <f t="shared" si="73"/>
        <v>794.45680403437666</v>
      </c>
      <c r="EN91" s="60">
        <f t="shared" si="74"/>
        <v>1069.6517096778091</v>
      </c>
      <c r="EO91" s="60">
        <f ca="1">AVERAGE(OFFSET($EN$3,0,0,'Données projet'!$E$15+1,1))-AVERAGE(OFFSET($H$3,0,0,'Données projet'!$E$15+1,1))</f>
        <v>698.30188737818639</v>
      </c>
      <c r="EP91" s="60">
        <f t="shared" si="100"/>
        <v>329.77977151358482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</v>
      </c>
      <c r="FE91" s="13">
        <f>IF('Données projet'!$A$218&gt;35,FE90+FD91-FM90,IF(A91&lt;'Données projet'!$A$218,$FB$205^A91,IF(A91='Données projet'!$A$218,'Données projet'!$B$218,FE90+FD91-FM90)))</f>
        <v>257</v>
      </c>
      <c r="FF91" s="18">
        <f>FE91*VLOOKUP('Données projet'!$B$16,Paramètres!$A$1:$I$89,3,0)*VLOOKUP('Données projet'!$B$16,Paramètres!$A$1:$I$89,5,0)</f>
        <v>224.51520000000002</v>
      </c>
      <c r="FG91" s="14">
        <f t="shared" si="101"/>
        <v>55.095078782313543</v>
      </c>
      <c r="FH91" s="22">
        <f t="shared" si="76"/>
        <v>486.98790221252949</v>
      </c>
      <c r="FI91" s="60">
        <f t="shared" si="77"/>
        <v>762.18280785596198</v>
      </c>
      <c r="FJ91" s="60">
        <f ca="1">AVERAGE(OFFSET($FI$3,0,0,'Données projet'!$E$16+1,1))-AVERAGE(OFFSET($H$3,0,0,'Données projet'!$E$16+1,1))</f>
        <v>396.99335548279453</v>
      </c>
      <c r="FK91" s="60">
        <f t="shared" si="102"/>
        <v>388.89849573746335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65.053156084572493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4.6150000000000002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16.921666666666667</v>
      </c>
      <c r="H92" s="68">
        <f t="shared" si="56"/>
        <v>188.98000000000002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351.40000000000009</v>
      </c>
      <c r="O92" s="14">
        <f>N92*VLOOKUP('Données projet'!$B$9,Paramètres!$A$1:$I$89,3,0)*VLOOKUP('Données projet'!$B$9,Paramètres!$A$1:$I$89,5,0)</f>
        <v>317.94672000000008</v>
      </c>
      <c r="P92" s="14">
        <f t="shared" si="87"/>
        <v>74.925968901822259</v>
      </c>
      <c r="Q92" s="22">
        <f t="shared" si="54"/>
        <v>684.25326650400723</v>
      </c>
      <c r="R92" s="60">
        <f t="shared" si="55"/>
        <v>959.76283331641025</v>
      </c>
      <c r="S92" s="60">
        <f ca="1">AVERAGE(OFFSET($R$3,0,0,'Données projet'!$E$9+1,1))-AVERAGE(OFFSET($H$3,0,0,'Données projet'!$E$9+1,1))</f>
        <v>550.53475891182575</v>
      </c>
      <c r="T92" s="60">
        <f t="shared" si="88"/>
        <v>350.2500324347194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910.31325465325131</v>
      </c>
      <c r="AN92" s="60">
        <f ca="1">AVERAGE(OFFSET($AM$3,0,0,'Données projet'!$E$10+1,1))-AVERAGE(OFFSET($H$3,0,0,'Données projet'!$E$10+1,1))</f>
        <v>513.16577009788818</v>
      </c>
      <c r="AO92" s="60">
        <f t="shared" si="90"/>
        <v>289.37159333739146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-4.1677594708744434E-14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366.5170155168056</v>
      </c>
      <c r="BJ92" s="60">
        <f t="shared" si="92"/>
        <v>394.05057214541966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333.512642972663</v>
      </c>
      <c r="CE92" s="60">
        <f t="shared" si="94"/>
        <v>464.18634682168488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312.58656000000002</v>
      </c>
      <c r="CV92" s="14">
        <f t="shared" si="95"/>
        <v>73.808745345687967</v>
      </c>
      <c r="CW92" s="22">
        <f t="shared" si="67"/>
        <v>672.97182347707314</v>
      </c>
      <c r="CX92" s="60">
        <f t="shared" si="68"/>
        <v>948.48139028947617</v>
      </c>
      <c r="CY92" s="60">
        <f ca="1">AVERAGE(OFFSET($CX$3,0,0,'Données projet'!$E$13+1,1))-AVERAGE(OFFSET($H$3,0,0,'Données projet'!$E$13+1,1))</f>
        <v>539.76438066597848</v>
      </c>
      <c r="CZ92" s="60">
        <f t="shared" si="96"/>
        <v>303.47238367344937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280.87488000000008</v>
      </c>
      <c r="DQ92" s="14">
        <f t="shared" si="97"/>
        <v>67.151862592195855</v>
      </c>
      <c r="DR92" s="22">
        <f t="shared" si="70"/>
        <v>606.14657668140785</v>
      </c>
      <c r="DS92" s="60">
        <f t="shared" si="71"/>
        <v>881.65614349381076</v>
      </c>
      <c r="DT92" s="60">
        <f ca="1">AVERAGE(OFFSET($DS$3,0,0,'Données projet'!$E$14+1,1))-AVERAGE(OFFSET($H$3,0,0,'Données projet'!$E$14+1,1))</f>
        <v>493.19478874005267</v>
      </c>
      <c r="DU92" s="60">
        <f t="shared" si="98"/>
        <v>278.78337903007821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8.9</v>
      </c>
      <c r="EJ92" s="13">
        <f>IF('Données projet'!$A$192&gt;35,EJ91+EI92-ER91,IF(A92&lt;'Données projet'!$A$192,$EG$205^A92,IF(A92='Données projet'!$A$192,'Données projet'!$B$192,EJ91+EI92-ER91)))</f>
        <v>440.59999999999991</v>
      </c>
      <c r="EK92" s="18">
        <f>EJ92*VLOOKUP('Données projet'!$B$15,Paramètres!$A$1:$I$89,3,0)*VLOOKUP('Données projet'!$B$15,Paramètres!$A$1:$I$89,5,0)</f>
        <v>378.03479999999996</v>
      </c>
      <c r="EL92" s="14">
        <f t="shared" si="99"/>
        <v>87.30902658484024</v>
      </c>
      <c r="EM92" s="22">
        <f t="shared" si="73"/>
        <v>810.47383130192986</v>
      </c>
      <c r="EN92" s="60">
        <f t="shared" si="74"/>
        <v>1085.9833981143329</v>
      </c>
      <c r="EO92" s="60">
        <f ca="1">AVERAGE(OFFSET($EN$3,0,0,'Données projet'!$E$15+1,1))-AVERAGE(OFFSET($H$3,0,0,'Données projet'!$E$15+1,1))</f>
        <v>698.30188737818639</v>
      </c>
      <c r="EP92" s="60">
        <f t="shared" si="100"/>
        <v>329.77977151358482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</v>
      </c>
      <c r="FE92" s="13">
        <f>IF('Données projet'!$A$218&gt;35,FE91+FD92-FM91,IF(A92&lt;'Données projet'!$A$218,$FB$205^A92,IF(A92='Données projet'!$A$218,'Données projet'!$B$218,FE91+FD92-FM91)))</f>
        <v>260</v>
      </c>
      <c r="FF92" s="18">
        <f>FE92*VLOOKUP('Données projet'!$B$16,Paramètres!$A$1:$I$89,3,0)*VLOOKUP('Données projet'!$B$16,Paramètres!$A$1:$I$89,5,0)</f>
        <v>227.13600000000005</v>
      </c>
      <c r="FG92" s="14">
        <f t="shared" si="101"/>
        <v>55.662966886685133</v>
      </c>
      <c r="FH92" s="22">
        <f t="shared" si="76"/>
        <v>492.54153399430999</v>
      </c>
      <c r="FI92" s="60">
        <f t="shared" si="77"/>
        <v>768.05110080671295</v>
      </c>
      <c r="FJ92" s="60">
        <f ca="1">AVERAGE(OFFSET($FI$3,0,0,'Données projet'!$E$16+1,1))-AVERAGE(OFFSET($H$3,0,0,'Données projet'!$E$16+1,1))</f>
        <v>396.99335548279453</v>
      </c>
      <c r="FK92" s="60">
        <f t="shared" si="102"/>
        <v>388.89849573746335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65.138972767018984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4.6150000000000002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16.921666666666667</v>
      </c>
      <c r="H93" s="68">
        <f t="shared" si="56"/>
        <v>188.98000000000002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358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358.00000000000011</v>
      </c>
      <c r="O93" s="14">
        <f>N93*VLOOKUP('Données projet'!$B$9,Paramètres!$A$1:$I$89,3,0)*VLOOKUP('Données projet'!$B$9,Paramètres!$A$1:$I$89,5,0)</f>
        <v>323.91840000000008</v>
      </c>
      <c r="P93" s="14">
        <f t="shared" si="87"/>
        <v>76.168074587293091</v>
      </c>
      <c r="Q93" s="22">
        <f t="shared" si="54"/>
        <v>696.81727657286899</v>
      </c>
      <c r="R93" s="60">
        <f t="shared" si="55"/>
        <v>972.63604588643784</v>
      </c>
      <c r="S93" s="60">
        <f ca="1">AVERAGE(OFFSET($R$3,0,0,'Données projet'!$E$9+1,1))-AVERAGE(OFFSET($H$3,0,0,'Données projet'!$E$9+1,1))</f>
        <v>550.53475891182575</v>
      </c>
      <c r="T93" s="60">
        <f t="shared" si="88"/>
        <v>350.2500324347194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56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922.58781904518946</v>
      </c>
      <c r="AN93" s="60">
        <f ca="1">AVERAGE(OFFSET($AM$3,0,0,'Données projet'!$E$10+1,1))-AVERAGE(OFFSET($H$3,0,0,'Données projet'!$E$10+1,1))</f>
        <v>513.16577009788818</v>
      </c>
      <c r="AO93" s="60">
        <f t="shared" si="90"/>
        <v>289.37159333739146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-4.1677594708744434E-14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366.5170155168056</v>
      </c>
      <c r="BJ93" s="60">
        <f t="shared" si="92"/>
        <v>394.05057214541966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333.512642972663</v>
      </c>
      <c r="CE93" s="60">
        <f t="shared" si="94"/>
        <v>464.18634682168488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318.61440000000005</v>
      </c>
      <c r="CV93" s="14">
        <f t="shared" si="95"/>
        <v>75.06497986502842</v>
      </c>
      <c r="CW93" s="22">
        <f t="shared" si="67"/>
        <v>685.6582532649245</v>
      </c>
      <c r="CX93" s="60">
        <f t="shared" si="68"/>
        <v>961.47702257849335</v>
      </c>
      <c r="CY93" s="60">
        <f ca="1">AVERAGE(OFFSET($CX$3,0,0,'Données projet'!$E$13+1,1))-AVERAGE(OFFSET($H$3,0,0,'Données projet'!$E$13+1,1))</f>
        <v>539.76438066597848</v>
      </c>
      <c r="CZ93" s="60">
        <f t="shared" si="96"/>
        <v>303.47238367344937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286.29120000000006</v>
      </c>
      <c r="DQ93" s="14">
        <f t="shared" si="97"/>
        <v>68.294796094604408</v>
      </c>
      <c r="DR93" s="22">
        <f t="shared" si="70"/>
        <v>617.57060986476938</v>
      </c>
      <c r="DS93" s="60">
        <f t="shared" si="71"/>
        <v>893.38937917833823</v>
      </c>
      <c r="DT93" s="60">
        <f ca="1">AVERAGE(OFFSET($DS$3,0,0,'Données projet'!$E$14+1,1))-AVERAGE(OFFSET($H$3,0,0,'Données projet'!$E$14+1,1))</f>
        <v>493.19478874005267</v>
      </c>
      <c r="DU93" s="60">
        <f t="shared" si="98"/>
        <v>278.78337903007821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8.9</v>
      </c>
      <c r="EJ93" s="13">
        <f>IF('Données projet'!$A$192&gt;35,EJ92+EI93-ER92,IF(A93&lt;'Données projet'!$A$192,$EG$205^A93,IF(A93='Données projet'!$A$192,'Données projet'!$B$192,EJ92+EI93-ER92)))</f>
        <v>449.49999999999989</v>
      </c>
      <c r="EK93" s="18">
        <f>EJ93*VLOOKUP('Données projet'!$B$15,Paramètres!$A$1:$I$89,3,0)*VLOOKUP('Données projet'!$B$15,Paramètres!$A$1:$I$89,5,0)</f>
        <v>385.67099999999994</v>
      </c>
      <c r="EL93" s="14">
        <f t="shared" si="99"/>
        <v>88.865541554144215</v>
      </c>
      <c r="EM93" s="22">
        <f t="shared" si="73"/>
        <v>826.48447654013432</v>
      </c>
      <c r="EN93" s="60">
        <f t="shared" si="74"/>
        <v>1102.3032458537032</v>
      </c>
      <c r="EO93" s="60">
        <f ca="1">AVERAGE(OFFSET($EN$3,0,0,'Données projet'!$E$15+1,1))-AVERAGE(OFFSET($H$3,0,0,'Données projet'!$E$15+1,1))</f>
        <v>698.30188737818639</v>
      </c>
      <c r="EP93" s="60">
        <f t="shared" si="100"/>
        <v>329.77977151358482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263</v>
      </c>
      <c r="FC93" s="13">
        <f>VLOOKUP(A93,'Données projet'!$A$217:$I$237,9,0)</f>
        <v>3</v>
      </c>
      <c r="FD93" s="13">
        <f t="array" ref="FD93">INDEX(FC:FC,MIN(IF(ISNUMBER(FC93:FC289),ROW(FC93:FC289),"")))</f>
        <v>3</v>
      </c>
      <c r="FE93" s="13">
        <f>IF('Données projet'!$A$218&gt;35,FE92+FD93-FM92,IF(A93&lt;'Données projet'!$A$218,$FB$205^A93,IF(A93='Données projet'!$A$218,'Données projet'!$B$218,FE92+FD93-FM92)))</f>
        <v>263</v>
      </c>
      <c r="FF93" s="18">
        <f>FE93*VLOOKUP('Données projet'!$B$16,Paramètres!$A$1:$I$89,3,0)*VLOOKUP('Données projet'!$B$16,Paramètres!$A$1:$I$89,5,0)</f>
        <v>229.7568</v>
      </c>
      <c r="FG93" s="14">
        <f t="shared" si="101"/>
        <v>56.23009276772752</v>
      </c>
      <c r="FH93" s="22">
        <f t="shared" si="76"/>
        <v>498.09383823712534</v>
      </c>
      <c r="FI93" s="60">
        <f t="shared" si="77"/>
        <v>773.91260755069425</v>
      </c>
      <c r="FJ93" s="60">
        <f ca="1">AVERAGE(OFFSET($FI$3,0,0,'Données projet'!$E$16+1,1))-AVERAGE(OFFSET($H$3,0,0,'Données projet'!$E$16+1,1))</f>
        <v>396.99335548279453</v>
      </c>
      <c r="FK93" s="60">
        <f t="shared" si="102"/>
        <v>388.89849573746335</v>
      </c>
      <c r="FL93" s="16">
        <f>IF(ISNA(VLOOKUP(A93,'Données projet'!$A$217:$I$237,3,0)),0,VLOOKUP(A93,'Données projet'!$A$217:$I$237,3,0))</f>
        <v>8</v>
      </c>
      <c r="FM93" s="16">
        <f>IF(ISNA(VLOOKUP(A93,'Données projet'!$A$217:$I$237,4,0)),0,VLOOKUP(A93,'Données projet'!$A$217:$I$237,4,0))</f>
        <v>26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65.22330072188241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4.6150000000000002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16.921666666666667</v>
      </c>
      <c r="H94" s="68">
        <f t="shared" si="56"/>
        <v>188.98000000000002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307.90000000000009</v>
      </c>
      <c r="O94" s="14">
        <f>N94*VLOOKUP('Données projet'!$B$9,Paramètres!$A$1:$I$89,3,0)*VLOOKUP('Données projet'!$B$9,Paramètres!$A$1:$I$89,5,0)</f>
        <v>278.58792000000011</v>
      </c>
      <c r="P94" s="14">
        <f t="shared" si="87"/>
        <v>66.668508032294213</v>
      </c>
      <c r="Q94" s="22">
        <f t="shared" si="54"/>
        <v>601.32161215624581</v>
      </c>
      <c r="R94" s="60">
        <f t="shared" si="55"/>
        <v>877.44421999885844</v>
      </c>
      <c r="S94" s="60">
        <f ca="1">AVERAGE(OFFSET($R$3,0,0,'Données projet'!$E$9+1,1))-AVERAGE(OFFSET($H$3,0,0,'Données projet'!$E$9+1,1))</f>
        <v>550.53475891182575</v>
      </c>
      <c r="T94" s="60">
        <f t="shared" si="88"/>
        <v>350.2500324347194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843.53116521795368</v>
      </c>
      <c r="AN94" s="60">
        <f ca="1">AVERAGE(OFFSET($AM$3,0,0,'Données projet'!$E$10+1,1))-AVERAGE(OFFSET($H$3,0,0,'Données projet'!$E$10+1,1))</f>
        <v>513.16577009788818</v>
      </c>
      <c r="AO94" s="60">
        <f t="shared" si="90"/>
        <v>289.37159333739146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-4.1677594708744434E-14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366.5170155168056</v>
      </c>
      <c r="BJ94" s="60">
        <f t="shared" si="92"/>
        <v>394.05057214541966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333.512642972663</v>
      </c>
      <c r="CE94" s="60">
        <f t="shared" si="94"/>
        <v>464.18634682168488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278.67996000000005</v>
      </c>
      <c r="CV94" s="14">
        <f t="shared" si="95"/>
        <v>66.687969806197728</v>
      </c>
      <c r="CW94" s="22">
        <f t="shared" si="67"/>
        <v>601.51581107912773</v>
      </c>
      <c r="CX94" s="60">
        <f t="shared" si="68"/>
        <v>877.63841892174037</v>
      </c>
      <c r="CY94" s="60">
        <f ca="1">AVERAGE(OFFSET($CX$3,0,0,'Données projet'!$E$13+1,1))-AVERAGE(OFFSET($H$3,0,0,'Données projet'!$E$13+1,1))</f>
        <v>539.76438066597848</v>
      </c>
      <c r="CZ94" s="60">
        <f t="shared" si="96"/>
        <v>303.47238367344937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250.40808000000004</v>
      </c>
      <c r="DQ94" s="14">
        <f t="shared" si="97"/>
        <v>60.67331674592576</v>
      </c>
      <c r="DR94" s="22">
        <f t="shared" si="70"/>
        <v>541.80009933248743</v>
      </c>
      <c r="DS94" s="60">
        <f t="shared" si="71"/>
        <v>817.92270717510019</v>
      </c>
      <c r="DT94" s="60">
        <f ca="1">AVERAGE(OFFSET($DS$3,0,0,'Données projet'!$E$14+1,1))-AVERAGE(OFFSET($H$3,0,0,'Données projet'!$E$14+1,1))</f>
        <v>493.19478874005267</v>
      </c>
      <c r="DU94" s="60">
        <f t="shared" si="98"/>
        <v>278.78337903007821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8.9</v>
      </c>
      <c r="EJ94" s="13">
        <f>IF('Données projet'!$A$192&gt;35,EJ93+EI94-ER93,IF(A94&lt;'Données projet'!$A$192,$EG$205^A94,IF(A94='Données projet'!$A$192,'Données projet'!$B$192,EJ93+EI94-ER93)))</f>
        <v>458.39999999999986</v>
      </c>
      <c r="EK94" s="18">
        <f>EJ94*VLOOKUP('Données projet'!$B$15,Paramètres!$A$1:$I$89,3,0)*VLOOKUP('Données projet'!$B$15,Paramètres!$A$1:$I$89,5,0)</f>
        <v>393.30719999999991</v>
      </c>
      <c r="EL94" s="14">
        <f t="shared" si="99"/>
        <v>90.418473115705496</v>
      </c>
      <c r="EM94" s="22">
        <f t="shared" si="73"/>
        <v>842.48888067652013</v>
      </c>
      <c r="EN94" s="60">
        <f t="shared" si="74"/>
        <v>1118.6114885191328</v>
      </c>
      <c r="EO94" s="60">
        <f ca="1">AVERAGE(OFFSET($EN$3,0,0,'Données projet'!$E$15+1,1))-AVERAGE(OFFSET($H$3,0,0,'Données projet'!$E$15+1,1))</f>
        <v>698.30188737818639</v>
      </c>
      <c r="EP94" s="60">
        <f t="shared" si="100"/>
        <v>329.77977151358482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</v>
      </c>
      <c r="FE94" s="13">
        <f>IF('Données projet'!$A$218&gt;35,FE93+FD94-FM93,IF(A94&lt;'Données projet'!$A$218,$FB$205^A94,IF(A94='Données projet'!$A$218,'Données projet'!$B$218,FE93+FD94-FM93)))</f>
        <v>240</v>
      </c>
      <c r="FF94" s="18">
        <f>FE94*VLOOKUP('Données projet'!$B$16,Paramètres!$A$1:$I$89,3,0)*VLOOKUP('Données projet'!$B$16,Paramètres!$A$1:$I$89,5,0)</f>
        <v>209.66400000000002</v>
      </c>
      <c r="FG94" s="14">
        <f t="shared" si="101"/>
        <v>51.862154403304537</v>
      </c>
      <c r="FH94" s="22">
        <f t="shared" si="76"/>
        <v>455.49138558575538</v>
      </c>
      <c r="FI94" s="60">
        <f t="shared" si="77"/>
        <v>731.61399342836808</v>
      </c>
      <c r="FJ94" s="60">
        <f ca="1">AVERAGE(OFFSET($FI$3,0,0,'Données projet'!$E$16+1,1))-AVERAGE(OFFSET($H$3,0,0,'Données projet'!$E$16+1,1))</f>
        <v>396.99335548279453</v>
      </c>
      <c r="FK94" s="60">
        <f t="shared" si="102"/>
        <v>388.89849573746335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65.306165775258009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4.6150000000000002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16.921666666666667</v>
      </c>
      <c r="H95" s="68">
        <f t="shared" si="56"/>
        <v>188.98000000000002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313.80000000000007</v>
      </c>
      <c r="O95" s="14">
        <f>N95*VLOOKUP('Données projet'!$B$9,Paramètres!$A$1:$I$89,3,0)*VLOOKUP('Données projet'!$B$9,Paramètres!$A$1:$I$89,5,0)</f>
        <v>283.92624000000006</v>
      </c>
      <c r="P95" s="14">
        <f t="shared" si="87"/>
        <v>67.796062628528361</v>
      </c>
      <c r="Q95" s="22">
        <f t="shared" si="54"/>
        <v>612.58301041135371</v>
      </c>
      <c r="R95" s="60">
        <f t="shared" si="55"/>
        <v>889.00418586381261</v>
      </c>
      <c r="S95" s="60">
        <f ca="1">AVERAGE(OFFSET($R$3,0,0,'Données projet'!$E$9+1,1))-AVERAGE(OFFSET($H$3,0,0,'Données projet'!$E$9+1,1))</f>
        <v>550.53475891182575</v>
      </c>
      <c r="T95" s="60">
        <f t="shared" si="88"/>
        <v>350.2500324347194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854.32389619717287</v>
      </c>
      <c r="AN95" s="60">
        <f ca="1">AVERAGE(OFFSET($AM$3,0,0,'Données projet'!$E$10+1,1))-AVERAGE(OFFSET($H$3,0,0,'Données projet'!$E$10+1,1))</f>
        <v>513.16577009788818</v>
      </c>
      <c r="AO95" s="60">
        <f t="shared" si="90"/>
        <v>289.37159333739146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-4.1677594708744434E-14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366.5170155168056</v>
      </c>
      <c r="BJ95" s="60">
        <f t="shared" si="92"/>
        <v>394.05057214541966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333.512642972663</v>
      </c>
      <c r="CE95" s="60">
        <f t="shared" si="94"/>
        <v>464.18634682168488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283.95432</v>
      </c>
      <c r="CV95" s="14">
        <f t="shared" si="95"/>
        <v>67.801987095081913</v>
      </c>
      <c r="CW95" s="22">
        <f t="shared" si="67"/>
        <v>612.64223485726768</v>
      </c>
      <c r="CX95" s="60">
        <f t="shared" si="68"/>
        <v>889.06341030972658</v>
      </c>
      <c r="CY95" s="60">
        <f ca="1">AVERAGE(OFFSET($CX$3,0,0,'Données projet'!$E$13+1,1))-AVERAGE(OFFSET($H$3,0,0,'Données projet'!$E$13+1,1))</f>
        <v>539.76438066597848</v>
      </c>
      <c r="CZ95" s="60">
        <f t="shared" si="96"/>
        <v>303.47238367344937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255.14736000000002</v>
      </c>
      <c r="DQ95" s="14">
        <f t="shared" si="97"/>
        <v>61.686859728645651</v>
      </c>
      <c r="DR95" s="22">
        <f t="shared" si="70"/>
        <v>551.81959936072451</v>
      </c>
      <c r="DS95" s="60">
        <f t="shared" si="71"/>
        <v>828.24077481318341</v>
      </c>
      <c r="DT95" s="60">
        <f ca="1">AVERAGE(OFFSET($DS$3,0,0,'Données projet'!$E$14+1,1))-AVERAGE(OFFSET($H$3,0,0,'Données projet'!$E$14+1,1))</f>
        <v>493.19478874005267</v>
      </c>
      <c r="DU95" s="60">
        <f t="shared" si="98"/>
        <v>278.78337903007821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8.9</v>
      </c>
      <c r="EJ95" s="13">
        <f>IF('Données projet'!$A$192&gt;35,EJ94+EI95-ER94,IF(A95&lt;'Données projet'!$A$192,$EG$205^A95,IF(A95='Données projet'!$A$192,'Données projet'!$B$192,EJ94+EI95-ER94)))</f>
        <v>467.29999999999984</v>
      </c>
      <c r="EK95" s="18">
        <f>EJ95*VLOOKUP('Données projet'!$B$15,Paramètres!$A$1:$I$89,3,0)*VLOOKUP('Données projet'!$B$15,Paramètres!$A$1:$I$89,5,0)</f>
        <v>400.94339999999988</v>
      </c>
      <c r="EL95" s="14">
        <f t="shared" si="99"/>
        <v>91.967898863116829</v>
      </c>
      <c r="EM95" s="22">
        <f t="shared" si="73"/>
        <v>858.48717885326153</v>
      </c>
      <c r="EN95" s="60">
        <f t="shared" si="74"/>
        <v>1134.9083543057204</v>
      </c>
      <c r="EO95" s="60">
        <f ca="1">AVERAGE(OFFSET($EN$3,0,0,'Données projet'!$E$15+1,1))-AVERAGE(OFFSET($H$3,0,0,'Données projet'!$E$15+1,1))</f>
        <v>698.30188737818639</v>
      </c>
      <c r="EP95" s="60">
        <f t="shared" si="100"/>
        <v>329.77977151358482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</v>
      </c>
      <c r="FE95" s="13">
        <f>IF('Données projet'!$A$218&gt;35,FE94+FD95-FM94,IF(A95&lt;'Données projet'!$A$218,$FB$205^A95,IF(A95='Données projet'!$A$218,'Données projet'!$B$218,FE94+FD95-FM94)))</f>
        <v>243</v>
      </c>
      <c r="FF95" s="18">
        <f>FE95*VLOOKUP('Données projet'!$B$16,Paramètres!$A$1:$I$89,3,0)*VLOOKUP('Données projet'!$B$16,Paramètres!$A$1:$I$89,5,0)</f>
        <v>212.28480000000002</v>
      </c>
      <c r="FG95" s="14">
        <f t="shared" si="101"/>
        <v>52.434557099704193</v>
      </c>
      <c r="FH95" s="22">
        <f t="shared" si="76"/>
        <v>461.05288028198476</v>
      </c>
      <c r="FI95" s="60">
        <f t="shared" si="77"/>
        <v>737.4740557344436</v>
      </c>
      <c r="FJ95" s="60">
        <f ca="1">AVERAGE(OFFSET($FI$3,0,0,'Données projet'!$E$16+1,1))-AVERAGE(OFFSET($H$3,0,0,'Données projet'!$E$16+1,1))</f>
        <v>396.99335548279453</v>
      </c>
      <c r="FK95" s="60">
        <f t="shared" si="102"/>
        <v>388.89849573746335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65.387593305216043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4.6150000000000002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16.921666666666667</v>
      </c>
      <c r="H96" s="68">
        <f t="shared" si="56"/>
        <v>188.98000000000002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319.70000000000005</v>
      </c>
      <c r="O96" s="14">
        <f>N96*VLOOKUP('Données projet'!$B$9,Paramètres!$A$1:$I$89,3,0)*VLOOKUP('Données projet'!$B$9,Paramètres!$A$1:$I$89,5,0)</f>
        <v>289.26456000000002</v>
      </c>
      <c r="P96" s="14">
        <f t="shared" si="87"/>
        <v>68.921152085057912</v>
      </c>
      <c r="Q96" s="22">
        <f t="shared" si="54"/>
        <v>623.84011521480932</v>
      </c>
      <c r="R96" s="60">
        <f t="shared" si="55"/>
        <v>900.55467879658067</v>
      </c>
      <c r="S96" s="60">
        <f ca="1">AVERAGE(OFFSET($R$3,0,0,'Données projet'!$E$9+1,1))-AVERAGE(OFFSET($H$3,0,0,'Données projet'!$E$9+1,1))</f>
        <v>550.53475891182575</v>
      </c>
      <c r="T96" s="60">
        <f t="shared" si="88"/>
        <v>350.2500324347194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865.10747238203544</v>
      </c>
      <c r="AN96" s="60">
        <f ca="1">AVERAGE(OFFSET($AM$3,0,0,'Données projet'!$E$10+1,1))-AVERAGE(OFFSET($H$3,0,0,'Données projet'!$E$10+1,1))</f>
        <v>513.16577009788818</v>
      </c>
      <c r="AO96" s="60">
        <f t="shared" si="90"/>
        <v>289.37159333739146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-4.1677594708744434E-14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366.5170155168056</v>
      </c>
      <c r="BJ96" s="60">
        <f t="shared" si="92"/>
        <v>394.05057214541966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333.512642972663</v>
      </c>
      <c r="CE96" s="60">
        <f t="shared" si="94"/>
        <v>464.18634682168488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289.22868</v>
      </c>
      <c r="CV96" s="14">
        <f t="shared" si="95"/>
        <v>68.913598231220931</v>
      </c>
      <c r="CW96" s="22">
        <f t="shared" si="67"/>
        <v>623.76446791937644</v>
      </c>
      <c r="CX96" s="60">
        <f t="shared" si="68"/>
        <v>900.4790315011478</v>
      </c>
      <c r="CY96" s="60">
        <f ca="1">AVERAGE(OFFSET($CX$3,0,0,'Données projet'!$E$13+1,1))-AVERAGE(OFFSET($H$3,0,0,'Données projet'!$E$13+1,1))</f>
        <v>539.76438066597848</v>
      </c>
      <c r="CZ96" s="60">
        <f t="shared" si="96"/>
        <v>303.47238367344937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259.88664</v>
      </c>
      <c r="DQ96" s="14">
        <f t="shared" si="97"/>
        <v>62.698213571884004</v>
      </c>
      <c r="DR96" s="22">
        <f t="shared" si="70"/>
        <v>561.835286637698</v>
      </c>
      <c r="DS96" s="60">
        <f t="shared" si="71"/>
        <v>838.54985021946936</v>
      </c>
      <c r="DT96" s="60">
        <f ca="1">AVERAGE(OFFSET($DS$3,0,0,'Données projet'!$E$14+1,1))-AVERAGE(OFFSET($H$3,0,0,'Données projet'!$E$14+1,1))</f>
        <v>493.19478874005267</v>
      </c>
      <c r="DU96" s="60">
        <f t="shared" si="98"/>
        <v>278.78337903007821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8.9</v>
      </c>
      <c r="EJ96" s="13">
        <f>IF('Données projet'!$A$192&gt;35,EJ95+EI96-ER95,IF(A96&lt;'Données projet'!$A$192,$EG$205^A96,IF(A96='Données projet'!$A$192,'Données projet'!$B$192,EJ95+EI96-ER95)))</f>
        <v>476.19999999999982</v>
      </c>
      <c r="EK96" s="18">
        <f>EJ96*VLOOKUP('Données projet'!$B$15,Paramètres!$A$1:$I$89,3,0)*VLOOKUP('Données projet'!$B$15,Paramètres!$A$1:$I$89,5,0)</f>
        <v>408.57959999999986</v>
      </c>
      <c r="EL96" s="14">
        <f t="shared" si="99"/>
        <v>93.513893265221384</v>
      </c>
      <c r="EM96" s="22">
        <f t="shared" si="73"/>
        <v>874.47950077026019</v>
      </c>
      <c r="EN96" s="60">
        <f t="shared" si="74"/>
        <v>1151.1940643520315</v>
      </c>
      <c r="EO96" s="60">
        <f ca="1">AVERAGE(OFFSET($EN$3,0,0,'Données projet'!$E$15+1,1))-AVERAGE(OFFSET($H$3,0,0,'Données projet'!$E$15+1,1))</f>
        <v>698.30188737818639</v>
      </c>
      <c r="EP96" s="60">
        <f t="shared" si="100"/>
        <v>329.77977151358482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</v>
      </c>
      <c r="FE96" s="13">
        <f>IF('Données projet'!$A$218&gt;35,FE95+FD96-FM95,IF(A96&lt;'Données projet'!$A$218,$FB$205^A96,IF(A96='Données projet'!$A$218,'Données projet'!$B$218,FE95+FD96-FM95)))</f>
        <v>246</v>
      </c>
      <c r="FF96" s="18">
        <f>FE96*VLOOKUP('Données projet'!$B$16,Paramètres!$A$1:$I$89,3,0)*VLOOKUP('Données projet'!$B$16,Paramètres!$A$1:$I$89,5,0)</f>
        <v>214.90560000000005</v>
      </c>
      <c r="FG96" s="14">
        <f t="shared" si="101"/>
        <v>53.006137800892326</v>
      </c>
      <c r="FH96" s="22">
        <f t="shared" si="76"/>
        <v>466.61294333655422</v>
      </c>
      <c r="FI96" s="60">
        <f t="shared" si="77"/>
        <v>743.32750691832553</v>
      </c>
      <c r="FJ96" s="60">
        <f ca="1">AVERAGE(OFFSET($FI$3,0,0,'Données projet'!$E$16+1,1))-AVERAGE(OFFSET($H$3,0,0,'Données projet'!$E$16+1,1))</f>
        <v>396.99335548279453</v>
      </c>
      <c r="FK96" s="60">
        <f t="shared" si="102"/>
        <v>388.89849573746335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65.467608249573985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4.6150000000000002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16.921666666666667</v>
      </c>
      <c r="H97" s="68">
        <f t="shared" si="56"/>
        <v>188.98000000000002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325.60000000000002</v>
      </c>
      <c r="O97" s="14">
        <f>N97*VLOOKUP('Données projet'!$B$9,Paramètres!$A$1:$I$89,3,0)*VLOOKUP('Données projet'!$B$9,Paramètres!$A$1:$I$89,5,0)</f>
        <v>294.60288000000003</v>
      </c>
      <c r="P97" s="14">
        <f t="shared" si="87"/>
        <v>70.043827142305744</v>
      </c>
      <c r="Q97" s="22">
        <f t="shared" si="54"/>
        <v>635.09301493951591</v>
      </c>
      <c r="R97" s="60">
        <f t="shared" si="55"/>
        <v>912.09587702247381</v>
      </c>
      <c r="S97" s="60">
        <f ca="1">AVERAGE(OFFSET($R$3,0,0,'Données projet'!$E$9+1,1))-AVERAGE(OFFSET($H$3,0,0,'Données projet'!$E$9+1,1))</f>
        <v>550.53475891182575</v>
      </c>
      <c r="T97" s="60">
        <f t="shared" si="88"/>
        <v>350.2500324347194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875.88206448003757</v>
      </c>
      <c r="AN97" s="60">
        <f ca="1">AVERAGE(OFFSET($AM$3,0,0,'Données projet'!$E$10+1,1))-AVERAGE(OFFSET($H$3,0,0,'Données projet'!$E$10+1,1))</f>
        <v>513.16577009788818</v>
      </c>
      <c r="AO97" s="60">
        <f t="shared" si="90"/>
        <v>289.37159333739146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-4.1677594708744434E-14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366.5170155168056</v>
      </c>
      <c r="BJ97" s="60">
        <f t="shared" si="92"/>
        <v>394.05057214541966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333.512642972663</v>
      </c>
      <c r="CE97" s="60">
        <f t="shared" si="94"/>
        <v>464.18634682168488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294.50303999999994</v>
      </c>
      <c r="CV97" s="14">
        <f t="shared" si="95"/>
        <v>70.022852154069838</v>
      </c>
      <c r="CW97" s="22">
        <f t="shared" si="67"/>
        <v>634.88259550167152</v>
      </c>
      <c r="CX97" s="60">
        <f t="shared" si="68"/>
        <v>911.88545758462942</v>
      </c>
      <c r="CY97" s="60">
        <f ca="1">AVERAGE(OFFSET($CX$3,0,0,'Données projet'!$E$13+1,1))-AVERAGE(OFFSET($H$3,0,0,'Données projet'!$E$13+1,1))</f>
        <v>539.76438066597848</v>
      </c>
      <c r="CZ97" s="60">
        <f t="shared" si="96"/>
        <v>303.47238367344937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264.62591999999995</v>
      </c>
      <c r="DQ97" s="14">
        <f t="shared" si="97"/>
        <v>63.707422801198604</v>
      </c>
      <c r="DR97" s="22">
        <f t="shared" si="70"/>
        <v>571.84723871208746</v>
      </c>
      <c r="DS97" s="60">
        <f t="shared" si="71"/>
        <v>848.85010079504536</v>
      </c>
      <c r="DT97" s="60">
        <f ca="1">AVERAGE(OFFSET($DS$3,0,0,'Données projet'!$E$14+1,1))-AVERAGE(OFFSET($H$3,0,0,'Données projet'!$E$14+1,1))</f>
        <v>493.19478874005267</v>
      </c>
      <c r="DU97" s="60">
        <f t="shared" si="98"/>
        <v>278.78337903007821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8.9</v>
      </c>
      <c r="EJ97" s="13">
        <f>IF('Données projet'!$A$192&gt;35,EJ96+EI97-ER96,IF(A97&lt;'Données projet'!$A$192,$EG$205^A97,IF(A97='Données projet'!$A$192,'Données projet'!$B$192,EJ96+EI97-ER96)))</f>
        <v>485.0999999999998</v>
      </c>
      <c r="EK97" s="18">
        <f>EJ97*VLOOKUP('Données projet'!$B$15,Paramètres!$A$1:$I$89,3,0)*VLOOKUP('Données projet'!$B$15,Paramètres!$A$1:$I$89,5,0)</f>
        <v>416.21579999999983</v>
      </c>
      <c r="EL97" s="14">
        <f t="shared" si="99"/>
        <v>95.056527847955991</v>
      </c>
      <c r="EM97" s="22">
        <f t="shared" si="73"/>
        <v>890.46597100185636</v>
      </c>
      <c r="EN97" s="60">
        <f t="shared" si="74"/>
        <v>1167.4688330848142</v>
      </c>
      <c r="EO97" s="60">
        <f ca="1">AVERAGE(OFFSET($EN$3,0,0,'Données projet'!$E$15+1,1))-AVERAGE(OFFSET($H$3,0,0,'Données projet'!$E$15+1,1))</f>
        <v>698.30188737818639</v>
      </c>
      <c r="EP97" s="60">
        <f t="shared" si="100"/>
        <v>329.77977151358482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</v>
      </c>
      <c r="FE97" s="13">
        <f>IF('Données projet'!$A$218&gt;35,FE96+FD97-FM96,IF(A97&lt;'Données projet'!$A$218,$FB$205^A97,IF(A97='Données projet'!$A$218,'Données projet'!$B$218,FE96+FD97-FM96)))</f>
        <v>249</v>
      </c>
      <c r="FF97" s="18">
        <f>FE97*VLOOKUP('Données projet'!$B$16,Paramètres!$A$1:$I$89,3,0)*VLOOKUP('Données projet'!$B$16,Paramètres!$A$1:$I$89,5,0)</f>
        <v>217.52640000000005</v>
      </c>
      <c r="FG97" s="14">
        <f t="shared" si="101"/>
        <v>53.576907690651254</v>
      </c>
      <c r="FH97" s="22">
        <f t="shared" si="76"/>
        <v>472.17159422788433</v>
      </c>
      <c r="FI97" s="60">
        <f t="shared" si="77"/>
        <v>749.17445631084217</v>
      </c>
      <c r="FJ97" s="60">
        <f ca="1">AVERAGE(OFFSET($FI$3,0,0,'Données projet'!$E$16+1,1))-AVERAGE(OFFSET($H$3,0,0,'Données projet'!$E$16+1,1))</f>
        <v>396.99335548279453</v>
      </c>
      <c r="FK97" s="60">
        <f t="shared" si="102"/>
        <v>388.89849573746335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65.546235113533953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4.6150000000000002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16.921666666666667</v>
      </c>
      <c r="H98" s="68">
        <f t="shared" si="56"/>
        <v>188.98000000000002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</v>
      </c>
      <c r="O98" s="14">
        <f>N98*VLOOKUP('Données projet'!$B$9,Paramètres!$A$1:$I$89,3,0)*VLOOKUP('Données projet'!$B$9,Paramètres!$A$1:$I$89,5,0)</f>
        <v>299.94119999999998</v>
      </c>
      <c r="P98" s="14">
        <f t="shared" si="87"/>
        <v>71.164136596531506</v>
      </c>
      <c r="Q98" s="22">
        <f t="shared" si="54"/>
        <v>646.34179457229243</v>
      </c>
      <c r="R98" s="60">
        <f t="shared" si="55"/>
        <v>923.6279538219801</v>
      </c>
      <c r="S98" s="60">
        <f ca="1">AVERAGE(OFFSET($R$3,0,0,'Données projet'!$E$9+1,1))-AVERAGE(OFFSET($H$3,0,0,'Données projet'!$E$9+1,1))</f>
        <v>550.53475891182575</v>
      </c>
      <c r="T98" s="60">
        <f t="shared" si="88"/>
        <v>350.2500324347194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886.64783857795942</v>
      </c>
      <c r="AN98" s="60">
        <f ca="1">AVERAGE(OFFSET($AM$3,0,0,'Données projet'!$E$10+1,1))-AVERAGE(OFFSET($H$3,0,0,'Données projet'!$E$10+1,1))</f>
        <v>513.16577009788818</v>
      </c>
      <c r="AO98" s="60">
        <f t="shared" si="90"/>
        <v>289.37159333739146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-4.1677594708744434E-14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366.5170155168056</v>
      </c>
      <c r="BJ98" s="60">
        <f t="shared" si="92"/>
        <v>394.05057214541966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333.512642972663</v>
      </c>
      <c r="CE98" s="60">
        <f t="shared" si="94"/>
        <v>464.18634682168488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299.77739999999989</v>
      </c>
      <c r="CV98" s="14">
        <f t="shared" si="95"/>
        <v>71.129795949749251</v>
      </c>
      <c r="CW98" s="22">
        <f t="shared" si="67"/>
        <v>645.9966996124798</v>
      </c>
      <c r="CX98" s="60">
        <f t="shared" si="68"/>
        <v>923.28285886216736</v>
      </c>
      <c r="CY98" s="60">
        <f ca="1">AVERAGE(OFFSET($CX$3,0,0,'Données projet'!$E$13+1,1))-AVERAGE(OFFSET($H$3,0,0,'Données projet'!$E$13+1,1))</f>
        <v>539.76438066597848</v>
      </c>
      <c r="CZ98" s="60">
        <f t="shared" si="96"/>
        <v>303.47238367344937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269.36519999999996</v>
      </c>
      <c r="DQ98" s="14">
        <f t="shared" si="97"/>
        <v>64.714530255967034</v>
      </c>
      <c r="DR98" s="22">
        <f t="shared" si="70"/>
        <v>581.85553019580914</v>
      </c>
      <c r="DS98" s="60">
        <f t="shared" si="71"/>
        <v>859.1416894454967</v>
      </c>
      <c r="DT98" s="60">
        <f ca="1">AVERAGE(OFFSET($DS$3,0,0,'Données projet'!$E$14+1,1))-AVERAGE(OFFSET($H$3,0,0,'Données projet'!$E$14+1,1))</f>
        <v>493.19478874005267</v>
      </c>
      <c r="DU98" s="60">
        <f t="shared" si="98"/>
        <v>278.78337903007821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494</v>
      </c>
      <c r="EH98" s="13">
        <f>VLOOKUP(A98,'Données projet'!$A$191:$I$211,9,0)</f>
        <v>8.9</v>
      </c>
      <c r="EI98" s="13">
        <f t="array" ref="EI98">INDEX(EH:EH,MIN(IF(ISNUMBER(EH98:EH294),ROW(EH98:EH294),"")))</f>
        <v>8.9</v>
      </c>
      <c r="EJ98" s="13">
        <f>IF('Données projet'!$A$192&gt;35,EJ97+EI98-ER97,IF(A98&lt;'Données projet'!$A$192,$EG$205^A98,IF(A98='Données projet'!$A$192,'Données projet'!$B$192,EJ97+EI98-ER97)))</f>
        <v>493.99999999999977</v>
      </c>
      <c r="EK98" s="18">
        <f>EJ98*VLOOKUP('Données projet'!$B$15,Paramètres!$A$1:$I$89,3,0)*VLOOKUP('Données projet'!$B$15,Paramètres!$A$1:$I$89,5,0)</f>
        <v>423.8519999999998</v>
      </c>
      <c r="EL98" s="14">
        <f t="shared" si="99"/>
        <v>96.595871362472579</v>
      </c>
      <c r="EM98" s="22">
        <f t="shared" si="73"/>
        <v>906.44670928963933</v>
      </c>
      <c r="EN98" s="60">
        <f t="shared" si="74"/>
        <v>1183.732868539327</v>
      </c>
      <c r="EO98" s="60">
        <f ca="1">AVERAGE(OFFSET($EN$3,0,0,'Données projet'!$E$15+1,1))-AVERAGE(OFFSET($H$3,0,0,'Données projet'!$E$15+1,1))</f>
        <v>698.30188737818639</v>
      </c>
      <c r="EP98" s="60">
        <f t="shared" si="100"/>
        <v>329.77977151358482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61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252</v>
      </c>
      <c r="FC98" s="13">
        <f>VLOOKUP(A98,'Données projet'!$A$217:$I$237,9,0)</f>
        <v>3</v>
      </c>
      <c r="FD98" s="13">
        <f t="array" ref="FD98">INDEX(FC:FC,MIN(IF(ISNUMBER(FC98:FC294),ROW(FC98:FC294),"")))</f>
        <v>3</v>
      </c>
      <c r="FE98" s="13">
        <f>IF('Données projet'!$A$218&gt;35,FE97+FD98-FM97,IF(A98&lt;'Données projet'!$A$218,$FB$205^A98,IF(A98='Données projet'!$A$218,'Données projet'!$B$218,FE97+FD98-FM97)))</f>
        <v>252</v>
      </c>
      <c r="FF98" s="18">
        <f>FE98*VLOOKUP('Données projet'!$B$16,Paramètres!$A$1:$I$89,3,0)*VLOOKUP('Données projet'!$B$16,Paramètres!$A$1:$I$89,5,0)</f>
        <v>220.14720000000003</v>
      </c>
      <c r="FG98" s="14">
        <f t="shared" si="101"/>
        <v>54.146877667769687</v>
      </c>
      <c r="FH98" s="22">
        <f t="shared" si="76"/>
        <v>477.72885193803222</v>
      </c>
      <c r="FI98" s="60">
        <f t="shared" si="77"/>
        <v>755.01501118771989</v>
      </c>
      <c r="FJ98" s="60">
        <f ca="1">AVERAGE(OFFSET($FI$3,0,0,'Données projet'!$E$16+1,1))-AVERAGE(OFFSET($H$3,0,0,'Données projet'!$E$16+1,1))</f>
        <v>396.99335548279453</v>
      </c>
      <c r="FK98" s="60">
        <f t="shared" si="102"/>
        <v>388.89849573746335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65.62349797718754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4.6150000000000002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16.921666666666667</v>
      </c>
      <c r="H99" s="68">
        <f t="shared" si="56"/>
        <v>188.98000000000002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</v>
      </c>
      <c r="O99" s="14">
        <f>N99*VLOOKUP('Données projet'!$B$9,Paramètres!$A$1:$I$89,3,0)*VLOOKUP('Données projet'!$B$9,Paramètres!$A$1:$I$89,5,0)</f>
        <v>305.27951999999999</v>
      </c>
      <c r="P99" s="14">
        <f t="shared" si="87"/>
        <v>72.282127407576809</v>
      </c>
      <c r="Q99" s="22">
        <f t="shared" ref="Q99:Q130" si="107">(O99+P99)*0.475*44/12</f>
        <v>657.5865359015296</v>
      </c>
      <c r="R99" s="60">
        <f t="shared" si="55"/>
        <v>935.15107774546186</v>
      </c>
      <c r="S99" s="60">
        <f ca="1">AVERAGE(OFFSET($R$3,0,0,'Données projet'!$E$9+1,1))-AVERAGE(OFFSET($H$3,0,0,'Données projet'!$E$9+1,1))</f>
        <v>550.53475891182575</v>
      </c>
      <c r="T99" s="60">
        <f t="shared" si="88"/>
        <v>350.2500324347194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897.40495633665807</v>
      </c>
      <c r="AN99" s="60">
        <f ca="1">AVERAGE(OFFSET($AM$3,0,0,'Données projet'!$E$10+1,1))-AVERAGE(OFFSET($H$3,0,0,'Données projet'!$E$10+1,1))</f>
        <v>513.16577009788818</v>
      </c>
      <c r="AO99" s="60">
        <f t="shared" si="90"/>
        <v>289.37159333739146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-4.1677594708744434E-14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366.5170155168056</v>
      </c>
      <c r="BJ99" s="60">
        <f t="shared" si="92"/>
        <v>394.05057214541966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333.512642972663</v>
      </c>
      <c r="CE99" s="60">
        <f t="shared" si="94"/>
        <v>464.18634682168488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305.05175999999989</v>
      </c>
      <c r="CV99" s="14">
        <f t="shared" si="95"/>
        <v>72.23447495258219</v>
      </c>
      <c r="CW99" s="22">
        <f t="shared" si="67"/>
        <v>657.10685920908043</v>
      </c>
      <c r="CX99" s="60">
        <f t="shared" si="68"/>
        <v>934.67140105301269</v>
      </c>
      <c r="CY99" s="60">
        <f ca="1">AVERAGE(OFFSET($CX$3,0,0,'Données projet'!$E$13+1,1))-AVERAGE(OFFSET($H$3,0,0,'Données projet'!$E$13+1,1))</f>
        <v>539.76438066597848</v>
      </c>
      <c r="CZ99" s="60">
        <f t="shared" si="96"/>
        <v>303.47238367344937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274.10447999999991</v>
      </c>
      <c r="DQ99" s="14">
        <f t="shared" si="97"/>
        <v>65.719577181765516</v>
      </c>
      <c r="DR99" s="22">
        <f t="shared" si="70"/>
        <v>591.86023292490802</v>
      </c>
      <c r="DS99" s="60">
        <f t="shared" si="71"/>
        <v>869.42477476884028</v>
      </c>
      <c r="DT99" s="60">
        <f ca="1">AVERAGE(OFFSET($DS$3,0,0,'Données projet'!$E$14+1,1))-AVERAGE(OFFSET($H$3,0,0,'Données projet'!$E$14+1,1))</f>
        <v>493.19478874005267</v>
      </c>
      <c r="DU99" s="60">
        <f t="shared" si="98"/>
        <v>278.78337903007821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8</v>
      </c>
      <c r="EJ99" s="13">
        <f>IF('Données projet'!$A$192&gt;35,EJ98+EI99-ER98,IF(A99&lt;'Données projet'!$A$192,$EG$205^A99,IF(A99='Données projet'!$A$192,'Données projet'!$B$192,EJ98+EI99-ER98)))</f>
        <v>440.99999999999977</v>
      </c>
      <c r="EK99" s="18">
        <f>EJ99*VLOOKUP('Données projet'!$B$15,Paramètres!$A$1:$I$89,3,0)*VLOOKUP('Données projet'!$B$15,Paramètres!$A$1:$I$89,5,0)</f>
        <v>378.37799999999987</v>
      </c>
      <c r="EL99" s="14">
        <f t="shared" si="99"/>
        <v>87.379060339798912</v>
      </c>
      <c r="EM99" s="22">
        <f t="shared" si="73"/>
        <v>811.19354675848274</v>
      </c>
      <c r="EN99" s="60">
        <f t="shared" si="74"/>
        <v>1088.758088602415</v>
      </c>
      <c r="EO99" s="60">
        <f ca="1">AVERAGE(OFFSET($EN$3,0,0,'Données projet'!$E$15+1,1))-AVERAGE(OFFSET($H$3,0,0,'Données projet'!$E$15+1,1))</f>
        <v>698.30188737818639</v>
      </c>
      <c r="EP99" s="60">
        <f t="shared" si="100"/>
        <v>329.77977151358482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</v>
      </c>
      <c r="FE99" s="13">
        <f>IF('Données projet'!$A$218&gt;35,FE98+FD99-FM98,IF(A99&lt;'Données projet'!$A$218,$FB$205^A99,IF(A99='Données projet'!$A$218,'Données projet'!$B$218,FE98+FD99-FM98)))</f>
        <v>255</v>
      </c>
      <c r="FF99" s="18">
        <f>FE99*VLOOKUP('Données projet'!$B$16,Paramètres!$A$1:$I$89,3,0)*VLOOKUP('Données projet'!$B$16,Paramètres!$A$1:$I$89,5,0)</f>
        <v>222.76800000000003</v>
      </c>
      <c r="FG99" s="14">
        <f t="shared" si="101"/>
        <v>54.716058356609508</v>
      </c>
      <c r="FH99" s="22">
        <f t="shared" si="76"/>
        <v>483.28473497109491</v>
      </c>
      <c r="FI99" s="60">
        <f t="shared" si="77"/>
        <v>760.84927681502722</v>
      </c>
      <c r="FJ99" s="60">
        <f ca="1">AVERAGE(OFFSET($FI$3,0,0,'Données projet'!$E$16+1,1))-AVERAGE(OFFSET($H$3,0,0,'Données projet'!$E$16+1,1))</f>
        <v>396.99335548279453</v>
      </c>
      <c r="FK99" s="60">
        <f t="shared" si="102"/>
        <v>388.89849573746335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65.699420502890618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4.6150000000000002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16.921666666666667</v>
      </c>
      <c r="H100" s="68">
        <f t="shared" si="56"/>
        <v>188.98000000000002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343.29999999999995</v>
      </c>
      <c r="O100" s="14">
        <f>N100*VLOOKUP('Données projet'!$B$9,Paramètres!$A$1:$I$89,3,0)*VLOOKUP('Données projet'!$B$9,Paramètres!$A$1:$I$89,5,0)</f>
        <v>310.61783999999994</v>
      </c>
      <c r="P100" s="14">
        <f t="shared" si="87"/>
        <v>73.397844798859666</v>
      </c>
      <c r="Q100" s="22">
        <f t="shared" si="107"/>
        <v>668.82731769134716</v>
      </c>
      <c r="R100" s="60">
        <f t="shared" si="55"/>
        <v>946.66541281388413</v>
      </c>
      <c r="S100" s="60">
        <f ca="1">AVERAGE(OFFSET($R$3,0,0,'Données projet'!$E$9+1,1))-AVERAGE(OFFSET($H$3,0,0,'Données projet'!$E$9+1,1))</f>
        <v>550.53475891182575</v>
      </c>
      <c r="T100" s="60">
        <f t="shared" si="88"/>
        <v>350.2500324347194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908.15357517346411</v>
      </c>
      <c r="AN100" s="60">
        <f ca="1">AVERAGE(OFFSET($AM$3,0,0,'Données projet'!$E$10+1,1))-AVERAGE(OFFSET($H$3,0,0,'Données projet'!$E$10+1,1))</f>
        <v>513.16577009788818</v>
      </c>
      <c r="AO100" s="60">
        <f t="shared" si="90"/>
        <v>289.37159333739146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-4.1677594708744434E-14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366.5170155168056</v>
      </c>
      <c r="BJ100" s="60">
        <f t="shared" si="92"/>
        <v>394.05057214541966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333.512642972663</v>
      </c>
      <c r="CE100" s="60">
        <f t="shared" si="94"/>
        <v>464.18634682168488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310.32611999999989</v>
      </c>
      <c r="CV100" s="14">
        <f t="shared" si="95"/>
        <v>73.336932839409357</v>
      </c>
      <c r="CW100" s="22">
        <f t="shared" si="67"/>
        <v>668.21315036197109</v>
      </c>
      <c r="CX100" s="60">
        <f t="shared" si="68"/>
        <v>946.05124548450817</v>
      </c>
      <c r="CY100" s="60">
        <f ca="1">AVERAGE(OFFSET($CX$3,0,0,'Données projet'!$E$13+1,1))-AVERAGE(OFFSET($H$3,0,0,'Données projet'!$E$13+1,1))</f>
        <v>539.76438066597848</v>
      </c>
      <c r="CZ100" s="60">
        <f t="shared" si="96"/>
        <v>303.47238367344937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278.84375999999992</v>
      </c>
      <c r="DQ100" s="14">
        <f t="shared" si="97"/>
        <v>66.722603316177725</v>
      </c>
      <c r="DR100" s="22">
        <f t="shared" si="70"/>
        <v>601.86141610900938</v>
      </c>
      <c r="DS100" s="60">
        <f t="shared" si="71"/>
        <v>879.69951123154647</v>
      </c>
      <c r="DT100" s="60">
        <f ca="1">AVERAGE(OFFSET($DS$3,0,0,'Données projet'!$E$14+1,1))-AVERAGE(OFFSET($H$3,0,0,'Données projet'!$E$14+1,1))</f>
        <v>493.19478874005267</v>
      </c>
      <c r="DU100" s="60">
        <f t="shared" si="98"/>
        <v>278.78337903007821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8</v>
      </c>
      <c r="EJ100" s="13">
        <f>IF('Données projet'!$A$192&gt;35,EJ99+EI100-ER99,IF(A100&lt;'Données projet'!$A$192,$EG$205^A100,IF(A100='Données projet'!$A$192,'Données projet'!$B$192,EJ99+EI100-ER99)))</f>
        <v>448.99999999999977</v>
      </c>
      <c r="EK100" s="18">
        <f>EJ100*VLOOKUP('Données projet'!$B$15,Paramètres!$A$1:$I$89,3,0)*VLOOKUP('Données projet'!$B$15,Paramètres!$A$1:$I$89,5,0)</f>
        <v>385.24199999999985</v>
      </c>
      <c r="EL100" s="14">
        <f t="shared" si="99"/>
        <v>88.778192635344908</v>
      </c>
      <c r="EM100" s="22">
        <f t="shared" si="73"/>
        <v>825.58516883989205</v>
      </c>
      <c r="EN100" s="60">
        <f t="shared" si="74"/>
        <v>1103.423263962429</v>
      </c>
      <c r="EO100" s="60">
        <f ca="1">AVERAGE(OFFSET($EN$3,0,0,'Données projet'!$E$15+1,1))-AVERAGE(OFFSET($H$3,0,0,'Données projet'!$E$15+1,1))</f>
        <v>698.30188737818639</v>
      </c>
      <c r="EP100" s="60">
        <f t="shared" si="100"/>
        <v>329.77977151358482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</v>
      </c>
      <c r="FE100" s="13">
        <f>IF('Données projet'!$A$218&gt;35,FE99+FD100-FM99,IF(A100&lt;'Données projet'!$A$218,$FB$205^A100,IF(A100='Données projet'!$A$218,'Données projet'!$B$218,FE99+FD100-FM99)))</f>
        <v>258</v>
      </c>
      <c r="FF100" s="18">
        <f>FE100*VLOOKUP('Données projet'!$B$16,Paramètres!$A$1:$I$89,3,0)*VLOOKUP('Données projet'!$B$16,Paramètres!$A$1:$I$89,5,0)</f>
        <v>225.38880000000003</v>
      </c>
      <c r="FG100" s="14">
        <f t="shared" si="101"/>
        <v>55.284460117161593</v>
      </c>
      <c r="FH100" s="22">
        <f t="shared" si="76"/>
        <v>488.83926137072314</v>
      </c>
      <c r="FI100" s="60">
        <f t="shared" si="77"/>
        <v>766.67735649326016</v>
      </c>
      <c r="FJ100" s="60">
        <f ca="1">AVERAGE(OFFSET($FI$3,0,0,'Données projet'!$E$16+1,1))-AVERAGE(OFFSET($H$3,0,0,'Données projet'!$E$16+1,1))</f>
        <v>396.99335548279453</v>
      </c>
      <c r="FK100" s="60">
        <f t="shared" si="102"/>
        <v>388.89849573746335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65.774025942510093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4.6150000000000002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16.921666666666667</v>
      </c>
      <c r="H101" s="68">
        <f t="shared" si="56"/>
        <v>188.98000000000002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349.19999999999993</v>
      </c>
      <c r="O101" s="14">
        <f>N101*VLOOKUP('Données projet'!$B$9,Paramètres!$A$1:$I$89,3,0)*VLOOKUP('Données projet'!$B$9,Paramètres!$A$1:$I$89,5,0)</f>
        <v>315.9561599999999</v>
      </c>
      <c r="P101" s="14">
        <f t="shared" si="87"/>
        <v>74.511332350300975</v>
      </c>
      <c r="Q101" s="22">
        <f t="shared" si="107"/>
        <v>680.06421584344059</v>
      </c>
      <c r="R101" s="60">
        <f t="shared" si="55"/>
        <v>958.17111870677195</v>
      </c>
      <c r="S101" s="60">
        <f ca="1">AVERAGE(OFFSET($R$3,0,0,'Données projet'!$E$9+1,1))-AVERAGE(OFFSET($H$3,0,0,'Données projet'!$E$9+1,1))</f>
        <v>550.53475891182575</v>
      </c>
      <c r="T101" s="60">
        <f t="shared" si="88"/>
        <v>350.2500324347194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918.89384843321886</v>
      </c>
      <c r="AN101" s="60">
        <f ca="1">AVERAGE(OFFSET($AM$3,0,0,'Données projet'!$E$10+1,1))-AVERAGE(OFFSET($H$3,0,0,'Données projet'!$E$10+1,1))</f>
        <v>513.16577009788818</v>
      </c>
      <c r="AO101" s="60">
        <f t="shared" si="90"/>
        <v>289.37159333739146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-4.1677594708744434E-14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366.5170155168056</v>
      </c>
      <c r="BJ101" s="60">
        <f t="shared" si="92"/>
        <v>394.05057214541966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333.512642972663</v>
      </c>
      <c r="CE101" s="60">
        <f t="shared" si="94"/>
        <v>464.18634682168488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315.60047999999989</v>
      </c>
      <c r="CV101" s="14">
        <f t="shared" si="95"/>
        <v>74.437211717310802</v>
      </c>
      <c r="CW101" s="22">
        <f t="shared" si="67"/>
        <v>679.31564640764952</v>
      </c>
      <c r="CX101" s="60">
        <f t="shared" si="68"/>
        <v>957.42254927098088</v>
      </c>
      <c r="CY101" s="60">
        <f ca="1">AVERAGE(OFFSET($CX$3,0,0,'Données projet'!$E$13+1,1))-AVERAGE(OFFSET($H$3,0,0,'Données projet'!$E$13+1,1))</f>
        <v>539.76438066597848</v>
      </c>
      <c r="CZ101" s="60">
        <f t="shared" si="96"/>
        <v>303.47238367344937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283.58303999999993</v>
      </c>
      <c r="DQ101" s="14">
        <f t="shared" si="97"/>
        <v>67.723646968605209</v>
      </c>
      <c r="DR101" s="22">
        <f t="shared" si="70"/>
        <v>611.85914647032064</v>
      </c>
      <c r="DS101" s="60">
        <f t="shared" si="71"/>
        <v>889.96604933365211</v>
      </c>
      <c r="DT101" s="60">
        <f ca="1">AVERAGE(OFFSET($DS$3,0,0,'Données projet'!$E$14+1,1))-AVERAGE(OFFSET($H$3,0,0,'Données projet'!$E$14+1,1))</f>
        <v>493.19478874005267</v>
      </c>
      <c r="DU101" s="60">
        <f t="shared" si="98"/>
        <v>278.78337903007821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</v>
      </c>
      <c r="EJ101" s="13">
        <f>IF('Données projet'!$A$192&gt;35,EJ100+EI101-ER100,IF(A101&lt;'Données projet'!$A$192,$EG$205^A101,IF(A101='Données projet'!$A$192,'Données projet'!$B$192,EJ100+EI101-ER100)))</f>
        <v>456.99999999999977</v>
      </c>
      <c r="EK101" s="18">
        <f>EJ101*VLOOKUP('Données projet'!$B$15,Paramètres!$A$1:$I$89,3,0)*VLOOKUP('Données projet'!$B$15,Paramètres!$A$1:$I$89,5,0)</f>
        <v>392.10599999999988</v>
      </c>
      <c r="EL101" s="14">
        <f t="shared" si="99"/>
        <v>90.174426056298898</v>
      </c>
      <c r="EM101" s="22">
        <f t="shared" si="73"/>
        <v>839.97174204805378</v>
      </c>
      <c r="EN101" s="60">
        <f t="shared" si="74"/>
        <v>1118.0786449113853</v>
      </c>
      <c r="EO101" s="60">
        <f ca="1">AVERAGE(OFFSET($EN$3,0,0,'Données projet'!$E$15+1,1))-AVERAGE(OFFSET($H$3,0,0,'Données projet'!$E$15+1,1))</f>
        <v>698.30188737818639</v>
      </c>
      <c r="EP101" s="60">
        <f t="shared" si="100"/>
        <v>329.77977151358482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</v>
      </c>
      <c r="FE101" s="13">
        <f>IF('Données projet'!$A$218&gt;35,FE100+FD101-FM100,IF(A101&lt;'Données projet'!$A$218,$FB$205^A101,IF(A101='Données projet'!$A$218,'Données projet'!$B$218,FE100+FD101-FM100)))</f>
        <v>261</v>
      </c>
      <c r="FF101" s="18">
        <f>FE101*VLOOKUP('Données projet'!$B$16,Paramètres!$A$1:$I$89,3,0)*VLOOKUP('Données projet'!$B$16,Paramètres!$A$1:$I$89,5,0)</f>
        <v>228.00960000000003</v>
      </c>
      <c r="FG101" s="14">
        <f t="shared" si="101"/>
        <v>55.852093054619829</v>
      </c>
      <c r="FH101" s="22">
        <f t="shared" si="76"/>
        <v>494.39244873679627</v>
      </c>
      <c r="FI101" s="60">
        <f t="shared" si="77"/>
        <v>772.49935160012774</v>
      </c>
      <c r="FJ101" s="60">
        <f ca="1">AVERAGE(OFFSET($FI$3,0,0,'Données projet'!$E$16+1,1))-AVERAGE(OFFSET($H$3,0,0,'Données projet'!$E$16+1,1))</f>
        <v>396.99335548279453</v>
      </c>
      <c r="FK101" s="60">
        <f t="shared" si="102"/>
        <v>388.89849573746335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65.847337144544937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4.6150000000000002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16.921666666666667</v>
      </c>
      <c r="H102" s="68">
        <f t="shared" si="56"/>
        <v>188.98000000000002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355.09999999999991</v>
      </c>
      <c r="O102" s="14">
        <f>N102*VLOOKUP('Données projet'!$B$9,Paramètres!$A$1:$I$89,3,0)*VLOOKUP('Données projet'!$B$9,Paramètres!$A$1:$I$89,5,0)</f>
        <v>321.29447999999991</v>
      </c>
      <c r="P102" s="14">
        <f t="shared" si="87"/>
        <v>75.622632084792471</v>
      </c>
      <c r="Q102" s="22">
        <f t="shared" si="107"/>
        <v>691.29730354767992</v>
      </c>
      <c r="R102" s="60">
        <f t="shared" si="55"/>
        <v>969.66835093846714</v>
      </c>
      <c r="S102" s="60">
        <f ca="1">AVERAGE(OFFSET($R$3,0,0,'Données projet'!$E$9+1,1))-AVERAGE(OFFSET($H$3,0,0,'Données projet'!$E$9+1,1))</f>
        <v>550.53475891182575</v>
      </c>
      <c r="T102" s="60">
        <f t="shared" si="88"/>
        <v>350.2500324347194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929.62592554890068</v>
      </c>
      <c r="AN102" s="60">
        <f ca="1">AVERAGE(OFFSET($AM$3,0,0,'Données projet'!$E$10+1,1))-AVERAGE(OFFSET($H$3,0,0,'Données projet'!$E$10+1,1))</f>
        <v>513.16577009788818</v>
      </c>
      <c r="AO102" s="60">
        <f t="shared" si="90"/>
        <v>289.37159333739146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-4.1677594708744434E-14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366.5170155168056</v>
      </c>
      <c r="BJ102" s="60">
        <f t="shared" si="92"/>
        <v>394.05057214541966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333.512642972663</v>
      </c>
      <c r="CE102" s="60">
        <f t="shared" si="94"/>
        <v>464.18634682168488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320.87483999999984</v>
      </c>
      <c r="CV102" s="14">
        <f t="shared" si="95"/>
        <v>75.535352205297585</v>
      </c>
      <c r="CW102" s="22">
        <f t="shared" si="67"/>
        <v>690.41441809089304</v>
      </c>
      <c r="CX102" s="60">
        <f t="shared" si="68"/>
        <v>968.78546548168026</v>
      </c>
      <c r="CY102" s="60">
        <f ca="1">AVERAGE(OFFSET($CX$3,0,0,'Données projet'!$E$13+1,1))-AVERAGE(OFFSET($H$3,0,0,'Données projet'!$E$13+1,1))</f>
        <v>539.76438066597848</v>
      </c>
      <c r="CZ102" s="60">
        <f t="shared" si="96"/>
        <v>303.47238367344937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288.32231999999988</v>
      </c>
      <c r="DQ102" s="14">
        <f t="shared" si="97"/>
        <v>68.722745094590621</v>
      </c>
      <c r="DR102" s="22">
        <f t="shared" si="70"/>
        <v>621.85348837307845</v>
      </c>
      <c r="DS102" s="60">
        <f t="shared" si="71"/>
        <v>900.22453576386567</v>
      </c>
      <c r="DT102" s="60">
        <f ca="1">AVERAGE(OFFSET($DS$3,0,0,'Données projet'!$E$14+1,1))-AVERAGE(OFFSET($H$3,0,0,'Données projet'!$E$14+1,1))</f>
        <v>493.19478874005267</v>
      </c>
      <c r="DU102" s="60">
        <f t="shared" si="98"/>
        <v>278.78337903007821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</v>
      </c>
      <c r="EJ102" s="13">
        <f>IF('Données projet'!$A$192&gt;35,EJ101+EI102-ER101,IF(A102&lt;'Données projet'!$A$192,$EG$205^A102,IF(A102='Données projet'!$A$192,'Données projet'!$B$192,EJ101+EI102-ER101)))</f>
        <v>464.99999999999977</v>
      </c>
      <c r="EK102" s="18">
        <f>EJ102*VLOOKUP('Données projet'!$B$15,Paramètres!$A$1:$I$89,3,0)*VLOOKUP('Données projet'!$B$15,Paramètres!$A$1:$I$89,5,0)</f>
        <v>398.96999999999986</v>
      </c>
      <c r="EL102" s="14">
        <f t="shared" si="99"/>
        <v>91.567817203825484</v>
      </c>
      <c r="EM102" s="22">
        <f t="shared" si="73"/>
        <v>854.35336496332911</v>
      </c>
      <c r="EN102" s="60">
        <f t="shared" si="74"/>
        <v>1132.7244123541163</v>
      </c>
      <c r="EO102" s="60">
        <f ca="1">AVERAGE(OFFSET($EN$3,0,0,'Données projet'!$E$15+1,1))-AVERAGE(OFFSET($H$3,0,0,'Données projet'!$E$15+1,1))</f>
        <v>698.30188737818639</v>
      </c>
      <c r="EP102" s="60">
        <f t="shared" si="100"/>
        <v>329.77977151358482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</v>
      </c>
      <c r="FE102" s="13">
        <f>IF('Données projet'!$A$218&gt;35,FE101+FD102-FM101,IF(A102&lt;'Données projet'!$A$218,$FB$205^A102,IF(A102='Données projet'!$A$218,'Données projet'!$B$218,FE101+FD102-FM101)))</f>
        <v>264</v>
      </c>
      <c r="FF102" s="18">
        <f>FE102*VLOOKUP('Données projet'!$B$16,Paramètres!$A$1:$I$89,3,0)*VLOOKUP('Données projet'!$B$16,Paramètres!$A$1:$I$89,5,0)</f>
        <v>230.63040000000001</v>
      </c>
      <c r="FG102" s="14">
        <f t="shared" si="101"/>
        <v>56.418967028503253</v>
      </c>
      <c r="FH102" s="22">
        <f t="shared" si="76"/>
        <v>499.94431424130977</v>
      </c>
      <c r="FI102" s="60">
        <f t="shared" si="77"/>
        <v>778.31536163209694</v>
      </c>
      <c r="FJ102" s="60">
        <f ca="1">AVERAGE(OFFSET($FI$3,0,0,'Données projet'!$E$16+1,1))-AVERAGE(OFFSET($H$3,0,0,'Données projet'!$E$16+1,1))</f>
        <v>396.99335548279453</v>
      </c>
      <c r="FK102" s="60">
        <f t="shared" si="102"/>
        <v>388.89849573746335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65.919376561123784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4.6150000000000002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16.921666666666667</v>
      </c>
      <c r="H103" s="68">
        <f t="shared" si="56"/>
        <v>188.98000000000002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360.99999999999989</v>
      </c>
      <c r="O103" s="14">
        <f>N103*VLOOKUP('Données projet'!$B$9,Paramètres!$A$1:$I$89,3,0)*VLOOKUP('Données projet'!$B$9,Paramètres!$A$1:$I$89,5,0)</f>
        <v>326.63279999999986</v>
      </c>
      <c r="P103" s="14">
        <f t="shared" si="87"/>
        <v>76.731784548754774</v>
      </c>
      <c r="Q103" s="22">
        <f t="shared" si="107"/>
        <v>702.52665142241437</v>
      </c>
      <c r="R103" s="60">
        <f t="shared" si="55"/>
        <v>981.15726102364465</v>
      </c>
      <c r="S103" s="60">
        <f ca="1">AVERAGE(OFFSET($R$3,0,0,'Données projet'!$E$9+1,1))-AVERAGE(OFFSET($H$3,0,0,'Données projet'!$E$9+1,1))</f>
        <v>550.53475891182575</v>
      </c>
      <c r="T103" s="60">
        <f t="shared" si="88"/>
        <v>350.2500324347194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940.34995219267512</v>
      </c>
      <c r="AN103" s="60">
        <f ca="1">AVERAGE(OFFSET($AM$3,0,0,'Données projet'!$E$10+1,1))-AVERAGE(OFFSET($H$3,0,0,'Données projet'!$E$10+1,1))</f>
        <v>513.16577009788818</v>
      </c>
      <c r="AO103" s="60">
        <f t="shared" si="90"/>
        <v>289.37159333739146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-4.1677594708744434E-14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366.5170155168056</v>
      </c>
      <c r="BJ103" s="60">
        <f t="shared" si="92"/>
        <v>394.05057214541966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333.512642972663</v>
      </c>
      <c r="CE103" s="60">
        <f t="shared" si="94"/>
        <v>464.18634682168488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326.14919999999984</v>
      </c>
      <c r="CV103" s="14">
        <f t="shared" si="95"/>
        <v>76.631393510479555</v>
      </c>
      <c r="CW103" s="22">
        <f t="shared" si="67"/>
        <v>701.50953369741819</v>
      </c>
      <c r="CX103" s="60">
        <f t="shared" si="68"/>
        <v>980.14014329864835</v>
      </c>
      <c r="CY103" s="60">
        <f ca="1">AVERAGE(OFFSET($CX$3,0,0,'Données projet'!$E$13+1,1))-AVERAGE(OFFSET($H$3,0,0,'Données projet'!$E$13+1,1))</f>
        <v>539.76438066597848</v>
      </c>
      <c r="CZ103" s="60">
        <f t="shared" si="96"/>
        <v>303.47238367344937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293.06159999999983</v>
      </c>
      <c r="DQ103" s="14">
        <f t="shared" si="97"/>
        <v>69.719933365116546</v>
      </c>
      <c r="DR103" s="22">
        <f t="shared" si="70"/>
        <v>631.84450394424437</v>
      </c>
      <c r="DS103" s="60">
        <f t="shared" si="71"/>
        <v>910.47511354547464</v>
      </c>
      <c r="DT103" s="60">
        <f ca="1">AVERAGE(OFFSET($DS$3,0,0,'Données projet'!$E$14+1,1))-AVERAGE(OFFSET($H$3,0,0,'Données projet'!$E$14+1,1))</f>
        <v>493.19478874005267</v>
      </c>
      <c r="DU103" s="60">
        <f t="shared" si="98"/>
        <v>278.78337903007821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8</v>
      </c>
      <c r="EJ103" s="13">
        <f>IF('Données projet'!$A$192&gt;35,EJ102+EI103-ER102,IF(A103&lt;'Données projet'!$A$192,$EG$205^A103,IF(A103='Données projet'!$A$192,'Données projet'!$B$192,EJ102+EI103-ER102)))</f>
        <v>472.99999999999977</v>
      </c>
      <c r="EK103" s="18">
        <f>EJ103*VLOOKUP('Données projet'!$B$15,Paramètres!$A$1:$I$89,3,0)*VLOOKUP('Données projet'!$B$15,Paramètres!$A$1:$I$89,5,0)</f>
        <v>405.83399999999989</v>
      </c>
      <c r="EL103" s="14">
        <f t="shared" si="99"/>
        <v>92.958420619932326</v>
      </c>
      <c r="EM103" s="22">
        <f t="shared" si="73"/>
        <v>868.73013257971525</v>
      </c>
      <c r="EN103" s="60">
        <f t="shared" si="74"/>
        <v>1147.3607421809454</v>
      </c>
      <c r="EO103" s="60">
        <f ca="1">AVERAGE(OFFSET($EN$3,0,0,'Données projet'!$E$15+1,1))-AVERAGE(OFFSET($H$3,0,0,'Données projet'!$E$15+1,1))</f>
        <v>698.30188737818639</v>
      </c>
      <c r="EP103" s="60">
        <f t="shared" si="100"/>
        <v>329.77977151358482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267</v>
      </c>
      <c r="FC103" s="13">
        <f>VLOOKUP(A103,'Données projet'!$A$217:$I$237,9,0)</f>
        <v>3</v>
      </c>
      <c r="FD103" s="13">
        <f t="array" ref="FD103">INDEX(FC:FC,MIN(IF(ISNUMBER(FC103:FC299),ROW(FC103:FC299),"")))</f>
        <v>3</v>
      </c>
      <c r="FE103" s="13">
        <f>IF('Données projet'!$A$218&gt;35,FE102+FD103-FM102,IF(A103&lt;'Données projet'!$A$218,$FB$205^A103,IF(A103='Données projet'!$A$218,'Données projet'!$B$218,FE102+FD103-FM102)))</f>
        <v>267</v>
      </c>
      <c r="FF103" s="18">
        <f>FE103*VLOOKUP('Données projet'!$B$16,Paramètres!$A$1:$I$89,3,0)*VLOOKUP('Données projet'!$B$16,Paramètres!$A$1:$I$89,5,0)</f>
        <v>233.25120000000001</v>
      </c>
      <c r="FG103" s="14">
        <f t="shared" si="101"/>
        <v>56.985091661350864</v>
      </c>
      <c r="FH103" s="22">
        <f t="shared" si="76"/>
        <v>505.49487464351938</v>
      </c>
      <c r="FI103" s="60">
        <f t="shared" si="77"/>
        <v>784.1254842447496</v>
      </c>
      <c r="FJ103" s="60">
        <f ca="1">AVERAGE(OFFSET($FI$3,0,0,'Données projet'!$E$16+1,1))-AVERAGE(OFFSET($H$3,0,0,'Données projet'!$E$16+1,1))</f>
        <v>396.99335548279453</v>
      </c>
      <c r="FK103" s="60">
        <f t="shared" si="102"/>
        <v>388.89849573746335</v>
      </c>
      <c r="FL103" s="16">
        <f>IF(ISNA(VLOOKUP(A103,'Données projet'!$A$217:$I$237,3,0)),0,VLOOKUP(A103,'Données projet'!$A$217:$I$237,3,0))</f>
        <v>9</v>
      </c>
      <c r="FM103" s="16">
        <f>IF(ISNA(VLOOKUP(A103,'Données projet'!$A$217:$I$237,4,0)),0,VLOOKUP(A103,'Données projet'!$A$217:$I$237,4,0))</f>
        <v>267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65.990166254880975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4.6150000000000002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16.921666666666667</v>
      </c>
      <c r="H104" s="68">
        <f t="shared" si="56"/>
        <v>188.98000000000002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311.19999999999987</v>
      </c>
      <c r="O104" s="14">
        <f>N104*VLOOKUP('Données projet'!$B$9,Paramètres!$A$1:$I$89,3,0)*VLOOKUP('Données projet'!$B$9,Paramètres!$A$1:$I$89,5,0)</f>
        <v>281.57375999999988</v>
      </c>
      <c r="P104" s="14">
        <f t="shared" si="87"/>
        <v>67.299481043334993</v>
      </c>
      <c r="Q104" s="22">
        <f t="shared" si="107"/>
        <v>607.62089481714156</v>
      </c>
      <c r="R104" s="60">
        <f t="shared" si="55"/>
        <v>886.50656380475789</v>
      </c>
      <c r="S104" s="60">
        <f ca="1">AVERAGE(OFFSET($R$3,0,0,'Données projet'!$E$9+1,1))-AVERAGE(OFFSET($H$3,0,0,'Données projet'!$E$9+1,1))</f>
        <v>550.53475891182575</v>
      </c>
      <c r="T104" s="60">
        <f t="shared" si="88"/>
        <v>350.2500324347194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860.21419036776592</v>
      </c>
      <c r="AN104" s="60">
        <f ca="1">AVERAGE(OFFSET($AM$3,0,0,'Données projet'!$E$10+1,1))-AVERAGE(OFFSET($H$3,0,0,'Données projet'!$E$10+1,1))</f>
        <v>513.16577009788818</v>
      </c>
      <c r="AO104" s="60">
        <f t="shared" si="90"/>
        <v>289.37159333739146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-4.1677594708744434E-14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366.5170155168056</v>
      </c>
      <c r="BJ104" s="60">
        <f t="shared" si="92"/>
        <v>394.05057214541966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333.512642972663</v>
      </c>
      <c r="CE104" s="60">
        <f t="shared" si="94"/>
        <v>464.18634682168488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285.67655999999977</v>
      </c>
      <c r="CV104" s="14">
        <f t="shared" si="95"/>
        <v>68.165224308258956</v>
      </c>
      <c r="CW104" s="22">
        <f t="shared" si="67"/>
        <v>616.27444100355058</v>
      </c>
      <c r="CX104" s="60">
        <f t="shared" si="68"/>
        <v>895.16010999116691</v>
      </c>
      <c r="CY104" s="60">
        <f ca="1">AVERAGE(OFFSET($CX$3,0,0,'Données projet'!$E$13+1,1))-AVERAGE(OFFSET($H$3,0,0,'Données projet'!$E$13+1,1))</f>
        <v>539.76438066597848</v>
      </c>
      <c r="CZ104" s="60">
        <f t="shared" si="96"/>
        <v>303.47238367344937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256.69487999999984</v>
      </c>
      <c r="DQ104" s="14">
        <f t="shared" si="97"/>
        <v>62.017336223177502</v>
      </c>
      <c r="DR104" s="22">
        <f t="shared" si="70"/>
        <v>555.09044325536718</v>
      </c>
      <c r="DS104" s="60">
        <f t="shared" si="71"/>
        <v>833.9761122429835</v>
      </c>
      <c r="DT104" s="60">
        <f ca="1">AVERAGE(OFFSET($DS$3,0,0,'Données projet'!$E$14+1,1))-AVERAGE(OFFSET($H$3,0,0,'Données projet'!$E$14+1,1))</f>
        <v>493.19478874005267</v>
      </c>
      <c r="DU104" s="60">
        <f t="shared" si="98"/>
        <v>278.78337903007821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8</v>
      </c>
      <c r="EJ104" s="13">
        <f>IF('Données projet'!$A$192&gt;35,EJ103+EI104-ER103,IF(A104&lt;'Données projet'!$A$192,$EG$205^A104,IF(A104='Données projet'!$A$192,'Données projet'!$B$192,EJ103+EI104-ER103)))</f>
        <v>480.99999999999977</v>
      </c>
      <c r="EK104" s="18">
        <f>EJ104*VLOOKUP('Données projet'!$B$15,Paramètres!$A$1:$I$89,3,0)*VLOOKUP('Données projet'!$B$15,Paramètres!$A$1:$I$89,5,0)</f>
        <v>412.69799999999987</v>
      </c>
      <c r="EL104" s="14">
        <f t="shared" si="99"/>
        <v>94.34628889591923</v>
      </c>
      <c r="EM104" s="22">
        <f t="shared" si="73"/>
        <v>883.10213649372565</v>
      </c>
      <c r="EN104" s="60">
        <f t="shared" si="74"/>
        <v>1161.9878054813421</v>
      </c>
      <c r="EO104" s="60">
        <f ca="1">AVERAGE(OFFSET($EN$3,0,0,'Données projet'!$E$15+1,1))-AVERAGE(OFFSET($H$3,0,0,'Données projet'!$E$15+1,1))</f>
        <v>698.30188737818639</v>
      </c>
      <c r="EP104" s="60">
        <f t="shared" si="100"/>
        <v>329.77977151358482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>
        <f>FE104*VLOOKUP('Données projet'!$B$16,Paramètres!$A$1:$I$89,3,0)*VLOOKUP('Données projet'!$B$16,Paramètres!$A$1:$I$89,5,0)</f>
        <v>0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396.99335548279453</v>
      </c>
      <c r="FK104" s="60">
        <f t="shared" si="102"/>
        <v>388.89849573746335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66.059727905713544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4.6150000000000002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16.921666666666667</v>
      </c>
      <c r="H105" s="68">
        <f t="shared" si="56"/>
        <v>188.98000000000002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316.39999999999986</v>
      </c>
      <c r="O105" s="14">
        <f>N105*VLOOKUP('Données projet'!$B$9,Paramètres!$A$1:$I$89,3,0)*VLOOKUP('Données projet'!$B$9,Paramètres!$A$1:$I$89,5,0)</f>
        <v>286.27871999999985</v>
      </c>
      <c r="P105" s="14">
        <f t="shared" si="87"/>
        <v>68.292165517667542</v>
      </c>
      <c r="Q105" s="22">
        <f t="shared" si="107"/>
        <v>617.5442922766041</v>
      </c>
      <c r="R105" s="60">
        <f t="shared" si="55"/>
        <v>896.68059594048009</v>
      </c>
      <c r="S105" s="60">
        <f ca="1">AVERAGE(OFFSET($R$3,0,0,'Données projet'!$E$9+1,1))-AVERAGE(OFFSET($H$3,0,0,'Données projet'!$E$9+1,1))</f>
        <v>550.53475891182575</v>
      </c>
      <c r="T105" s="60">
        <f t="shared" si="88"/>
        <v>350.2500324347194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869.88361456381108</v>
      </c>
      <c r="AN105" s="60">
        <f ca="1">AVERAGE(OFFSET($AM$3,0,0,'Données projet'!$E$10+1,1))-AVERAGE(OFFSET($H$3,0,0,'Données projet'!$E$10+1,1))</f>
        <v>513.16577009788818</v>
      </c>
      <c r="AO105" s="60">
        <f t="shared" si="90"/>
        <v>289.37159333739146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-4.1677594708744434E-14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366.5170155168056</v>
      </c>
      <c r="BJ105" s="60">
        <f t="shared" si="92"/>
        <v>394.05057214541966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333.512642972663</v>
      </c>
      <c r="CE105" s="60">
        <f t="shared" si="94"/>
        <v>464.18634682168488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290.41271999999975</v>
      </c>
      <c r="CV105" s="14">
        <f t="shared" si="95"/>
        <v>69.162817905044719</v>
      </c>
      <c r="CW105" s="22">
        <f t="shared" si="67"/>
        <v>626.26072851795254</v>
      </c>
      <c r="CX105" s="60">
        <f t="shared" si="68"/>
        <v>905.39703218182854</v>
      </c>
      <c r="CY105" s="60">
        <f ca="1">AVERAGE(OFFSET($CX$3,0,0,'Données projet'!$E$13+1,1))-AVERAGE(OFFSET($H$3,0,0,'Données projet'!$E$13+1,1))</f>
        <v>539.76438066597848</v>
      </c>
      <c r="CZ105" s="60">
        <f t="shared" si="96"/>
        <v>303.47238367344937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260.95055999999983</v>
      </c>
      <c r="DQ105" s="14">
        <f t="shared" si="97"/>
        <v>62.924955880176938</v>
      </c>
      <c r="DR105" s="22">
        <f t="shared" si="70"/>
        <v>564.08319015797451</v>
      </c>
      <c r="DS105" s="60">
        <f t="shared" si="71"/>
        <v>843.21949382185039</v>
      </c>
      <c r="DT105" s="60">
        <f ca="1">AVERAGE(OFFSET($DS$3,0,0,'Données projet'!$E$14+1,1))-AVERAGE(OFFSET($H$3,0,0,'Données projet'!$E$14+1,1))</f>
        <v>493.19478874005267</v>
      </c>
      <c r="DU105" s="60">
        <f t="shared" si="98"/>
        <v>278.78337903007821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8</v>
      </c>
      <c r="EJ105" s="13">
        <f>IF('Données projet'!$A$192&gt;35,EJ104+EI105-ER104,IF(A105&lt;'Données projet'!$A$192,$EG$205^A105,IF(A105='Données projet'!$A$192,'Données projet'!$B$192,EJ104+EI105-ER104)))</f>
        <v>488.99999999999977</v>
      </c>
      <c r="EK105" s="18">
        <f>EJ105*VLOOKUP('Données projet'!$B$15,Paramètres!$A$1:$I$89,3,0)*VLOOKUP('Données projet'!$B$15,Paramètres!$A$1:$I$89,5,0)</f>
        <v>419.56199999999984</v>
      </c>
      <c r="EL105" s="14">
        <f t="shared" si="99"/>
        <v>95.731472773408413</v>
      </c>
      <c r="EM105" s="22">
        <f t="shared" si="73"/>
        <v>897.46946508035262</v>
      </c>
      <c r="EN105" s="60">
        <f t="shared" si="74"/>
        <v>1176.6057687442285</v>
      </c>
      <c r="EO105" s="60">
        <f ca="1">AVERAGE(OFFSET($EN$3,0,0,'Données projet'!$E$15+1,1))-AVERAGE(OFFSET($H$3,0,0,'Données projet'!$E$15+1,1))</f>
        <v>698.30188737818639</v>
      </c>
      <c r="EP105" s="60">
        <f t="shared" si="100"/>
        <v>329.77977151358482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>
        <f>FE105*VLOOKUP('Données projet'!$B$16,Paramètres!$A$1:$I$89,3,0)*VLOOKUP('Données projet'!$B$16,Paramètres!$A$1:$I$89,5,0)</f>
        <v>0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396.99335548279453</v>
      </c>
      <c r="FK105" s="60">
        <f t="shared" si="102"/>
        <v>388.89849573746335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66.128082817420704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4.6150000000000002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16.921666666666667</v>
      </c>
      <c r="H106" s="68">
        <f t="shared" si="56"/>
        <v>188.98000000000002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321.59999999999985</v>
      </c>
      <c r="O106" s="14">
        <f>N106*VLOOKUP('Données projet'!$B$9,Paramètres!$A$1:$I$89,3,0)*VLOOKUP('Données projet'!$B$9,Paramètres!$A$1:$I$89,5,0)</f>
        <v>290.98367999999988</v>
      </c>
      <c r="P106" s="14">
        <f t="shared" si="87"/>
        <v>69.282952690245423</v>
      </c>
      <c r="Q106" s="22">
        <f t="shared" si="107"/>
        <v>627.46438526884378</v>
      </c>
      <c r="R106" s="60">
        <f t="shared" si="55"/>
        <v>906.84697565768147</v>
      </c>
      <c r="S106" s="60">
        <f ca="1">AVERAGE(OFFSET($R$3,0,0,'Données projet'!$E$9+1,1))-AVERAGE(OFFSET($H$3,0,0,'Données projet'!$E$9+1,1))</f>
        <v>550.53475891182575</v>
      </c>
      <c r="T106" s="60">
        <f t="shared" si="88"/>
        <v>350.2500324347194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879.54556491777885</v>
      </c>
      <c r="AN106" s="60">
        <f ca="1">AVERAGE(OFFSET($AM$3,0,0,'Données projet'!$E$10+1,1))-AVERAGE(OFFSET($H$3,0,0,'Données projet'!$E$10+1,1))</f>
        <v>513.16577009788818</v>
      </c>
      <c r="AO106" s="60">
        <f t="shared" si="90"/>
        <v>289.37159333739146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-4.1677594708744434E-14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366.5170155168056</v>
      </c>
      <c r="BJ106" s="60">
        <f t="shared" si="92"/>
        <v>394.05057214541966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333.512642972663</v>
      </c>
      <c r="CE106" s="60">
        <f t="shared" si="94"/>
        <v>464.18634682168488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295.14887999999974</v>
      </c>
      <c r="CV106" s="14">
        <f t="shared" si="95"/>
        <v>70.158519482479349</v>
      </c>
      <c r="CW106" s="22">
        <f t="shared" si="67"/>
        <v>636.24372076531768</v>
      </c>
      <c r="CX106" s="60">
        <f t="shared" si="68"/>
        <v>915.62631115415525</v>
      </c>
      <c r="CY106" s="60">
        <f ca="1">AVERAGE(OFFSET($CX$3,0,0,'Données projet'!$E$13+1,1))-AVERAGE(OFFSET($H$3,0,0,'Données projet'!$E$13+1,1))</f>
        <v>539.76438066597848</v>
      </c>
      <c r="CZ106" s="60">
        <f t="shared" si="96"/>
        <v>303.47238367344937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265.20623999999975</v>
      </c>
      <c r="DQ106" s="14">
        <f t="shared" si="97"/>
        <v>63.830854160896386</v>
      </c>
      <c r="DR106" s="22">
        <f t="shared" si="70"/>
        <v>573.07293899689409</v>
      </c>
      <c r="DS106" s="60">
        <f t="shared" si="71"/>
        <v>852.45552938573178</v>
      </c>
      <c r="DT106" s="60">
        <f ca="1">AVERAGE(OFFSET($DS$3,0,0,'Données projet'!$E$14+1,1))-AVERAGE(OFFSET($H$3,0,0,'Données projet'!$E$14+1,1))</f>
        <v>493.19478874005267</v>
      </c>
      <c r="DU106" s="60">
        <f t="shared" si="98"/>
        <v>278.78337903007821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8</v>
      </c>
      <c r="EJ106" s="13">
        <f>IF('Données projet'!$A$192&gt;35,EJ105+EI106-ER105,IF(A106&lt;'Données projet'!$A$192,$EG$205^A106,IF(A106='Données projet'!$A$192,'Données projet'!$B$192,EJ105+EI106-ER105)))</f>
        <v>496.99999999999977</v>
      </c>
      <c r="EK106" s="18">
        <f>EJ106*VLOOKUP('Données projet'!$B$15,Paramètres!$A$1:$I$89,3,0)*VLOOKUP('Données projet'!$B$15,Paramètres!$A$1:$I$89,5,0)</f>
        <v>426.42599999999987</v>
      </c>
      <c r="EL106" s="14">
        <f t="shared" si="99"/>
        <v>97.114021238574921</v>
      </c>
      <c r="EM106" s="22">
        <f t="shared" si="73"/>
        <v>911.83220365718444</v>
      </c>
      <c r="EN106" s="60">
        <f t="shared" si="74"/>
        <v>1191.214794046022</v>
      </c>
      <c r="EO106" s="60">
        <f ca="1">AVERAGE(OFFSET($EN$3,0,0,'Données projet'!$E$15+1,1))-AVERAGE(OFFSET($H$3,0,0,'Données projet'!$E$15+1,1))</f>
        <v>698.30188737818639</v>
      </c>
      <c r="EP106" s="60">
        <f t="shared" si="100"/>
        <v>329.77977151358482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>
        <f>FE106*VLOOKUP('Données projet'!$B$16,Paramètres!$A$1:$I$89,3,0)*VLOOKUP('Données projet'!$B$16,Paramètres!$A$1:$I$89,5,0)</f>
        <v>0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396.99335548279453</v>
      </c>
      <c r="FK106" s="60">
        <f t="shared" si="102"/>
        <v>388.89849573746335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66.195251924228444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4.6150000000000002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16.921666666666667</v>
      </c>
      <c r="H107" s="68">
        <f t="shared" si="56"/>
        <v>188.98000000000002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326.79999999999984</v>
      </c>
      <c r="O107" s="14">
        <f>N107*VLOOKUP('Données projet'!$B$9,Paramètres!$A$1:$I$89,3,0)*VLOOKUP('Données projet'!$B$9,Paramètres!$A$1:$I$89,5,0)</f>
        <v>295.68863999999985</v>
      </c>
      <c r="P107" s="14">
        <f t="shared" si="87"/>
        <v>70.271876780519676</v>
      </c>
      <c r="Q107" s="22">
        <f t="shared" si="107"/>
        <v>637.38123339273818</v>
      </c>
      <c r="R107" s="60">
        <f t="shared" si="55"/>
        <v>917.00583798247408</v>
      </c>
      <c r="S107" s="60">
        <f ca="1">AVERAGE(OFFSET($R$3,0,0,'Données projet'!$E$9+1,1))-AVERAGE(OFFSET($H$3,0,0,'Données projet'!$E$9+1,1))</f>
        <v>550.53475891182575</v>
      </c>
      <c r="T107" s="60">
        <f t="shared" si="88"/>
        <v>350.2500324347194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889.20017280829302</v>
      </c>
      <c r="AN107" s="60">
        <f ca="1">AVERAGE(OFFSET($AM$3,0,0,'Données projet'!$E$10+1,1))-AVERAGE(OFFSET($H$3,0,0,'Données projet'!$E$10+1,1))</f>
        <v>513.16577009788818</v>
      </c>
      <c r="AO107" s="60">
        <f t="shared" si="90"/>
        <v>289.37159333739146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-4.1677594708744434E-14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366.5170155168056</v>
      </c>
      <c r="BJ107" s="60">
        <f t="shared" si="92"/>
        <v>394.05057214541966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333.512642972663</v>
      </c>
      <c r="CE107" s="60">
        <f t="shared" si="94"/>
        <v>464.18634682168488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299.88503999999972</v>
      </c>
      <c r="CV107" s="14">
        <f t="shared" si="95"/>
        <v>71.152362906464575</v>
      </c>
      <c r="CW107" s="22">
        <f t="shared" si="67"/>
        <v>646.22347672875867</v>
      </c>
      <c r="CX107" s="60">
        <f t="shared" si="68"/>
        <v>925.84808131849468</v>
      </c>
      <c r="CY107" s="60">
        <f ca="1">AVERAGE(OFFSET($CX$3,0,0,'Données projet'!$E$13+1,1))-AVERAGE(OFFSET($H$3,0,0,'Données projet'!$E$13+1,1))</f>
        <v>539.76438066597848</v>
      </c>
      <c r="CZ107" s="60">
        <f t="shared" si="96"/>
        <v>303.47238367344937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269.46191999999974</v>
      </c>
      <c r="DQ107" s="14">
        <f t="shared" si="97"/>
        <v>64.735061876839055</v>
      </c>
      <c r="DR107" s="22">
        <f t="shared" si="70"/>
        <v>582.05974343549417</v>
      </c>
      <c r="DS107" s="60">
        <f t="shared" si="71"/>
        <v>861.68434802523007</v>
      </c>
      <c r="DT107" s="60">
        <f ca="1">AVERAGE(OFFSET($DS$3,0,0,'Données projet'!$E$14+1,1))-AVERAGE(OFFSET($H$3,0,0,'Données projet'!$E$14+1,1))</f>
        <v>493.19478874005267</v>
      </c>
      <c r="DU107" s="60">
        <f t="shared" si="98"/>
        <v>278.78337903007821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8</v>
      </c>
      <c r="EJ107" s="13">
        <f>IF('Données projet'!$A$192&gt;35,EJ106+EI107-ER106,IF(A107&lt;'Données projet'!$A$192,$EG$205^A107,IF(A107='Données projet'!$A$192,'Données projet'!$B$192,EJ106+EI107-ER106)))</f>
        <v>504.99999999999977</v>
      </c>
      <c r="EK107" s="18">
        <f>EJ107*VLOOKUP('Données projet'!$B$15,Paramètres!$A$1:$I$89,3,0)*VLOOKUP('Données projet'!$B$15,Paramètres!$A$1:$I$89,5,0)</f>
        <v>433.28999999999985</v>
      </c>
      <c r="EL107" s="14">
        <f t="shared" si="99"/>
        <v>98.493981610138761</v>
      </c>
      <c r="EM107" s="22">
        <f t="shared" si="73"/>
        <v>926.1904346376582</v>
      </c>
      <c r="EN107" s="60">
        <f t="shared" si="74"/>
        <v>1205.8150392273942</v>
      </c>
      <c r="EO107" s="60">
        <f ca="1">AVERAGE(OFFSET($EN$3,0,0,'Données projet'!$E$15+1,1))-AVERAGE(OFFSET($H$3,0,0,'Données projet'!$E$15+1,1))</f>
        <v>698.30188737818639</v>
      </c>
      <c r="EP107" s="60">
        <f t="shared" si="100"/>
        <v>329.77977151358482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>
        <f>FE107*VLOOKUP('Données projet'!$B$16,Paramètres!$A$1:$I$89,3,0)*VLOOKUP('Données projet'!$B$16,Paramètres!$A$1:$I$89,5,0)</f>
        <v>0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396.99335548279453</v>
      </c>
      <c r="FK107" s="60">
        <f t="shared" si="102"/>
        <v>388.89849573746335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66.261255797200704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4.6150000000000002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16.921666666666667</v>
      </c>
      <c r="H108" s="68">
        <f t="shared" si="56"/>
        <v>188.98000000000002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331.99999999999983</v>
      </c>
      <c r="O108" s="14">
        <f>N108*VLOOKUP('Données projet'!$B$9,Paramètres!$A$1:$I$89,3,0)*VLOOKUP('Données projet'!$B$9,Paramètres!$A$1:$I$89,5,0)</f>
        <v>300.39359999999982</v>
      </c>
      <c r="P108" s="14">
        <f t="shared" si="87"/>
        <v>71.258970856492667</v>
      </c>
      <c r="Q108" s="22">
        <f t="shared" si="107"/>
        <v>647.29489424172436</v>
      </c>
      <c r="R108" s="60">
        <f t="shared" si="55"/>
        <v>927.1573146270357</v>
      </c>
      <c r="S108" s="60">
        <f ca="1">AVERAGE(OFFSET($R$3,0,0,'Données projet'!$E$9+1,1))-AVERAGE(OFFSET($H$3,0,0,'Données projet'!$E$9+1,1))</f>
        <v>550.53475891182575</v>
      </c>
      <c r="T108" s="60">
        <f t="shared" si="88"/>
        <v>350.2500324347194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898.84756643680271</v>
      </c>
      <c r="AN108" s="60">
        <f ca="1">AVERAGE(OFFSET($AM$3,0,0,'Données projet'!$E$10+1,1))-AVERAGE(OFFSET($H$3,0,0,'Données projet'!$E$10+1,1))</f>
        <v>513.16577009788818</v>
      </c>
      <c r="AO108" s="60">
        <f t="shared" si="90"/>
        <v>289.37159333739146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-4.1677594708744434E-14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366.5170155168056</v>
      </c>
      <c r="BJ108" s="60">
        <f t="shared" si="92"/>
        <v>394.05057214541966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333.512642972663</v>
      </c>
      <c r="CE108" s="60">
        <f t="shared" si="94"/>
        <v>464.18634682168488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304.62119999999965</v>
      </c>
      <c r="CV108" s="14">
        <f t="shared" si="95"/>
        <v>72.144380911839335</v>
      </c>
      <c r="CW108" s="22">
        <f t="shared" si="67"/>
        <v>656.20005342145294</v>
      </c>
      <c r="CX108" s="60">
        <f t="shared" si="68"/>
        <v>936.06247380676427</v>
      </c>
      <c r="CY108" s="60">
        <f ca="1">AVERAGE(OFFSET($CX$3,0,0,'Données projet'!$E$13+1,1))-AVERAGE(OFFSET($H$3,0,0,'Données projet'!$E$13+1,1))</f>
        <v>539.76438066597848</v>
      </c>
      <c r="CZ108" s="60">
        <f t="shared" si="96"/>
        <v>303.47238367344937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273.71759999999972</v>
      </c>
      <c r="DQ108" s="14">
        <f t="shared" si="97"/>
        <v>65.637608810456612</v>
      </c>
      <c r="DR108" s="22">
        <f t="shared" si="70"/>
        <v>591.04365534487806</v>
      </c>
      <c r="DS108" s="60">
        <f t="shared" si="71"/>
        <v>870.90607573018929</v>
      </c>
      <c r="DT108" s="60">
        <f ca="1">AVERAGE(OFFSET($DS$3,0,0,'Données projet'!$E$14+1,1))-AVERAGE(OFFSET($H$3,0,0,'Données projet'!$E$14+1,1))</f>
        <v>493.19478874005267</v>
      </c>
      <c r="DU108" s="60">
        <f t="shared" si="98"/>
        <v>278.78337903007821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513</v>
      </c>
      <c r="EH108" s="13">
        <f>VLOOKUP(A108,'Données projet'!$A$191:$I$211,9,0)</f>
        <v>8</v>
      </c>
      <c r="EI108" s="13">
        <f t="array" ref="EI108">INDEX(EH:EH,MIN(IF(ISNUMBER(EH108:EH304),ROW(EH108:EH304),"")))</f>
        <v>8</v>
      </c>
      <c r="EJ108" s="13">
        <f>IF('Données projet'!$A$192&gt;35,EJ107+EI108-ER107,IF(A108&lt;'Données projet'!$A$192,$EG$205^A108,IF(A108='Données projet'!$A$192,'Données projet'!$B$192,EJ107+EI108-ER107)))</f>
        <v>512.99999999999977</v>
      </c>
      <c r="EK108" s="18">
        <f>EJ108*VLOOKUP('Données projet'!$B$15,Paramètres!$A$1:$I$89,3,0)*VLOOKUP('Données projet'!$B$15,Paramètres!$A$1:$I$89,5,0)</f>
        <v>440.15399999999988</v>
      </c>
      <c r="EL108" s="14">
        <f t="shared" si="99"/>
        <v>99.871399621623169</v>
      </c>
      <c r="EM108" s="22">
        <f t="shared" si="73"/>
        <v>940.54423767432684</v>
      </c>
      <c r="EN108" s="60">
        <f t="shared" si="74"/>
        <v>1220.4066580596382</v>
      </c>
      <c r="EO108" s="60">
        <f ca="1">AVERAGE(OFFSET($EN$3,0,0,'Données projet'!$E$15+1,1))-AVERAGE(OFFSET($H$3,0,0,'Données projet'!$E$15+1,1))</f>
        <v>698.30188737818639</v>
      </c>
      <c r="EP108" s="60">
        <f t="shared" si="100"/>
        <v>329.77977151358482</v>
      </c>
      <c r="EQ108" s="16">
        <f>IF(ISNA(VLOOKUP(A108,'Données projet'!$A$191:$I$211,3,0)),0,VLOOKUP(A108,'Données projet'!$A$191:$I$211,3,0))</f>
        <v>9</v>
      </c>
      <c r="ER108" s="16">
        <f>IF(ISNA(VLOOKUP(A108,'Données projet'!$A$191:$I$211,4,0)),0,VLOOKUP(A108,'Données projet'!$A$191:$I$211,4,0))</f>
        <v>57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>
        <f>FE108*VLOOKUP('Données projet'!$B$16,Paramètres!$A$1:$I$89,3,0)*VLOOKUP('Données projet'!$B$16,Paramètres!$A$1:$I$89,5,0)</f>
        <v>0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396.99335548279453</v>
      </c>
      <c r="FK108" s="60">
        <f t="shared" si="102"/>
        <v>388.89849573746335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66.326114650539438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4.6150000000000002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16.921666666666667</v>
      </c>
      <c r="H109" s="68">
        <f t="shared" si="56"/>
        <v>188.98000000000002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337.19999999999982</v>
      </c>
      <c r="O109" s="14">
        <f>N109*VLOOKUP('Données projet'!$B$9,Paramètres!$A$1:$I$89,3,0)*VLOOKUP('Données projet'!$B$9,Paramètres!$A$1:$I$89,5,0)</f>
        <v>305.09855999999985</v>
      </c>
      <c r="P109" s="14">
        <f t="shared" si="87"/>
        <v>72.244266890878791</v>
      </c>
      <c r="Q109" s="22">
        <f t="shared" si="107"/>
        <v>657.20542350161361</v>
      </c>
      <c r="R109" s="60">
        <f t="shared" si="55"/>
        <v>937.30153411012338</v>
      </c>
      <c r="S109" s="60">
        <f ca="1">AVERAGE(OFFSET($R$3,0,0,'Données projet'!$E$9+1,1))-AVERAGE(OFFSET($H$3,0,0,'Données projet'!$E$9+1,1))</f>
        <v>550.53475891182575</v>
      </c>
      <c r="T109" s="60">
        <f t="shared" si="88"/>
        <v>350.2500324347194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908.48787094075715</v>
      </c>
      <c r="AN109" s="60">
        <f ca="1">AVERAGE(OFFSET($AM$3,0,0,'Données projet'!$E$10+1,1))-AVERAGE(OFFSET($H$3,0,0,'Données projet'!$E$10+1,1))</f>
        <v>513.16577009788818</v>
      </c>
      <c r="AO109" s="60">
        <f t="shared" si="90"/>
        <v>289.37159333739146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-4.1677594708744434E-14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366.5170155168056</v>
      </c>
      <c r="BJ109" s="60">
        <f t="shared" si="92"/>
        <v>394.05057214541966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333.512642972663</v>
      </c>
      <c r="CE109" s="60">
        <f t="shared" si="94"/>
        <v>464.18634682168488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309.35735999999969</v>
      </c>
      <c r="CV109" s="14">
        <f t="shared" si="95"/>
        <v>73.134605157142161</v>
      </c>
      <c r="CW109" s="22">
        <f t="shared" si="67"/>
        <v>666.17350598202211</v>
      </c>
      <c r="CX109" s="60">
        <f t="shared" si="68"/>
        <v>946.269616590532</v>
      </c>
      <c r="CY109" s="60">
        <f ca="1">AVERAGE(OFFSET($CX$3,0,0,'Données projet'!$E$13+1,1))-AVERAGE(OFFSET($H$3,0,0,'Données projet'!$E$13+1,1))</f>
        <v>539.76438066597848</v>
      </c>
      <c r="CZ109" s="60">
        <f t="shared" si="96"/>
        <v>303.47238367344937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277.9732799999997</v>
      </c>
      <c r="DQ109" s="14">
        <f t="shared" si="97"/>
        <v>66.538523764973135</v>
      </c>
      <c r="DR109" s="22">
        <f t="shared" si="70"/>
        <v>600.0247248906611</v>
      </c>
      <c r="DS109" s="60">
        <f t="shared" si="71"/>
        <v>880.12083549917088</v>
      </c>
      <c r="DT109" s="60">
        <f ca="1">AVERAGE(OFFSET($DS$3,0,0,'Données projet'!$E$14+1,1))-AVERAGE(OFFSET($H$3,0,0,'Données projet'!$E$14+1,1))</f>
        <v>493.19478874005267</v>
      </c>
      <c r="DU109" s="60">
        <f t="shared" si="98"/>
        <v>278.78337903007821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7.2</v>
      </c>
      <c r="EJ109" s="13">
        <f>IF('Données projet'!$A$192&gt;35,EJ108+EI109-ER108,IF(A109&lt;'Données projet'!$A$192,$EG$205^A109,IF(A109='Données projet'!$A$192,'Données projet'!$B$192,EJ108+EI109-ER108)))</f>
        <v>463.19999999999982</v>
      </c>
      <c r="EK109" s="18">
        <f>EJ109*VLOOKUP('Données projet'!$B$15,Paramètres!$A$1:$I$89,3,0)*VLOOKUP('Données projet'!$B$15,Paramètres!$A$1:$I$89,5,0)</f>
        <v>397.42559999999992</v>
      </c>
      <c r="EL109" s="14">
        <f t="shared" si="99"/>
        <v>91.254549161190837</v>
      </c>
      <c r="EM109" s="22">
        <f t="shared" si="73"/>
        <v>851.11792645574042</v>
      </c>
      <c r="EN109" s="60">
        <f t="shared" si="74"/>
        <v>1131.2140370642503</v>
      </c>
      <c r="EO109" s="60">
        <f ca="1">AVERAGE(OFFSET($EN$3,0,0,'Données projet'!$E$15+1,1))-AVERAGE(OFFSET($H$3,0,0,'Données projet'!$E$15+1,1))</f>
        <v>698.30188737818639</v>
      </c>
      <c r="EP109" s="60">
        <f t="shared" si="100"/>
        <v>329.77977151358482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>
        <f>FE109*VLOOKUP('Données projet'!$B$16,Paramètres!$A$1:$I$89,3,0)*VLOOKUP('Données projet'!$B$16,Paramètres!$A$1:$I$89,5,0)</f>
        <v>0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396.99335548279453</v>
      </c>
      <c r="FK109" s="60">
        <f t="shared" si="102"/>
        <v>388.89849573746335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66.389848347775413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4.6150000000000002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16.921666666666667</v>
      </c>
      <c r="H110" s="68">
        <f t="shared" si="56"/>
        <v>188.98000000000002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342.39999999999981</v>
      </c>
      <c r="O110" s="14">
        <f>N110*VLOOKUP('Données projet'!$B$9,Paramètres!$A$1:$I$89,3,0)*VLOOKUP('Données projet'!$B$9,Paramètres!$A$1:$I$89,5,0)</f>
        <v>309.80351999999982</v>
      </c>
      <c r="P110" s="14">
        <f t="shared" si="87"/>
        <v>73.227795813703764</v>
      </c>
      <c r="Q110" s="22">
        <f t="shared" si="107"/>
        <v>667.11287504220047</v>
      </c>
      <c r="R110" s="60">
        <f t="shared" si="55"/>
        <v>947.43862187098955</v>
      </c>
      <c r="S110" s="60">
        <f ca="1">AVERAGE(OFFSET($R$3,0,0,'Données projet'!$E$9+1,1))-AVERAGE(OFFSET($H$3,0,0,'Données projet'!$E$9+1,1))</f>
        <v>550.53475891182575</v>
      </c>
      <c r="T110" s="60">
        <f t="shared" si="88"/>
        <v>350.2500324347194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918.12120850069152</v>
      </c>
      <c r="AN110" s="60">
        <f ca="1">AVERAGE(OFFSET($AM$3,0,0,'Données projet'!$E$10+1,1))-AVERAGE(OFFSET($H$3,0,0,'Données projet'!$E$10+1,1))</f>
        <v>513.16577009788818</v>
      </c>
      <c r="AO110" s="60">
        <f t="shared" si="90"/>
        <v>289.37159333739146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-4.1677594708744434E-14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366.5170155168056</v>
      </c>
      <c r="BJ110" s="60">
        <f t="shared" si="92"/>
        <v>394.05057214541966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333.512642972663</v>
      </c>
      <c r="CE110" s="60">
        <f t="shared" si="94"/>
        <v>464.18634682168488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314.09351999999961</v>
      </c>
      <c r="CV110" s="14">
        <f t="shared" si="95"/>
        <v>74.123066275924458</v>
      </c>
      <c r="CW110" s="22">
        <f t="shared" si="67"/>
        <v>676.14388776390103</v>
      </c>
      <c r="CX110" s="60">
        <f t="shared" si="68"/>
        <v>956.46963459269011</v>
      </c>
      <c r="CY110" s="60">
        <f ca="1">AVERAGE(OFFSET($CX$3,0,0,'Données projet'!$E$13+1,1))-AVERAGE(OFFSET($H$3,0,0,'Données projet'!$E$13+1,1))</f>
        <v>539.76438066597848</v>
      </c>
      <c r="CZ110" s="60">
        <f t="shared" si="96"/>
        <v>303.47238367344937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282.22895999999969</v>
      </c>
      <c r="DQ110" s="14">
        <f t="shared" si="97"/>
        <v>67.437834611070301</v>
      </c>
      <c r="DR110" s="22">
        <f t="shared" si="70"/>
        <v>609.00300061428027</v>
      </c>
      <c r="DS110" s="60">
        <f t="shared" si="71"/>
        <v>889.32874744306935</v>
      </c>
      <c r="DT110" s="60">
        <f ca="1">AVERAGE(OFFSET($DS$3,0,0,'Données projet'!$E$14+1,1))-AVERAGE(OFFSET($H$3,0,0,'Données projet'!$E$14+1,1))</f>
        <v>493.19478874005267</v>
      </c>
      <c r="DU110" s="60">
        <f t="shared" si="98"/>
        <v>278.78337903007821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7.2</v>
      </c>
      <c r="EJ110" s="13">
        <f>IF('Données projet'!$A$192&gt;35,EJ109+EI110-ER109,IF(A110&lt;'Données projet'!$A$192,$EG$205^A110,IF(A110='Données projet'!$A$192,'Données projet'!$B$192,EJ109+EI110-ER109)))</f>
        <v>470.39999999999981</v>
      </c>
      <c r="EK110" s="18">
        <f>EJ110*VLOOKUP('Données projet'!$B$15,Paramètres!$A$1:$I$89,3,0)*VLOOKUP('Données projet'!$B$15,Paramètres!$A$1:$I$89,5,0)</f>
        <v>403.6031999999999</v>
      </c>
      <c r="EL110" s="14">
        <f t="shared" si="99"/>
        <v>92.506777029734693</v>
      </c>
      <c r="EM110" s="22">
        <f t="shared" si="73"/>
        <v>864.0582099934544</v>
      </c>
      <c r="EN110" s="60">
        <f t="shared" si="74"/>
        <v>1144.3839568222434</v>
      </c>
      <c r="EO110" s="60">
        <f ca="1">AVERAGE(OFFSET($EN$3,0,0,'Données projet'!$E$15+1,1))-AVERAGE(OFFSET($H$3,0,0,'Données projet'!$E$15+1,1))</f>
        <v>698.30188737818639</v>
      </c>
      <c r="EP110" s="60">
        <f t="shared" si="100"/>
        <v>329.77977151358482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>
        <f>FE110*VLOOKUP('Données projet'!$B$16,Paramètres!$A$1:$I$89,3,0)*VLOOKUP('Données projet'!$B$16,Paramètres!$A$1:$I$89,5,0)</f>
        <v>0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396.99335548279453</v>
      </c>
      <c r="FK110" s="60">
        <f t="shared" si="102"/>
        <v>388.89849573746335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66.452476407851563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4.6150000000000002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16.921666666666667</v>
      </c>
      <c r="H111" s="68">
        <f t="shared" si="56"/>
        <v>188.98000000000002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347.5999999999998</v>
      </c>
      <c r="O111" s="14">
        <f>N111*VLOOKUP('Données projet'!$B$9,Paramètres!$A$1:$I$89,3,0)*VLOOKUP('Données projet'!$B$9,Paramètres!$A$1:$I$89,5,0)</f>
        <v>314.50847999999979</v>
      </c>
      <c r="P111" s="14">
        <f t="shared" si="87"/>
        <v>74.209587561617383</v>
      </c>
      <c r="Q111" s="22">
        <f t="shared" si="107"/>
        <v>677.01730100315001</v>
      </c>
      <c r="R111" s="60">
        <f t="shared" si="55"/>
        <v>957.56870037718613</v>
      </c>
      <c r="S111" s="60">
        <f ca="1">AVERAGE(OFFSET($R$3,0,0,'Données projet'!$E$9+1,1))-AVERAGE(OFFSET($H$3,0,0,'Données projet'!$E$9+1,1))</f>
        <v>550.53475891182575</v>
      </c>
      <c r="T111" s="60">
        <f t="shared" si="88"/>
        <v>350.2500324347194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927.74769844166076</v>
      </c>
      <c r="AN111" s="60">
        <f ca="1">AVERAGE(OFFSET($AM$3,0,0,'Données projet'!$E$10+1,1))-AVERAGE(OFFSET($H$3,0,0,'Données projet'!$E$10+1,1))</f>
        <v>513.16577009788818</v>
      </c>
      <c r="AO111" s="60">
        <f t="shared" si="90"/>
        <v>289.37159333739146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-4.1677594708744434E-14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366.5170155168056</v>
      </c>
      <c r="BJ111" s="60">
        <f t="shared" si="92"/>
        <v>394.05057214541966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333.512642972663</v>
      </c>
      <c r="CE111" s="60">
        <f t="shared" si="94"/>
        <v>464.18634682168488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318.8296799999996</v>
      </c>
      <c r="CV111" s="14">
        <f t="shared" si="95"/>
        <v>75.109793924882112</v>
      </c>
      <c r="CW111" s="22">
        <f t="shared" si="67"/>
        <v>686.11125041916887</v>
      </c>
      <c r="CX111" s="60">
        <f t="shared" si="68"/>
        <v>966.66264979320499</v>
      </c>
      <c r="CY111" s="60">
        <f ca="1">AVERAGE(OFFSET($CX$3,0,0,'Données projet'!$E$13+1,1))-AVERAGE(OFFSET($H$3,0,0,'Données projet'!$E$13+1,1))</f>
        <v>539.76438066597848</v>
      </c>
      <c r="CZ111" s="60">
        <f t="shared" si="96"/>
        <v>303.47238367344937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286.48463999999967</v>
      </c>
      <c r="DQ111" s="14">
        <f t="shared" si="97"/>
        <v>68.335568330677432</v>
      </c>
      <c r="DR111" s="22">
        <f t="shared" si="70"/>
        <v>617.97852950926267</v>
      </c>
      <c r="DS111" s="60">
        <f t="shared" si="71"/>
        <v>898.52992888329868</v>
      </c>
      <c r="DT111" s="60">
        <f ca="1">AVERAGE(OFFSET($DS$3,0,0,'Données projet'!$E$14+1,1))-AVERAGE(OFFSET($H$3,0,0,'Données projet'!$E$14+1,1))</f>
        <v>493.19478874005267</v>
      </c>
      <c r="DU111" s="60">
        <f t="shared" si="98"/>
        <v>278.78337903007821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7.2</v>
      </c>
      <c r="EJ111" s="13">
        <f>IF('Données projet'!$A$192&gt;35,EJ110+EI111-ER110,IF(A111&lt;'Données projet'!$A$192,$EG$205^A111,IF(A111='Données projet'!$A$192,'Données projet'!$B$192,EJ110+EI111-ER110)))</f>
        <v>477.5999999999998</v>
      </c>
      <c r="EK111" s="18">
        <f>EJ111*VLOOKUP('Données projet'!$B$15,Paramètres!$A$1:$I$89,3,0)*VLOOKUP('Données projet'!$B$15,Paramètres!$A$1:$I$89,5,0)</f>
        <v>409.78079999999983</v>
      </c>
      <c r="EL111" s="14">
        <f t="shared" si="99"/>
        <v>93.756775782431959</v>
      </c>
      <c r="EM111" s="22">
        <f t="shared" si="73"/>
        <v>876.99461115440192</v>
      </c>
      <c r="EN111" s="60">
        <f t="shared" si="74"/>
        <v>1157.546010528438</v>
      </c>
      <c r="EO111" s="60">
        <f ca="1">AVERAGE(OFFSET($EN$3,0,0,'Données projet'!$E$15+1,1))-AVERAGE(OFFSET($H$3,0,0,'Données projet'!$E$15+1,1))</f>
        <v>698.30188737818639</v>
      </c>
      <c r="EP111" s="60">
        <f t="shared" si="100"/>
        <v>329.77977151358482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>
        <f>FE111*VLOOKUP('Données projet'!$B$16,Paramètres!$A$1:$I$89,3,0)*VLOOKUP('Données projet'!$B$16,Paramètres!$A$1:$I$89,5,0)</f>
        <v>0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396.99335548279453</v>
      </c>
      <c r="FK111" s="60">
        <f t="shared" si="102"/>
        <v>388.89849573746335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66.514018011100745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4.6150000000000002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16.921666666666667</v>
      </c>
      <c r="H112" s="68">
        <f t="shared" si="56"/>
        <v>188.98000000000002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352.79999999999978</v>
      </c>
      <c r="O112" s="14">
        <f>N112*VLOOKUP('Données projet'!$B$9,Paramètres!$A$1:$I$89,3,0)*VLOOKUP('Données projet'!$B$9,Paramètres!$A$1:$I$89,5,0)</f>
        <v>319.21343999999976</v>
      </c>
      <c r="P112" s="14">
        <f t="shared" si="87"/>
        <v>75.189671124171639</v>
      </c>
      <c r="Q112" s="22">
        <f t="shared" si="107"/>
        <v>686.91875187459846</v>
      </c>
      <c r="R112" s="60">
        <f t="shared" si="55"/>
        <v>967.69188922670492</v>
      </c>
      <c r="S112" s="60">
        <f ca="1">AVERAGE(OFFSET($R$3,0,0,'Données projet'!$E$9+1,1))-AVERAGE(OFFSET($H$3,0,0,'Données projet'!$E$9+1,1))</f>
        <v>550.53475891182575</v>
      </c>
      <c r="T112" s="60">
        <f t="shared" si="88"/>
        <v>350.2500324347194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937.36745732944155</v>
      </c>
      <c r="AN112" s="60">
        <f ca="1">AVERAGE(OFFSET($AM$3,0,0,'Données projet'!$E$10+1,1))-AVERAGE(OFFSET($H$3,0,0,'Données projet'!$E$10+1,1))</f>
        <v>513.16577009788818</v>
      </c>
      <c r="AO112" s="60">
        <f t="shared" si="90"/>
        <v>289.37159333739146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-4.1677594708744434E-14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366.5170155168056</v>
      </c>
      <c r="BJ112" s="60">
        <f t="shared" si="92"/>
        <v>394.05057214541966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333.512642972663</v>
      </c>
      <c r="CE112" s="60">
        <f t="shared" si="94"/>
        <v>464.18634682168488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323.56583999999958</v>
      </c>
      <c r="CV112" s="14">
        <f t="shared" si="95"/>
        <v>76.094816829044248</v>
      </c>
      <c r="CW112" s="22">
        <f t="shared" si="67"/>
        <v>696.07564397725127</v>
      </c>
      <c r="CX112" s="60">
        <f t="shared" si="68"/>
        <v>976.84878132935773</v>
      </c>
      <c r="CY112" s="60">
        <f ca="1">AVERAGE(OFFSET($CX$3,0,0,'Données projet'!$E$13+1,1))-AVERAGE(OFFSET($H$3,0,0,'Données projet'!$E$13+1,1))</f>
        <v>539.76438066597848</v>
      </c>
      <c r="CZ112" s="60">
        <f t="shared" si="96"/>
        <v>303.47238367344937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290.74031999999966</v>
      </c>
      <c r="DQ112" s="14">
        <f t="shared" si="97"/>
        <v>69.231751058085507</v>
      </c>
      <c r="DR112" s="22">
        <f t="shared" si="70"/>
        <v>626.95135709283159</v>
      </c>
      <c r="DS112" s="60">
        <f t="shared" si="71"/>
        <v>907.72449444493805</v>
      </c>
      <c r="DT112" s="60">
        <f ca="1">AVERAGE(OFFSET($DS$3,0,0,'Données projet'!$E$14+1,1))-AVERAGE(OFFSET($H$3,0,0,'Données projet'!$E$14+1,1))</f>
        <v>493.19478874005267</v>
      </c>
      <c r="DU112" s="60">
        <f t="shared" si="98"/>
        <v>278.78337903007821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7.2</v>
      </c>
      <c r="EJ112" s="13">
        <f>IF('Données projet'!$A$192&gt;35,EJ111+EI112-ER111,IF(A112&lt;'Données projet'!$A$192,$EG$205^A112,IF(A112='Données projet'!$A$192,'Données projet'!$B$192,EJ111+EI112-ER111)))</f>
        <v>484.79999999999978</v>
      </c>
      <c r="EK112" s="18">
        <f>EJ112*VLOOKUP('Données projet'!$B$15,Paramètres!$A$1:$I$89,3,0)*VLOOKUP('Données projet'!$B$15,Paramètres!$A$1:$I$89,5,0)</f>
        <v>415.95839999999993</v>
      </c>
      <c r="EL112" s="14">
        <f t="shared" si="99"/>
        <v>95.00458290560033</v>
      </c>
      <c r="EM112" s="22">
        <f t="shared" si="73"/>
        <v>889.92719522725372</v>
      </c>
      <c r="EN112" s="60">
        <f t="shared" si="74"/>
        <v>1170.7003325793603</v>
      </c>
      <c r="EO112" s="60">
        <f ca="1">AVERAGE(OFFSET($EN$3,0,0,'Données projet'!$E$15+1,1))-AVERAGE(OFFSET($H$3,0,0,'Données projet'!$E$15+1,1))</f>
        <v>698.30188737818639</v>
      </c>
      <c r="EP112" s="60">
        <f t="shared" si="100"/>
        <v>329.77977151358482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>
        <f>FE112*VLOOKUP('Données projet'!$B$16,Paramètres!$A$1:$I$89,3,0)*VLOOKUP('Données projet'!$B$16,Paramètres!$A$1:$I$89,5,0)</f>
        <v>0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396.99335548279453</v>
      </c>
      <c r="FK112" s="60">
        <f t="shared" si="102"/>
        <v>388.89849573746335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66.574492005119964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4.6150000000000002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16.921666666666667</v>
      </c>
      <c r="H113" s="68">
        <f t="shared" si="56"/>
        <v>188.98000000000002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358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357.99999999999977</v>
      </c>
      <c r="O113" s="14">
        <f>N113*VLOOKUP('Données projet'!$B$9,Paramètres!$A$1:$I$89,3,0)*VLOOKUP('Données projet'!$B$9,Paramètres!$A$1:$I$89,5,0)</f>
        <v>323.91839999999979</v>
      </c>
      <c r="P113" s="14">
        <f t="shared" si="87"/>
        <v>76.168074587293034</v>
      </c>
      <c r="Q113" s="22">
        <f t="shared" si="107"/>
        <v>696.81727657286831</v>
      </c>
      <c r="R113" s="60">
        <f t="shared" si="55"/>
        <v>977.80830524485759</v>
      </c>
      <c r="S113" s="60">
        <f ca="1">AVERAGE(OFFSET($R$3,0,0,'Données projet'!$E$9+1,1))-AVERAGE(OFFSET($H$3,0,0,'Données projet'!$E$9+1,1))</f>
        <v>550.53475891182575</v>
      </c>
      <c r="T113" s="60">
        <f t="shared" si="88"/>
        <v>350.2500324347194</v>
      </c>
      <c r="U113" s="16">
        <f>IF(ISNA(VLOOKUP(A113,'Données projet'!$A$35:$I$55,3,0)),0,VLOOKUP(A113,'Données projet'!$A$35:$I$55,3,0))</f>
        <v>10</v>
      </c>
      <c r="V113" s="16">
        <f>IF(ISNA(VLOOKUP(A113,'Données projet'!$A$35:$I$55,4,0)),0,VLOOKUP(A113,'Données projet'!$A$35:$I$55,4,0))</f>
        <v>51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946.98059906186018</v>
      </c>
      <c r="AN113" s="60">
        <f ca="1">AVERAGE(OFFSET($AM$3,0,0,'Données projet'!$E$10+1,1))-AVERAGE(OFFSET($H$3,0,0,'Données projet'!$E$10+1,1))</f>
        <v>513.16577009788818</v>
      </c>
      <c r="AO113" s="60">
        <f t="shared" si="90"/>
        <v>289.37159333739146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-4.1677594708744434E-14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366.5170155168056</v>
      </c>
      <c r="BJ113" s="60">
        <f t="shared" si="92"/>
        <v>394.05057214541966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333.512642972663</v>
      </c>
      <c r="CE113" s="60">
        <f t="shared" si="94"/>
        <v>464.18634682168488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328.30199999999957</v>
      </c>
      <c r="CV113" s="14">
        <f t="shared" si="95"/>
        <v>77.078162824242781</v>
      </c>
      <c r="CW113" s="22">
        <f t="shared" si="67"/>
        <v>706.03711691888873</v>
      </c>
      <c r="CX113" s="60">
        <f t="shared" si="68"/>
        <v>987.02814559087801</v>
      </c>
      <c r="CY113" s="60">
        <f ca="1">AVERAGE(OFFSET($CX$3,0,0,'Données projet'!$E$13+1,1))-AVERAGE(OFFSET($H$3,0,0,'Données projet'!$E$13+1,1))</f>
        <v>539.76438066597848</v>
      </c>
      <c r="CZ113" s="60">
        <f t="shared" si="96"/>
        <v>303.47238367344937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294.99599999999958</v>
      </c>
      <c r="DQ113" s="14">
        <f t="shared" si="97"/>
        <v>70.126408118585317</v>
      </c>
      <c r="DR113" s="22">
        <f t="shared" si="70"/>
        <v>635.92152747320199</v>
      </c>
      <c r="DS113" s="60">
        <f t="shared" si="71"/>
        <v>916.91255614519127</v>
      </c>
      <c r="DT113" s="60">
        <f ca="1">AVERAGE(OFFSET($DS$3,0,0,'Données projet'!$E$14+1,1))-AVERAGE(OFFSET($H$3,0,0,'Données projet'!$E$14+1,1))</f>
        <v>493.19478874005267</v>
      </c>
      <c r="DU113" s="60">
        <f t="shared" si="98"/>
        <v>278.78337903007821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7.2</v>
      </c>
      <c r="EJ113" s="13">
        <f>IF('Données projet'!$A$192&gt;35,EJ112+EI113-ER112,IF(A113&lt;'Données projet'!$A$192,$EG$205^A113,IF(A113='Données projet'!$A$192,'Données projet'!$B$192,EJ112+EI113-ER112)))</f>
        <v>491.99999999999977</v>
      </c>
      <c r="EK113" s="18">
        <f>EJ113*VLOOKUP('Données projet'!$B$15,Paramètres!$A$1:$I$89,3,0)*VLOOKUP('Données projet'!$B$15,Paramètres!$A$1:$I$89,5,0)</f>
        <v>422.13599999999985</v>
      </c>
      <c r="EL113" s="14">
        <f t="shared" si="99"/>
        <v>96.25023470818816</v>
      </c>
      <c r="EM113" s="22">
        <f t="shared" si="73"/>
        <v>902.85602545009397</v>
      </c>
      <c r="EN113" s="60">
        <f t="shared" si="74"/>
        <v>1183.8470541220834</v>
      </c>
      <c r="EO113" s="60">
        <f ca="1">AVERAGE(OFFSET($EN$3,0,0,'Données projet'!$E$15+1,1))-AVERAGE(OFFSET($H$3,0,0,'Données projet'!$E$15+1,1))</f>
        <v>698.30188737818639</v>
      </c>
      <c r="EP113" s="60">
        <f t="shared" si="100"/>
        <v>329.77977151358482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>
        <f>FE113*VLOOKUP('Données projet'!$B$16,Paramètres!$A$1:$I$89,3,0)*VLOOKUP('Données projet'!$B$16,Paramètres!$A$1:$I$89,5,0)</f>
        <v>0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396.99335548279453</v>
      </c>
      <c r="FK113" s="60">
        <f t="shared" si="102"/>
        <v>388.89849573746335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66.633916910542553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4.6150000000000002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16.921666666666667</v>
      </c>
      <c r="H114" s="68">
        <f t="shared" si="56"/>
        <v>188.98000000000002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311.49999999999977</v>
      </c>
      <c r="O114" s="14">
        <f>N114*VLOOKUP('Données projet'!$B$9,Paramètres!$A$1:$I$89,3,0)*VLOOKUP('Données projet'!$B$9,Paramètres!$A$1:$I$89,5,0)</f>
        <v>281.84519999999975</v>
      </c>
      <c r="P114" s="14">
        <f t="shared" si="87"/>
        <v>67.356803491560427</v>
      </c>
      <c r="Q114" s="22">
        <f t="shared" si="107"/>
        <v>608.19348941446731</v>
      </c>
      <c r="R114" s="60">
        <f t="shared" si="55"/>
        <v>889.39862947907159</v>
      </c>
      <c r="S114" s="60">
        <f ca="1">AVERAGE(OFFSET($R$3,0,0,'Données projet'!$E$9+1,1))-AVERAGE(OFFSET($H$3,0,0,'Données projet'!$E$9+1,1))</f>
        <v>550.53475891182575</v>
      </c>
      <c r="T114" s="60">
        <f t="shared" si="88"/>
        <v>350.2500324347194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871.73842249605605</v>
      </c>
      <c r="AN114" s="60">
        <f ca="1">AVERAGE(OFFSET($AM$3,0,0,'Données projet'!$E$10+1,1))-AVERAGE(OFFSET($H$3,0,0,'Données projet'!$E$10+1,1))</f>
        <v>513.16577009788818</v>
      </c>
      <c r="AO114" s="60">
        <f t="shared" si="90"/>
        <v>289.37159333739146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-4.1677594708744434E-14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366.5170155168056</v>
      </c>
      <c r="BJ114" s="60">
        <f t="shared" si="92"/>
        <v>394.05057214541966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333.512642972663</v>
      </c>
      <c r="CE114" s="60">
        <f t="shared" si="94"/>
        <v>464.18634682168488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290.30507999999958</v>
      </c>
      <c r="CV114" s="14">
        <f t="shared" si="95"/>
        <v>69.140166465323375</v>
      </c>
      <c r="CW114" s="22">
        <f t="shared" si="67"/>
        <v>626.03380426043748</v>
      </c>
      <c r="CX114" s="60">
        <f t="shared" si="68"/>
        <v>907.23894432504176</v>
      </c>
      <c r="CY114" s="60">
        <f ca="1">AVERAGE(OFFSET($CX$3,0,0,'Données projet'!$E$13+1,1))-AVERAGE(OFFSET($H$3,0,0,'Données projet'!$E$13+1,1))</f>
        <v>539.76438066597848</v>
      </c>
      <c r="CZ114" s="60">
        <f t="shared" si="96"/>
        <v>303.47238367344937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260.85383999999959</v>
      </c>
      <c r="DQ114" s="14">
        <f t="shared" si="97"/>
        <v>62.904347395903649</v>
      </c>
      <c r="DR114" s="22">
        <f t="shared" si="70"/>
        <v>563.87884304786473</v>
      </c>
      <c r="DS114" s="60">
        <f t="shared" si="71"/>
        <v>845.08398311246901</v>
      </c>
      <c r="DT114" s="60">
        <f ca="1">AVERAGE(OFFSET($DS$3,0,0,'Données projet'!$E$14+1,1))-AVERAGE(OFFSET($H$3,0,0,'Données projet'!$E$14+1,1))</f>
        <v>493.19478874005267</v>
      </c>
      <c r="DU114" s="60">
        <f t="shared" si="98"/>
        <v>278.78337903007821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7.2</v>
      </c>
      <c r="EJ114" s="13">
        <f>IF('Données projet'!$A$192&gt;35,EJ113+EI114-ER113,IF(A114&lt;'Données projet'!$A$192,$EG$205^A114,IF(A114='Données projet'!$A$192,'Données projet'!$B$192,EJ113+EI114-ER113)))</f>
        <v>499.19999999999976</v>
      </c>
      <c r="EK114" s="18">
        <f>EJ114*VLOOKUP('Données projet'!$B$15,Paramètres!$A$1:$I$89,3,0)*VLOOKUP('Données projet'!$B$15,Paramètres!$A$1:$I$89,5,0)</f>
        <v>428.31359999999984</v>
      </c>
      <c r="EL114" s="14">
        <f t="shared" si="99"/>
        <v>97.493766375431449</v>
      </c>
      <c r="EM114" s="22">
        <f t="shared" si="73"/>
        <v>915.78116310387611</v>
      </c>
      <c r="EN114" s="60">
        <f t="shared" si="74"/>
        <v>1196.9863031684804</v>
      </c>
      <c r="EO114" s="60">
        <f ca="1">AVERAGE(OFFSET($EN$3,0,0,'Données projet'!$E$15+1,1))-AVERAGE(OFFSET($H$3,0,0,'Données projet'!$E$15+1,1))</f>
        <v>698.30188737818639</v>
      </c>
      <c r="EP114" s="60">
        <f t="shared" si="100"/>
        <v>329.77977151358482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396.99335548279453</v>
      </c>
      <c r="FK114" s="60">
        <f t="shared" si="102"/>
        <v>388.89849573746335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66.692310926710235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4.6150000000000002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16.921666666666667</v>
      </c>
      <c r="H115" s="68">
        <f t="shared" si="56"/>
        <v>188.98000000000002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315.99999999999977</v>
      </c>
      <c r="O115" s="14">
        <f>N115*VLOOKUP('Données projet'!$B$9,Paramètres!$A$1:$I$89,3,0)*VLOOKUP('Données projet'!$B$9,Paramètres!$A$1:$I$89,5,0)</f>
        <v>285.9167999999998</v>
      </c>
      <c r="P115" s="14">
        <f t="shared" si="87"/>
        <v>68.215872977287475</v>
      </c>
      <c r="Q115" s="22">
        <f t="shared" si="107"/>
        <v>616.78107210210862</v>
      </c>
      <c r="R115" s="60">
        <f t="shared" si="55"/>
        <v>898.19660920534716</v>
      </c>
      <c r="S115" s="60">
        <f ca="1">AVERAGE(OFFSET($R$3,0,0,'Données projet'!$E$9+1,1))-AVERAGE(OFFSET($H$3,0,0,'Données projet'!$E$9+1,1))</f>
        <v>550.53475891182575</v>
      </c>
      <c r="T115" s="60">
        <f t="shared" si="88"/>
        <v>350.2500324347194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879.86680274715559</v>
      </c>
      <c r="AN115" s="60">
        <f ca="1">AVERAGE(OFFSET($AM$3,0,0,'Données projet'!$E$10+1,1))-AVERAGE(OFFSET($H$3,0,0,'Données projet'!$E$10+1,1))</f>
        <v>513.16577009788818</v>
      </c>
      <c r="AO115" s="60">
        <f t="shared" si="90"/>
        <v>289.37159333739146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-4.1677594708744434E-14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366.5170155168056</v>
      </c>
      <c r="BJ115" s="60">
        <f t="shared" si="92"/>
        <v>394.05057214541966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333.512642972663</v>
      </c>
      <c r="CE115" s="60">
        <f t="shared" si="94"/>
        <v>464.18634682168488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294.28775999999954</v>
      </c>
      <c r="CV115" s="14">
        <f t="shared" si="95"/>
        <v>69.977622018717668</v>
      </c>
      <c r="CW115" s="22">
        <f t="shared" si="67"/>
        <v>634.42887368259915</v>
      </c>
      <c r="CX115" s="60">
        <f t="shared" si="68"/>
        <v>915.84441078583768</v>
      </c>
      <c r="CY115" s="60">
        <f ca="1">AVERAGE(OFFSET($CX$3,0,0,'Données projet'!$E$13+1,1))-AVERAGE(OFFSET($H$3,0,0,'Données projet'!$E$13+1,1))</f>
        <v>539.76438066597848</v>
      </c>
      <c r="CZ115" s="60">
        <f t="shared" si="96"/>
        <v>303.47238367344937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264.4324799999996</v>
      </c>
      <c r="DQ115" s="14">
        <f t="shared" si="97"/>
        <v>63.666272015882292</v>
      </c>
      <c r="DR115" s="22">
        <f t="shared" si="70"/>
        <v>571.43865976099426</v>
      </c>
      <c r="DS115" s="60">
        <f t="shared" si="71"/>
        <v>852.85419686423279</v>
      </c>
      <c r="DT115" s="60">
        <f ca="1">AVERAGE(OFFSET($DS$3,0,0,'Données projet'!$E$14+1,1))-AVERAGE(OFFSET($H$3,0,0,'Données projet'!$E$14+1,1))</f>
        <v>493.19478874005267</v>
      </c>
      <c r="DU115" s="60">
        <f t="shared" si="98"/>
        <v>278.78337903007821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7.2</v>
      </c>
      <c r="EJ115" s="13">
        <f>IF('Données projet'!$A$192&gt;35,EJ114+EI115-ER114,IF(A115&lt;'Données projet'!$A$192,$EG$205^A115,IF(A115='Données projet'!$A$192,'Données projet'!$B$192,EJ114+EI115-ER114)))</f>
        <v>506.39999999999975</v>
      </c>
      <c r="EK115" s="18">
        <f>EJ115*VLOOKUP('Données projet'!$B$15,Paramètres!$A$1:$I$89,3,0)*VLOOKUP('Données projet'!$B$15,Paramètres!$A$1:$I$89,5,0)</f>
        <v>434.49119999999982</v>
      </c>
      <c r="EL115" s="14">
        <f t="shared" si="99"/>
        <v>98.735212019326795</v>
      </c>
      <c r="EM115" s="22">
        <f t="shared" si="73"/>
        <v>928.70266760032712</v>
      </c>
      <c r="EN115" s="60">
        <f t="shared" si="74"/>
        <v>1210.1182047035657</v>
      </c>
      <c r="EO115" s="60">
        <f ca="1">AVERAGE(OFFSET($EN$3,0,0,'Données projet'!$E$15+1,1))-AVERAGE(OFFSET($H$3,0,0,'Données projet'!$E$15+1,1))</f>
        <v>698.30188737818639</v>
      </c>
      <c r="EP115" s="60">
        <f t="shared" si="100"/>
        <v>329.77977151358482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396.99335548279453</v>
      </c>
      <c r="FK115" s="60">
        <f t="shared" si="102"/>
        <v>388.89849573746335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66.749691937246894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4.6150000000000002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16.921666666666667</v>
      </c>
      <c r="H116" s="68">
        <f t="shared" si="56"/>
        <v>188.98000000000002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320.49999999999977</v>
      </c>
      <c r="O116" s="14">
        <f>N116*VLOOKUP('Données projet'!$B$9,Paramètres!$A$1:$I$89,3,0)*VLOOKUP('Données projet'!$B$9,Paramètres!$A$1:$I$89,5,0)</f>
        <v>289.98839999999979</v>
      </c>
      <c r="P116" s="14">
        <f t="shared" si="87"/>
        <v>69.073519602481525</v>
      </c>
      <c r="Q116" s="22">
        <f t="shared" si="107"/>
        <v>625.36617664098833</v>
      </c>
      <c r="R116" s="60">
        <f t="shared" si="55"/>
        <v>906.98846086461822</v>
      </c>
      <c r="S116" s="60">
        <f ca="1">AVERAGE(OFFSET($R$3,0,0,'Données projet'!$E$9+1,1))-AVERAGE(OFFSET($H$3,0,0,'Données projet'!$E$9+1,1))</f>
        <v>550.53475891182575</v>
      </c>
      <c r="T116" s="60">
        <f t="shared" si="88"/>
        <v>350.2500324347194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887.98935517876816</v>
      </c>
      <c r="AN116" s="60">
        <f ca="1">AVERAGE(OFFSET($AM$3,0,0,'Données projet'!$E$10+1,1))-AVERAGE(OFFSET($H$3,0,0,'Données projet'!$E$10+1,1))</f>
        <v>513.16577009788818</v>
      </c>
      <c r="AO116" s="60">
        <f t="shared" si="90"/>
        <v>289.37159333739146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-4.1677594708744434E-14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366.5170155168056</v>
      </c>
      <c r="BJ116" s="60">
        <f t="shared" si="92"/>
        <v>394.05057214541966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333.512642972663</v>
      </c>
      <c r="CE116" s="60">
        <f t="shared" si="94"/>
        <v>464.18634682168488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298.27043999999955</v>
      </c>
      <c r="CV116" s="14">
        <f t="shared" si="95"/>
        <v>70.813759345855914</v>
      </c>
      <c r="CW116" s="22">
        <f t="shared" si="67"/>
        <v>642.82164719403158</v>
      </c>
      <c r="CX116" s="60">
        <f t="shared" si="68"/>
        <v>924.44393141766159</v>
      </c>
      <c r="CY116" s="60">
        <f ca="1">AVERAGE(OFFSET($CX$3,0,0,'Données projet'!$E$13+1,1))-AVERAGE(OFFSET($H$3,0,0,'Données projet'!$E$13+1,1))</f>
        <v>539.76438066597848</v>
      </c>
      <c r="CZ116" s="60">
        <f t="shared" si="96"/>
        <v>303.47238367344937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268.01111999999961</v>
      </c>
      <c r="DQ116" s="14">
        <f t="shared" si="97"/>
        <v>64.426997301716796</v>
      </c>
      <c r="DR116" s="22">
        <f t="shared" si="70"/>
        <v>578.99638763382268</v>
      </c>
      <c r="DS116" s="60">
        <f t="shared" si="71"/>
        <v>860.61867185745268</v>
      </c>
      <c r="DT116" s="60">
        <f ca="1">AVERAGE(OFFSET($DS$3,0,0,'Données projet'!$E$14+1,1))-AVERAGE(OFFSET($H$3,0,0,'Données projet'!$E$14+1,1))</f>
        <v>493.19478874005267</v>
      </c>
      <c r="DU116" s="60">
        <f t="shared" si="98"/>
        <v>278.78337903007821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7.2</v>
      </c>
      <c r="EJ116" s="13">
        <f>IF('Données projet'!$A$192&gt;35,EJ115+EI116-ER115,IF(A116&lt;'Données projet'!$A$192,$EG$205^A116,IF(A116='Données projet'!$A$192,'Données projet'!$B$192,EJ115+EI116-ER115)))</f>
        <v>513.5999999999998</v>
      </c>
      <c r="EK116" s="18">
        <f>EJ116*VLOOKUP('Données projet'!$B$15,Paramètres!$A$1:$I$89,3,0)*VLOOKUP('Données projet'!$B$15,Paramètres!$A$1:$I$89,5,0)</f>
        <v>440.66879999999986</v>
      </c>
      <c r="EL116" s="14">
        <f t="shared" si="99"/>
        <v>99.97460472615262</v>
      </c>
      <c r="EM116" s="22">
        <f t="shared" si="73"/>
        <v>941.62059656471547</v>
      </c>
      <c r="EN116" s="60">
        <f t="shared" si="74"/>
        <v>1223.2428807883455</v>
      </c>
      <c r="EO116" s="60">
        <f ca="1">AVERAGE(OFFSET($EN$3,0,0,'Données projet'!$E$15+1,1))-AVERAGE(OFFSET($H$3,0,0,'Données projet'!$E$15+1,1))</f>
        <v>698.30188737818639</v>
      </c>
      <c r="EP116" s="60">
        <f t="shared" si="100"/>
        <v>329.77977151358482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396.99335548279453</v>
      </c>
      <c r="FK116" s="60">
        <f t="shared" si="102"/>
        <v>388.89849573746335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66.806077515535435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4.6150000000000002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16.921666666666667</v>
      </c>
      <c r="H117" s="68">
        <f t="shared" si="56"/>
        <v>188.98000000000002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324.99999999999977</v>
      </c>
      <c r="O117" s="14">
        <f>N117*VLOOKUP('Données projet'!$B$9,Paramètres!$A$1:$I$89,3,0)*VLOOKUP('Données projet'!$B$9,Paramètres!$A$1:$I$89,5,0)</f>
        <v>294.05999999999977</v>
      </c>
      <c r="P117" s="14">
        <f t="shared" si="87"/>
        <v>69.929765653573313</v>
      </c>
      <c r="Q117" s="22">
        <f t="shared" si="107"/>
        <v>633.94884184663977</v>
      </c>
      <c r="R117" s="60">
        <f t="shared" si="55"/>
        <v>915.77428659033956</v>
      </c>
      <c r="S117" s="60">
        <f ca="1">AVERAGE(OFFSET($R$3,0,0,'Données projet'!$E$9+1,1))-AVERAGE(OFFSET($H$3,0,0,'Données projet'!$E$9+1,1))</f>
        <v>550.53475891182575</v>
      </c>
      <c r="T117" s="60">
        <f t="shared" si="88"/>
        <v>350.2500324347194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896.10617555112105</v>
      </c>
      <c r="AN117" s="60">
        <f ca="1">AVERAGE(OFFSET($AM$3,0,0,'Données projet'!$E$10+1,1))-AVERAGE(OFFSET($H$3,0,0,'Données projet'!$E$10+1,1))</f>
        <v>513.16577009788818</v>
      </c>
      <c r="AO117" s="60">
        <f t="shared" si="90"/>
        <v>289.37159333739146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-4.1677594708744434E-14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366.5170155168056</v>
      </c>
      <c r="BJ117" s="60">
        <f t="shared" si="92"/>
        <v>394.05057214541966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333.512642972663</v>
      </c>
      <c r="CE117" s="60">
        <f t="shared" si="94"/>
        <v>464.18634682168488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302.25311999999951</v>
      </c>
      <c r="CV117" s="14">
        <f t="shared" si="95"/>
        <v>71.648598083211283</v>
      </c>
      <c r="CW117" s="22">
        <f t="shared" si="67"/>
        <v>651.21215899492529</v>
      </c>
      <c r="CX117" s="60">
        <f t="shared" si="68"/>
        <v>933.03760373862508</v>
      </c>
      <c r="CY117" s="60">
        <f ca="1">AVERAGE(OFFSET($CX$3,0,0,'Données projet'!$E$13+1,1))-AVERAGE(OFFSET($H$3,0,0,'Données projet'!$E$13+1,1))</f>
        <v>539.76438066597848</v>
      </c>
      <c r="CZ117" s="60">
        <f t="shared" si="96"/>
        <v>303.47238367344937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271.58975999999956</v>
      </c>
      <c r="DQ117" s="14">
        <f t="shared" si="97"/>
        <v>65.186541118848012</v>
      </c>
      <c r="DR117" s="22">
        <f t="shared" si="70"/>
        <v>586.55205778199286</v>
      </c>
      <c r="DS117" s="60">
        <f t="shared" si="71"/>
        <v>868.37750252569265</v>
      </c>
      <c r="DT117" s="60">
        <f ca="1">AVERAGE(OFFSET($DS$3,0,0,'Données projet'!$E$14+1,1))-AVERAGE(OFFSET($H$3,0,0,'Données projet'!$E$14+1,1))</f>
        <v>493.19478874005267</v>
      </c>
      <c r="DU117" s="60">
        <f t="shared" si="98"/>
        <v>278.78337903007821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7.2</v>
      </c>
      <c r="EJ117" s="13">
        <f>IF('Données projet'!$A$192&gt;35,EJ116+EI117-ER116,IF(A117&lt;'Données projet'!$A$192,$EG$205^A117,IF(A117='Données projet'!$A$192,'Données projet'!$B$192,EJ116+EI117-ER116)))</f>
        <v>520.79999999999984</v>
      </c>
      <c r="EK117" s="18">
        <f>EJ117*VLOOKUP('Données projet'!$B$15,Paramètres!$A$1:$I$89,3,0)*VLOOKUP('Données projet'!$B$15,Paramètres!$A$1:$I$89,5,0)</f>
        <v>446.8463999999999</v>
      </c>
      <c r="EL117" s="14">
        <f t="shared" si="99"/>
        <v>101.21197660125036</v>
      </c>
      <c r="EM117" s="22">
        <f t="shared" si="73"/>
        <v>954.5350059138442</v>
      </c>
      <c r="EN117" s="60">
        <f t="shared" si="74"/>
        <v>1236.3604506575439</v>
      </c>
      <c r="EO117" s="60">
        <f ca="1">AVERAGE(OFFSET($EN$3,0,0,'Données projet'!$E$15+1,1))-AVERAGE(OFFSET($H$3,0,0,'Données projet'!$E$15+1,1))</f>
        <v>698.30188737818639</v>
      </c>
      <c r="EP117" s="60">
        <f t="shared" si="100"/>
        <v>329.77977151358482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396.99335548279453</v>
      </c>
      <c r="FK117" s="60">
        <f t="shared" si="102"/>
        <v>388.89849573746335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66.861484930099948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4.6150000000000002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16.921666666666667</v>
      </c>
      <c r="H118" s="68">
        <f t="shared" si="56"/>
        <v>188.98000000000002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329.49999999999977</v>
      </c>
      <c r="O118" s="14">
        <f>N118*VLOOKUP('Données projet'!$B$9,Paramètres!$A$1:$I$89,3,0)*VLOOKUP('Données projet'!$B$9,Paramètres!$A$1:$I$89,5,0)</f>
        <v>298.13159999999976</v>
      </c>
      <c r="P118" s="14">
        <f t="shared" si="87"/>
        <v>70.784632764375971</v>
      </c>
      <c r="Q118" s="22">
        <f t="shared" si="107"/>
        <v>642.52910539795437</v>
      </c>
      <c r="R118" s="60">
        <f t="shared" si="55"/>
        <v>924.55418628089978</v>
      </c>
      <c r="S118" s="60">
        <f ca="1">AVERAGE(OFFSET($R$3,0,0,'Données projet'!$E$9+1,1))-AVERAGE(OFFSET($H$3,0,0,'Données projet'!$E$9+1,1))</f>
        <v>550.53475891182575</v>
      </c>
      <c r="T118" s="60">
        <f t="shared" si="88"/>
        <v>350.2500324347194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904.21735762191383</v>
      </c>
      <c r="AN118" s="60">
        <f ca="1">AVERAGE(OFFSET($AM$3,0,0,'Données projet'!$E$10+1,1))-AVERAGE(OFFSET($H$3,0,0,'Données projet'!$E$10+1,1))</f>
        <v>513.16577009788818</v>
      </c>
      <c r="AO118" s="60">
        <f t="shared" si="90"/>
        <v>289.37159333739146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-4.1677594708744434E-14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366.5170155168056</v>
      </c>
      <c r="BJ118" s="60">
        <f t="shared" si="92"/>
        <v>394.05057214541966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333.512642972663</v>
      </c>
      <c r="CE118" s="60">
        <f t="shared" si="94"/>
        <v>464.18634682168488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306.23579999999947</v>
      </c>
      <c r="CV118" s="14">
        <f t="shared" si="95"/>
        <v>72.482157320026886</v>
      </c>
      <c r="CW118" s="22">
        <f t="shared" si="67"/>
        <v>659.6004423323792</v>
      </c>
      <c r="CX118" s="60">
        <f t="shared" si="68"/>
        <v>941.62552321532462</v>
      </c>
      <c r="CY118" s="60">
        <f ca="1">AVERAGE(OFFSET($CX$3,0,0,'Données projet'!$E$13+1,1))-AVERAGE(OFFSET($H$3,0,0,'Données projet'!$E$13+1,1))</f>
        <v>539.76438066597848</v>
      </c>
      <c r="CZ118" s="60">
        <f t="shared" si="96"/>
        <v>303.47238367344937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275.16839999999956</v>
      </c>
      <c r="DQ118" s="14">
        <f t="shared" si="97"/>
        <v>65.944920834841554</v>
      </c>
      <c r="DR118" s="22">
        <f t="shared" si="70"/>
        <v>594.10570045401494</v>
      </c>
      <c r="DS118" s="60">
        <f t="shared" si="71"/>
        <v>876.13078133696035</v>
      </c>
      <c r="DT118" s="60">
        <f ca="1">AVERAGE(OFFSET($DS$3,0,0,'Données projet'!$E$14+1,1))-AVERAGE(OFFSET($H$3,0,0,'Données projet'!$E$14+1,1))</f>
        <v>493.19478874005267</v>
      </c>
      <c r="DU118" s="60">
        <f t="shared" si="98"/>
        <v>278.78337903007821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528</v>
      </c>
      <c r="EH118" s="13">
        <f>VLOOKUP(A118,'Données projet'!$A$191:$I$211,9,0)</f>
        <v>7.2</v>
      </c>
      <c r="EI118" s="13">
        <f t="array" ref="EI118">INDEX(EH:EH,MIN(IF(ISNUMBER(EH118:EH314),ROW(EH118:EH314),"")))</f>
        <v>7.2</v>
      </c>
      <c r="EJ118" s="13">
        <f>IF('Données projet'!$A$192&gt;35,EJ117+EI118-ER117,IF(A118&lt;'Données projet'!$A$192,$EG$205^A118,IF(A118='Données projet'!$A$192,'Données projet'!$B$192,EJ117+EI118-ER117)))</f>
        <v>527.99999999999989</v>
      </c>
      <c r="EK118" s="18">
        <f>EJ118*VLOOKUP('Données projet'!$B$15,Paramètres!$A$1:$I$89,3,0)*VLOOKUP('Données projet'!$B$15,Paramètres!$A$1:$I$89,5,0)</f>
        <v>453.024</v>
      </c>
      <c r="EL118" s="14">
        <f t="shared" si="99"/>
        <v>102.44735881125743</v>
      </c>
      <c r="EM118" s="22">
        <f t="shared" si="73"/>
        <v>967.44594992960674</v>
      </c>
      <c r="EN118" s="60">
        <f t="shared" si="74"/>
        <v>1249.4710308125523</v>
      </c>
      <c r="EO118" s="60">
        <f ca="1">AVERAGE(OFFSET($EN$3,0,0,'Données projet'!$E$15+1,1))-AVERAGE(OFFSET($H$3,0,0,'Données projet'!$E$15+1,1))</f>
        <v>698.30188737818639</v>
      </c>
      <c r="EP118" s="60">
        <f t="shared" si="100"/>
        <v>329.77977151358482</v>
      </c>
      <c r="EQ118" s="16">
        <f>IF(ISNA(VLOOKUP(A118,'Données projet'!$A$191:$I$211,3,0)),0,VLOOKUP(A118,'Données projet'!$A$191:$I$211,3,0))</f>
        <v>10</v>
      </c>
      <c r="ER118" s="16">
        <f>IF(ISNA(VLOOKUP(A118,'Données projet'!$A$191:$I$211,4,0)),0,VLOOKUP(A118,'Données projet'!$A$191:$I$211,4,0))</f>
        <v>53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396.99335548279453</v>
      </c>
      <c r="FK118" s="60">
        <f t="shared" si="102"/>
        <v>388.89849573746335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66.915931149894206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4.6150000000000002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16.921666666666667</v>
      </c>
      <c r="H119" s="68">
        <f t="shared" si="56"/>
        <v>188.98000000000002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333.99999999999977</v>
      </c>
      <c r="O119" s="14">
        <f>N119*VLOOKUP('Données projet'!$B$9,Paramètres!$A$1:$I$89,3,0)*VLOOKUP('Données projet'!$B$9,Paramètres!$A$1:$I$89,5,0)</f>
        <v>302.20319999999981</v>
      </c>
      <c r="P119" s="14">
        <f t="shared" si="87"/>
        <v>71.638141943842228</v>
      </c>
      <c r="Q119" s="22">
        <f t="shared" si="107"/>
        <v>651.10700388552482</v>
      </c>
      <c r="R119" s="60">
        <f t="shared" si="55"/>
        <v>933.32825766701944</v>
      </c>
      <c r="S119" s="60">
        <f ca="1">AVERAGE(OFFSET($R$3,0,0,'Données projet'!$E$9+1,1))-AVERAGE(OFFSET($H$3,0,0,'Données projet'!$E$9+1,1))</f>
        <v>550.53475891182575</v>
      </c>
      <c r="T119" s="60">
        <f t="shared" si="88"/>
        <v>350.2500324347194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912.32299320199138</v>
      </c>
      <c r="AN119" s="60">
        <f ca="1">AVERAGE(OFFSET($AM$3,0,0,'Données projet'!$E$10+1,1))-AVERAGE(OFFSET($H$3,0,0,'Données projet'!$E$10+1,1))</f>
        <v>513.16577009788818</v>
      </c>
      <c r="AO119" s="60">
        <f t="shared" si="90"/>
        <v>289.37159333739146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-4.1677594708744434E-14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366.5170155168056</v>
      </c>
      <c r="BJ119" s="60">
        <f t="shared" si="92"/>
        <v>394.05057214541966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333.512642972663</v>
      </c>
      <c r="CE119" s="60">
        <f t="shared" si="94"/>
        <v>464.18634682168488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310.21847999999949</v>
      </c>
      <c r="CV119" s="14">
        <f t="shared" si="95"/>
        <v>73.314455620479848</v>
      </c>
      <c r="CW119" s="22">
        <f t="shared" si="67"/>
        <v>667.98652953900148</v>
      </c>
      <c r="CX119" s="60">
        <f t="shared" si="68"/>
        <v>950.20778332049611</v>
      </c>
      <c r="CY119" s="60">
        <f ca="1">AVERAGE(OFFSET($CX$3,0,0,'Données projet'!$E$13+1,1))-AVERAGE(OFFSET($H$3,0,0,'Données projet'!$E$13+1,1))</f>
        <v>539.76438066597848</v>
      </c>
      <c r="CZ119" s="60">
        <f t="shared" si="96"/>
        <v>303.47238367344937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278.74703999999957</v>
      </c>
      <c r="DQ119" s="14">
        <f t="shared" si="97"/>
        <v>66.702153339553135</v>
      </c>
      <c r="DR119" s="22">
        <f t="shared" si="70"/>
        <v>601.65734506638762</v>
      </c>
      <c r="DS119" s="60">
        <f t="shared" si="71"/>
        <v>883.87859884788224</v>
      </c>
      <c r="DT119" s="60">
        <f ca="1">AVERAGE(OFFSET($DS$3,0,0,'Données projet'!$E$14+1,1))-AVERAGE(OFFSET($H$3,0,0,'Données projet'!$E$14+1,1))</f>
        <v>493.19478874005267</v>
      </c>
      <c r="DU119" s="60">
        <f t="shared" si="98"/>
        <v>278.78337903007821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6.4</v>
      </c>
      <c r="EJ119" s="13">
        <f>IF('Données projet'!$A$192&gt;35,EJ118+EI119-ER118,IF(A119&lt;'Données projet'!$A$192,$EG$205^A119,IF(A119='Données projet'!$A$192,'Données projet'!$B$192,EJ118+EI119-ER118)))</f>
        <v>481.39999999999986</v>
      </c>
      <c r="EK119" s="18">
        <f>EJ119*VLOOKUP('Données projet'!$B$15,Paramètres!$A$1:$I$89,3,0)*VLOOKUP('Données projet'!$B$15,Paramètres!$A$1:$I$89,5,0)</f>
        <v>413.04119999999989</v>
      </c>
      <c r="EL119" s="14">
        <f t="shared" si="99"/>
        <v>94.415611430097925</v>
      </c>
      <c r="EM119" s="22">
        <f t="shared" si="73"/>
        <v>883.82061324075357</v>
      </c>
      <c r="EN119" s="60">
        <f t="shared" si="74"/>
        <v>1166.0418670222482</v>
      </c>
      <c r="EO119" s="60">
        <f ca="1">AVERAGE(OFFSET($EN$3,0,0,'Données projet'!$E$15+1,1))-AVERAGE(OFFSET($H$3,0,0,'Données projet'!$E$15+1,1))</f>
        <v>698.30188737818639</v>
      </c>
      <c r="EP119" s="60">
        <f t="shared" si="100"/>
        <v>329.77977151358482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396.99335548279453</v>
      </c>
      <c r="FK119" s="60">
        <f t="shared" si="102"/>
        <v>388.89849573746335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66.969432849498531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4.6150000000000002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16.921666666666667</v>
      </c>
      <c r="H120" s="68">
        <f t="shared" si="56"/>
        <v>188.98000000000002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338.49999999999977</v>
      </c>
      <c r="O120" s="14">
        <f>N120*VLOOKUP('Données projet'!$B$9,Paramètres!$A$1:$I$89,3,0)*VLOOKUP('Données projet'!$B$9,Paramètres!$A$1:$I$89,5,0)</f>
        <v>306.27479999999974</v>
      </c>
      <c r="P120" s="14">
        <f t="shared" si="87"/>
        <v>72.490313602282981</v>
      </c>
      <c r="Q120" s="22">
        <f t="shared" si="107"/>
        <v>659.68257285730908</v>
      </c>
      <c r="R120" s="60">
        <f t="shared" si="55"/>
        <v>942.09659637613993</v>
      </c>
      <c r="S120" s="60">
        <f ca="1">AVERAGE(OFFSET($R$3,0,0,'Données projet'!$E$9+1,1))-AVERAGE(OFFSET($H$3,0,0,'Données projet'!$E$9+1,1))</f>
        <v>550.53475891182575</v>
      </c>
      <c r="T120" s="60">
        <f t="shared" si="88"/>
        <v>350.2500324347194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920.42317220875486</v>
      </c>
      <c r="AN120" s="60">
        <f ca="1">AVERAGE(OFFSET($AM$3,0,0,'Données projet'!$E$10+1,1))-AVERAGE(OFFSET($H$3,0,0,'Données projet'!$E$10+1,1))</f>
        <v>513.16577009788818</v>
      </c>
      <c r="AO120" s="60">
        <f t="shared" si="90"/>
        <v>289.37159333739146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-4.1677594708744434E-14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366.5170155168056</v>
      </c>
      <c r="BJ120" s="60">
        <f t="shared" si="92"/>
        <v>394.05057214541966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333.512642972663</v>
      </c>
      <c r="CE120" s="60">
        <f t="shared" si="94"/>
        <v>464.18634682168488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314.2011599999995</v>
      </c>
      <c r="CV120" s="14">
        <f t="shared" si="95"/>
        <v>74.145511044675771</v>
      </c>
      <c r="CW120" s="22">
        <f t="shared" si="67"/>
        <v>676.37045206947607</v>
      </c>
      <c r="CX120" s="60">
        <f t="shared" si="68"/>
        <v>958.78447558830692</v>
      </c>
      <c r="CY120" s="60">
        <f ca="1">AVERAGE(OFFSET($CX$3,0,0,'Données projet'!$E$13+1,1))-AVERAGE(OFFSET($H$3,0,0,'Données projet'!$E$13+1,1))</f>
        <v>539.76438066597848</v>
      </c>
      <c r="CZ120" s="60">
        <f t="shared" si="96"/>
        <v>303.47238367344937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282.32567999999952</v>
      </c>
      <c r="DQ120" s="14">
        <f t="shared" si="97"/>
        <v>67.458255064229917</v>
      </c>
      <c r="DR120" s="22">
        <f t="shared" si="70"/>
        <v>609.20702023686624</v>
      </c>
      <c r="DS120" s="60">
        <f t="shared" si="71"/>
        <v>891.62104375569709</v>
      </c>
      <c r="DT120" s="60">
        <f ca="1">AVERAGE(OFFSET($DS$3,0,0,'Données projet'!$E$14+1,1))-AVERAGE(OFFSET($H$3,0,0,'Données projet'!$E$14+1,1))</f>
        <v>493.19478874005267</v>
      </c>
      <c r="DU120" s="60">
        <f t="shared" si="98"/>
        <v>278.78337903007821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6.4</v>
      </c>
      <c r="EJ120" s="13">
        <f>IF('Données projet'!$A$192&gt;35,EJ119+EI120-ER119,IF(A120&lt;'Données projet'!$A$192,$EG$205^A120,IF(A120='Données projet'!$A$192,'Données projet'!$B$192,EJ119+EI120-ER119)))</f>
        <v>487.79999999999984</v>
      </c>
      <c r="EK120" s="18">
        <f>EJ120*VLOOKUP('Données projet'!$B$15,Paramètres!$A$1:$I$89,3,0)*VLOOKUP('Données projet'!$B$15,Paramètres!$A$1:$I$89,5,0)</f>
        <v>418.53239999999988</v>
      </c>
      <c r="EL120" s="14">
        <f t="shared" si="99"/>
        <v>95.52386437716028</v>
      </c>
      <c r="EM120" s="22">
        <f t="shared" si="73"/>
        <v>895.31466045688728</v>
      </c>
      <c r="EN120" s="60">
        <f t="shared" si="74"/>
        <v>1177.728683975718</v>
      </c>
      <c r="EO120" s="60">
        <f ca="1">AVERAGE(OFFSET($EN$3,0,0,'Données projet'!$E$15+1,1))-AVERAGE(OFFSET($H$3,0,0,'Données projet'!$E$15+1,1))</f>
        <v>698.30188737818639</v>
      </c>
      <c r="EP120" s="60">
        <f t="shared" si="100"/>
        <v>329.77977151358482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396.99335548279453</v>
      </c>
      <c r="FK120" s="60">
        <f t="shared" si="102"/>
        <v>388.89849573746335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67.022006414226595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4.6150000000000002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16.921666666666667</v>
      </c>
      <c r="H121" s="68">
        <f t="shared" si="56"/>
        <v>188.98000000000002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342.99999999999977</v>
      </c>
      <c r="O121" s="14">
        <f>N121*VLOOKUP('Données projet'!$B$9,Paramètres!$A$1:$I$89,3,0)*VLOOKUP('Données projet'!$B$9,Paramètres!$A$1:$I$89,5,0)</f>
        <v>310.34639999999979</v>
      </c>
      <c r="P121" s="14">
        <f t="shared" si="87"/>
        <v>73.341167576152998</v>
      </c>
      <c r="Q121" s="22">
        <f t="shared" si="107"/>
        <v>668.25584686179945</v>
      </c>
      <c r="R121" s="60">
        <f t="shared" si="55"/>
        <v>950.85929599399242</v>
      </c>
      <c r="S121" s="60">
        <f ca="1">AVERAGE(OFFSET($R$3,0,0,'Données projet'!$E$9+1,1))-AVERAGE(OFFSET($H$3,0,0,'Données projet'!$E$9+1,1))</f>
        <v>550.53475891182575</v>
      </c>
      <c r="T121" s="60">
        <f t="shared" si="88"/>
        <v>350.2500324347194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928.51798271743723</v>
      </c>
      <c r="AN121" s="60">
        <f ca="1">AVERAGE(OFFSET($AM$3,0,0,'Données projet'!$E$10+1,1))-AVERAGE(OFFSET($H$3,0,0,'Données projet'!$E$10+1,1))</f>
        <v>513.16577009788818</v>
      </c>
      <c r="AO121" s="60">
        <f t="shared" si="90"/>
        <v>289.37159333739146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-4.1677594708744434E-14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366.5170155168056</v>
      </c>
      <c r="BJ121" s="60">
        <f t="shared" si="92"/>
        <v>394.05057214541966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333.512642972663</v>
      </c>
      <c r="CE121" s="60">
        <f t="shared" si="94"/>
        <v>464.18634682168488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318.18383999999946</v>
      </c>
      <c r="CV121" s="14">
        <f t="shared" si="95"/>
        <v>74.975341168547786</v>
      </c>
      <c r="CW121" s="22">
        <f t="shared" si="67"/>
        <v>684.75224053521981</v>
      </c>
      <c r="CX121" s="60">
        <f t="shared" si="68"/>
        <v>967.35568966741266</v>
      </c>
      <c r="CY121" s="60">
        <f ca="1">AVERAGE(OFFSET($CX$3,0,0,'Données projet'!$E$13+1,1))-AVERAGE(OFFSET($H$3,0,0,'Données projet'!$E$13+1,1))</f>
        <v>539.76438066597848</v>
      </c>
      <c r="CZ121" s="60">
        <f t="shared" si="96"/>
        <v>303.47238367344937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285.90431999999953</v>
      </c>
      <c r="DQ121" s="14">
        <f t="shared" si="97"/>
        <v>68.213241999614453</v>
      </c>
      <c r="DR121" s="22">
        <f t="shared" si="70"/>
        <v>616.75475381599438</v>
      </c>
      <c r="DS121" s="60">
        <f t="shared" si="71"/>
        <v>899.35820294818723</v>
      </c>
      <c r="DT121" s="60">
        <f ca="1">AVERAGE(OFFSET($DS$3,0,0,'Données projet'!$E$14+1,1))-AVERAGE(OFFSET($H$3,0,0,'Données projet'!$E$14+1,1))</f>
        <v>493.19478874005267</v>
      </c>
      <c r="DU121" s="60">
        <f t="shared" si="98"/>
        <v>278.78337903007821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6.4</v>
      </c>
      <c r="EJ121" s="13">
        <f>IF('Données projet'!$A$192&gt;35,EJ120+EI121-ER120,IF(A121&lt;'Données projet'!$A$192,$EG$205^A121,IF(A121='Données projet'!$A$192,'Données projet'!$B$192,EJ120+EI121-ER120)))</f>
        <v>494.19999999999982</v>
      </c>
      <c r="EK121" s="18">
        <f>EJ121*VLOOKUP('Données projet'!$B$15,Paramètres!$A$1:$I$89,3,0)*VLOOKUP('Données projet'!$B$15,Paramètres!$A$1:$I$89,5,0)</f>
        <v>424.02359999999993</v>
      </c>
      <c r="EL121" s="14">
        <f t="shared" si="99"/>
        <v>96.630426059277468</v>
      </c>
      <c r="EM121" s="22">
        <f t="shared" si="73"/>
        <v>906.80576205324132</v>
      </c>
      <c r="EN121" s="60">
        <f t="shared" si="74"/>
        <v>1189.4092111854343</v>
      </c>
      <c r="EO121" s="60">
        <f ca="1">AVERAGE(OFFSET($EN$3,0,0,'Données projet'!$E$15+1,1))-AVERAGE(OFFSET($H$3,0,0,'Données projet'!$E$15+1,1))</f>
        <v>698.30188737818639</v>
      </c>
      <c r="EP121" s="60">
        <f t="shared" si="100"/>
        <v>329.77977151358482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396.99335548279453</v>
      </c>
      <c r="FK121" s="60">
        <f t="shared" si="102"/>
        <v>388.89849573746335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67.073667945143512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4.6150000000000002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16.921666666666667</v>
      </c>
      <c r="H122" s="68">
        <f t="shared" si="56"/>
        <v>188.98000000000002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347.49999999999977</v>
      </c>
      <c r="O122" s="14">
        <f>N122*VLOOKUP('Données projet'!$B$9,Paramètres!$A$1:$I$89,3,0)*VLOOKUP('Données projet'!$B$9,Paramètres!$A$1:$I$89,5,0)</f>
        <v>314.41799999999978</v>
      </c>
      <c r="P122" s="14">
        <f t="shared" si="87"/>
        <v>74.190723151497338</v>
      </c>
      <c r="Q122" s="22">
        <f t="shared" si="107"/>
        <v>676.82685948885739</v>
      </c>
      <c r="R122" s="60">
        <f t="shared" si="55"/>
        <v>959.61644812351278</v>
      </c>
      <c r="S122" s="60">
        <f ca="1">AVERAGE(OFFSET($R$3,0,0,'Données projet'!$E$9+1,1))-AVERAGE(OFFSET($H$3,0,0,'Données projet'!$E$9+1,1))</f>
        <v>550.53475891182575</v>
      </c>
      <c r="T122" s="60">
        <f t="shared" si="88"/>
        <v>350.2500324347194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936.60751101036863</v>
      </c>
      <c r="AN122" s="60">
        <f ca="1">AVERAGE(OFFSET($AM$3,0,0,'Données projet'!$E$10+1,1))-AVERAGE(OFFSET($H$3,0,0,'Données projet'!$E$10+1,1))</f>
        <v>513.16577009788818</v>
      </c>
      <c r="AO122" s="60">
        <f t="shared" si="90"/>
        <v>289.37159333739146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-4.1677594708744434E-14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366.5170155168056</v>
      </c>
      <c r="BJ122" s="60">
        <f t="shared" si="92"/>
        <v>394.05057214541966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333.512642972663</v>
      </c>
      <c r="CE122" s="60">
        <f t="shared" si="94"/>
        <v>464.18634682168488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322.16651999999942</v>
      </c>
      <c r="CV122" s="14">
        <f t="shared" si="95"/>
        <v>75.803963102731529</v>
      </c>
      <c r="CW122" s="22">
        <f t="shared" si="67"/>
        <v>693.13192473725633</v>
      </c>
      <c r="CX122" s="60">
        <f t="shared" si="68"/>
        <v>975.92151337191171</v>
      </c>
      <c r="CY122" s="60">
        <f ca="1">AVERAGE(OFFSET($CX$3,0,0,'Données projet'!$E$13+1,1))-AVERAGE(OFFSET($H$3,0,0,'Données projet'!$E$13+1,1))</f>
        <v>539.76438066597848</v>
      </c>
      <c r="CZ122" s="60">
        <f t="shared" si="96"/>
        <v>303.47238367344937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289.48295999999954</v>
      </c>
      <c r="DQ122" s="14">
        <f t="shared" si="97"/>
        <v>68.967129713117401</v>
      </c>
      <c r="DR122" s="22">
        <f t="shared" si="70"/>
        <v>624.300572917012</v>
      </c>
      <c r="DS122" s="60">
        <f t="shared" si="71"/>
        <v>907.09016155166728</v>
      </c>
      <c r="DT122" s="60">
        <f ca="1">AVERAGE(OFFSET($DS$3,0,0,'Données projet'!$E$14+1,1))-AVERAGE(OFFSET($H$3,0,0,'Données projet'!$E$14+1,1))</f>
        <v>493.19478874005267</v>
      </c>
      <c r="DU122" s="60">
        <f t="shared" si="98"/>
        <v>278.78337903007821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6.4</v>
      </c>
      <c r="EJ122" s="13">
        <f>IF('Données projet'!$A$192&gt;35,EJ121+EI122-ER121,IF(A122&lt;'Données projet'!$A$192,$EG$205^A122,IF(A122='Données projet'!$A$192,'Données projet'!$B$192,EJ121+EI122-ER121)))</f>
        <v>500.5999999999998</v>
      </c>
      <c r="EK122" s="18">
        <f>EJ122*VLOOKUP('Données projet'!$B$15,Paramètres!$A$1:$I$89,3,0)*VLOOKUP('Données projet'!$B$15,Paramètres!$A$1:$I$89,5,0)</f>
        <v>429.51479999999992</v>
      </c>
      <c r="EL122" s="14">
        <f t="shared" si="99"/>
        <v>97.735320911083633</v>
      </c>
      <c r="EM122" s="22">
        <f t="shared" si="73"/>
        <v>918.29396058680368</v>
      </c>
      <c r="EN122" s="60">
        <f t="shared" si="74"/>
        <v>1201.083549221459</v>
      </c>
      <c r="EO122" s="60">
        <f ca="1">AVERAGE(OFFSET($EN$3,0,0,'Données projet'!$E$15+1,1))-AVERAGE(OFFSET($H$3,0,0,'Données projet'!$E$15+1,1))</f>
        <v>698.30188737818639</v>
      </c>
      <c r="EP122" s="60">
        <f t="shared" si="100"/>
        <v>329.77977151358482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396.99335548279453</v>
      </c>
      <c r="FK122" s="60">
        <f t="shared" si="102"/>
        <v>388.89849573746335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67.124433263996906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4.6150000000000002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16.921666666666667</v>
      </c>
      <c r="H123" s="68">
        <f t="shared" si="56"/>
        <v>188.98000000000002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351.99999999999977</v>
      </c>
      <c r="O123" s="14">
        <f>N123*VLOOKUP('Données projet'!$B$9,Paramètres!$A$1:$I$89,3,0)*VLOOKUP('Données projet'!$B$9,Paramètres!$A$1:$I$89,5,0)</f>
        <v>318.48959999999977</v>
      </c>
      <c r="P123" s="14">
        <f t="shared" si="87"/>
        <v>75.038999086150227</v>
      </c>
      <c r="Q123" s="22">
        <f t="shared" si="107"/>
        <v>685.39564340837785</v>
      </c>
      <c r="R123" s="60">
        <f t="shared" si="55"/>
        <v>968.36814244127345</v>
      </c>
      <c r="S123" s="60">
        <f ca="1">AVERAGE(OFFSET($R$3,0,0,'Données projet'!$E$9+1,1))-AVERAGE(OFFSET($H$3,0,0,'Données projet'!$E$9+1,1))</f>
        <v>550.53475891182575</v>
      </c>
      <c r="T123" s="60">
        <f t="shared" si="88"/>
        <v>350.2500324347194</v>
      </c>
      <c r="U123" s="16">
        <f>IF(ISNA(VLOOKUP(A123,'Données projet'!$A$35:$I$55,3,0)),0,VLOOKUP(A123,'Données projet'!$A$35:$I$55,3,0))</f>
        <v>11</v>
      </c>
      <c r="V123" s="16">
        <f>IF(ISNA(VLOOKUP(A123,'Données projet'!$A$35:$I$55,4,0)),0,VLOOKUP(A123,'Données projet'!$A$35:$I$55,4,0))</f>
        <v>47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944.69184162433999</v>
      </c>
      <c r="AN123" s="60">
        <f ca="1">AVERAGE(OFFSET($AM$3,0,0,'Données projet'!$E$10+1,1))-AVERAGE(OFFSET($H$3,0,0,'Données projet'!$E$10+1,1))</f>
        <v>513.16577009788818</v>
      </c>
      <c r="AO123" s="60">
        <f t="shared" si="90"/>
        <v>289.37159333739146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-4.1677594708744434E-14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366.5170155168056</v>
      </c>
      <c r="BJ123" s="60">
        <f t="shared" si="92"/>
        <v>394.05057214541966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333.512642972663</v>
      </c>
      <c r="CE123" s="60">
        <f t="shared" si="94"/>
        <v>464.18634682168488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326.14919999999944</v>
      </c>
      <c r="CV123" s="14">
        <f t="shared" si="95"/>
        <v>76.631393510479555</v>
      </c>
      <c r="CW123" s="22">
        <f t="shared" si="67"/>
        <v>701.50953369741762</v>
      </c>
      <c r="CX123" s="60">
        <f t="shared" si="68"/>
        <v>984.48203273031322</v>
      </c>
      <c r="CY123" s="60">
        <f ca="1">AVERAGE(OFFSET($CX$3,0,0,'Données projet'!$E$13+1,1))-AVERAGE(OFFSET($H$3,0,0,'Données projet'!$E$13+1,1))</f>
        <v>539.76438066597848</v>
      </c>
      <c r="CZ123" s="60">
        <f t="shared" si="96"/>
        <v>303.47238367344937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293.06159999999949</v>
      </c>
      <c r="DQ123" s="14">
        <f t="shared" si="97"/>
        <v>69.719933365116432</v>
      </c>
      <c r="DR123" s="22">
        <f t="shared" si="70"/>
        <v>631.84450394424357</v>
      </c>
      <c r="DS123" s="60">
        <f t="shared" si="71"/>
        <v>914.81700297713928</v>
      </c>
      <c r="DT123" s="60">
        <f ca="1">AVERAGE(OFFSET($DS$3,0,0,'Données projet'!$E$14+1,1))-AVERAGE(OFFSET($H$3,0,0,'Données projet'!$E$14+1,1))</f>
        <v>493.19478874005267</v>
      </c>
      <c r="DU123" s="60">
        <f t="shared" si="98"/>
        <v>278.78337903007821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6.4</v>
      </c>
      <c r="EJ123" s="13">
        <f>IF('Données projet'!$A$192&gt;35,EJ122+EI123-ER122,IF(A123&lt;'Données projet'!$A$192,$EG$205^A123,IF(A123='Données projet'!$A$192,'Données projet'!$B$192,EJ122+EI123-ER122)))</f>
        <v>506.99999999999977</v>
      </c>
      <c r="EK123" s="18">
        <f>EJ123*VLOOKUP('Données projet'!$B$15,Paramètres!$A$1:$I$89,3,0)*VLOOKUP('Données projet'!$B$15,Paramètres!$A$1:$I$89,5,0)</f>
        <v>435.00599999999986</v>
      </c>
      <c r="EL123" s="14">
        <f t="shared" si="99"/>
        <v>98.838572706512238</v>
      </c>
      <c r="EM123" s="22">
        <f t="shared" si="73"/>
        <v>929.77929746384177</v>
      </c>
      <c r="EN123" s="60">
        <f t="shared" si="74"/>
        <v>1212.7517964967374</v>
      </c>
      <c r="EO123" s="60">
        <f ca="1">AVERAGE(OFFSET($EN$3,0,0,'Données projet'!$E$15+1,1))-AVERAGE(OFFSET($H$3,0,0,'Données projet'!$E$15+1,1))</f>
        <v>698.30188737818639</v>
      </c>
      <c r="EP123" s="60">
        <f t="shared" si="100"/>
        <v>329.77977151358482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396.99335548279453</v>
      </c>
      <c r="FK123" s="60">
        <f t="shared" si="102"/>
        <v>388.89849573746335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67.174317918062442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4.6150000000000002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16.921666666666667</v>
      </c>
      <c r="H124" s="68">
        <f t="shared" si="56"/>
        <v>188.98000000000002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4.0666666666666664</v>
      </c>
      <c r="N124" s="14">
        <f>IF('Données projet'!$A$36&gt;35,N123+M124-V123,IF(A124&lt;'Données projet'!$A$36,$K$205^A124,IF(A124='Données projet'!$A$36,'Données projet'!$B$36,N123+M124-V123)))</f>
        <v>309.06666666666644</v>
      </c>
      <c r="O124" s="14">
        <f>N124*VLOOKUP('Données projet'!$B$9,Paramètres!$A$1:$I$89,3,0)*VLOOKUP('Données projet'!$B$9,Paramètres!$A$1:$I$89,5,0)</f>
        <v>279.6435199999998</v>
      </c>
      <c r="P124" s="14">
        <f t="shared" si="87"/>
        <v>66.891668824822503</v>
      </c>
      <c r="Q124" s="22">
        <f t="shared" si="107"/>
        <v>603.54878720323211</v>
      </c>
      <c r="R124" s="60">
        <f t="shared" si="55"/>
        <v>886.70102354788492</v>
      </c>
      <c r="S124" s="60">
        <f ca="1">AVERAGE(OFFSET($R$3,0,0,'Données projet'!$E$9+1,1))-AVERAGE(OFFSET($H$3,0,0,'Données projet'!$E$9+1,1))</f>
        <v>550.53475891182575</v>
      </c>
      <c r="T124" s="60">
        <f t="shared" si="88"/>
        <v>350.2500324347194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876.89577658099552</v>
      </c>
      <c r="AN124" s="60">
        <f ca="1">AVERAGE(OFFSET($AM$3,0,0,'Données projet'!$E$10+1,1))-AVERAGE(OFFSET($H$3,0,0,'Données projet'!$E$10+1,1))</f>
        <v>513.16577009788818</v>
      </c>
      <c r="AO124" s="60">
        <f t="shared" si="90"/>
        <v>289.37159333739146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-4.1677594708744434E-14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366.5170155168056</v>
      </c>
      <c r="BJ124" s="60">
        <f t="shared" si="92"/>
        <v>394.05057214541966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333.512642972663</v>
      </c>
      <c r="CE124" s="60">
        <f t="shared" si="94"/>
        <v>464.18634682168488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291.9196799999994</v>
      </c>
      <c r="CV124" s="14">
        <f t="shared" si="95"/>
        <v>69.47983563531173</v>
      </c>
      <c r="CW124" s="22">
        <f t="shared" si="67"/>
        <v>629.43748973150025</v>
      </c>
      <c r="CX124" s="60">
        <f t="shared" si="68"/>
        <v>912.58972607615306</v>
      </c>
      <c r="CY124" s="60">
        <f ca="1">AVERAGE(OFFSET($CX$3,0,0,'Données projet'!$E$13+1,1))-AVERAGE(OFFSET($H$3,0,0,'Données projet'!$E$13+1,1))</f>
        <v>539.76438066597848</v>
      </c>
      <c r="CZ124" s="60">
        <f t="shared" si="96"/>
        <v>303.47238367344937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262.30463999999949</v>
      </c>
      <c r="DQ124" s="14">
        <f t="shared" si="97"/>
        <v>63.213381472055985</v>
      </c>
      <c r="DR124" s="22">
        <f t="shared" si="70"/>
        <v>566.94388739716328</v>
      </c>
      <c r="DS124" s="60">
        <f t="shared" si="71"/>
        <v>850.0961237418162</v>
      </c>
      <c r="DT124" s="60">
        <f ca="1">AVERAGE(OFFSET($DS$3,0,0,'Données projet'!$E$14+1,1))-AVERAGE(OFFSET($H$3,0,0,'Données projet'!$E$14+1,1))</f>
        <v>493.19478874005267</v>
      </c>
      <c r="DU124" s="60">
        <f t="shared" si="98"/>
        <v>278.78337903007821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6.4</v>
      </c>
      <c r="EJ124" s="13">
        <f>IF('Données projet'!$A$192&gt;35,EJ123+EI124-ER123,IF(A124&lt;'Données projet'!$A$192,$EG$205^A124,IF(A124='Données projet'!$A$192,'Données projet'!$B$192,EJ123+EI124-ER123)))</f>
        <v>513.39999999999975</v>
      </c>
      <c r="EK124" s="18">
        <f>EJ124*VLOOKUP('Données projet'!$B$15,Paramètres!$A$1:$I$89,3,0)*VLOOKUP('Données projet'!$B$15,Paramètres!$A$1:$I$89,5,0)</f>
        <v>440.49719999999985</v>
      </c>
      <c r="EL124" s="14">
        <f t="shared" si="99"/>
        <v>99.94020458477064</v>
      </c>
      <c r="EM124" s="22">
        <f t="shared" si="73"/>
        <v>941.26181298514211</v>
      </c>
      <c r="EN124" s="60">
        <f t="shared" si="74"/>
        <v>1224.414049329795</v>
      </c>
      <c r="EO124" s="60">
        <f ca="1">AVERAGE(OFFSET($EN$3,0,0,'Données projet'!$E$15+1,1))-AVERAGE(OFFSET($H$3,0,0,'Données projet'!$E$15+1,1))</f>
        <v>698.30188737818639</v>
      </c>
      <c r="EP124" s="60">
        <f t="shared" si="100"/>
        <v>329.77977151358482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396.99335548279453</v>
      </c>
      <c r="FK124" s="60">
        <f t="shared" si="102"/>
        <v>388.89849573746335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67.223337184905319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4.6150000000000002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16.921666666666667</v>
      </c>
      <c r="H125" s="68">
        <f t="shared" si="56"/>
        <v>188.98000000000002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4.0666666666666664</v>
      </c>
      <c r="N125" s="14">
        <f>IF('Données projet'!$A$36&gt;35,N124+M125-V124,IF(A125&lt;'Données projet'!$A$36,$K$205^A125,IF(A125='Données projet'!$A$36,'Données projet'!$B$36,N124+M125-V124)))</f>
        <v>313.1333333333331</v>
      </c>
      <c r="O125" s="14">
        <f>N125*VLOOKUP('Données projet'!$B$9,Paramètres!$A$1:$I$89,3,0)*VLOOKUP('Données projet'!$B$9,Paramètres!$A$1:$I$89,5,0)</f>
        <v>283.32303999999976</v>
      </c>
      <c r="P125" s="14">
        <f t="shared" si="87"/>
        <v>67.66877982898842</v>
      </c>
      <c r="Q125" s="22">
        <f t="shared" si="107"/>
        <v>611.31075286882106</v>
      </c>
      <c r="R125" s="60">
        <f t="shared" si="55"/>
        <v>894.63960848470458</v>
      </c>
      <c r="S125" s="60">
        <f ca="1">AVERAGE(OFFSET($R$3,0,0,'Données projet'!$E$9+1,1))-AVERAGE(OFFSET($H$3,0,0,'Données projet'!$E$9+1,1))</f>
        <v>550.53475891182575</v>
      </c>
      <c r="T125" s="60">
        <f t="shared" si="88"/>
        <v>350.2500324347194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883.91974149682596</v>
      </c>
      <c r="AN125" s="60">
        <f ca="1">AVERAGE(OFFSET($AM$3,0,0,'Données projet'!$E$10+1,1))-AVERAGE(OFFSET($H$3,0,0,'Données projet'!$E$10+1,1))</f>
        <v>513.16577009788818</v>
      </c>
      <c r="AO125" s="60">
        <f t="shared" si="90"/>
        <v>289.37159333739146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-4.1677594708744434E-14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366.5170155168056</v>
      </c>
      <c r="BJ125" s="60">
        <f t="shared" si="92"/>
        <v>394.05057214541966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333.512642972663</v>
      </c>
      <c r="CE125" s="60">
        <f t="shared" si="94"/>
        <v>464.18634682168488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295.3641599999994</v>
      </c>
      <c r="CV125" s="14">
        <f t="shared" si="95"/>
        <v>70.203734243178047</v>
      </c>
      <c r="CW125" s="22">
        <f t="shared" si="67"/>
        <v>636.6974158068673</v>
      </c>
      <c r="CX125" s="60">
        <f t="shared" si="68"/>
        <v>920.02627142275082</v>
      </c>
      <c r="CY125" s="60">
        <f ca="1">AVERAGE(OFFSET($CX$3,0,0,'Données projet'!$E$13+1,1))-AVERAGE(OFFSET($H$3,0,0,'Données projet'!$E$13+1,1))</f>
        <v>539.76438066597848</v>
      </c>
      <c r="CZ125" s="60">
        <f t="shared" si="96"/>
        <v>303.47238367344937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265.39967999999948</v>
      </c>
      <c r="DQ125" s="14">
        <f t="shared" si="97"/>
        <v>63.87199095821434</v>
      </c>
      <c r="DR125" s="22">
        <f t="shared" si="70"/>
        <v>573.48149358555565</v>
      </c>
      <c r="DS125" s="60">
        <f t="shared" si="71"/>
        <v>856.81034920143918</v>
      </c>
      <c r="DT125" s="60">
        <f ca="1">AVERAGE(OFFSET($DS$3,0,0,'Données projet'!$E$14+1,1))-AVERAGE(OFFSET($H$3,0,0,'Données projet'!$E$14+1,1))</f>
        <v>493.19478874005267</v>
      </c>
      <c r="DU125" s="60">
        <f t="shared" si="98"/>
        <v>278.78337903007821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6.4</v>
      </c>
      <c r="EJ125" s="13">
        <f>IF('Données projet'!$A$192&gt;35,EJ124+EI125-ER124,IF(A125&lt;'Données projet'!$A$192,$EG$205^A125,IF(A125='Données projet'!$A$192,'Données projet'!$B$192,EJ124+EI125-ER124)))</f>
        <v>519.79999999999973</v>
      </c>
      <c r="EK125" s="18">
        <f>EJ125*VLOOKUP('Données projet'!$B$15,Paramètres!$A$1:$I$89,3,0)*VLOOKUP('Données projet'!$B$15,Paramètres!$A$1:$I$89,5,0)</f>
        <v>445.98839999999984</v>
      </c>
      <c r="EL125" s="14">
        <f t="shared" si="99"/>
        <v>101.04023907498366</v>
      </c>
      <c r="EM125" s="22">
        <f t="shared" si="73"/>
        <v>952.74154638892969</v>
      </c>
      <c r="EN125" s="60">
        <f t="shared" si="74"/>
        <v>1236.0704020048133</v>
      </c>
      <c r="EO125" s="60">
        <f ca="1">AVERAGE(OFFSET($EN$3,0,0,'Données projet'!$E$15+1,1))-AVERAGE(OFFSET($H$3,0,0,'Données projet'!$E$15+1,1))</f>
        <v>698.30188737818639</v>
      </c>
      <c r="EP125" s="60">
        <f t="shared" si="100"/>
        <v>329.77977151358482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396.99335548279453</v>
      </c>
      <c r="FK125" s="60">
        <f t="shared" si="102"/>
        <v>388.89849573746335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67.271506077059144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4.6150000000000002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16.921666666666667</v>
      </c>
      <c r="H126" s="68">
        <f t="shared" si="56"/>
        <v>188.98000000000002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4.0666666666666664</v>
      </c>
      <c r="N126" s="14">
        <f>IF('Données projet'!$A$36&gt;35,N125+M126-V125,IF(A126&lt;'Données projet'!$A$36,$K$205^A126,IF(A126='Données projet'!$A$36,'Données projet'!$B$36,N125+M126-V125)))</f>
        <v>317.19999999999976</v>
      </c>
      <c r="O126" s="14">
        <f>N126*VLOOKUP('Données projet'!$B$9,Paramètres!$A$1:$I$89,3,0)*VLOOKUP('Données projet'!$B$9,Paramètres!$A$1:$I$89,5,0)</f>
        <v>287.00255999999979</v>
      </c>
      <c r="P126" s="14">
        <f t="shared" si="87"/>
        <v>68.444716936118553</v>
      </c>
      <c r="Q126" s="22">
        <f t="shared" si="107"/>
        <v>619.07067399707273</v>
      </c>
      <c r="R126" s="60">
        <f t="shared" si="55"/>
        <v>902.57308493469259</v>
      </c>
      <c r="S126" s="60">
        <f ca="1">AVERAGE(OFFSET($R$3,0,0,'Données projet'!$E$9+1,1))-AVERAGE(OFFSET($H$3,0,0,'Données projet'!$E$9+1,1))</f>
        <v>550.53475891182575</v>
      </c>
      <c r="T126" s="60">
        <f t="shared" si="88"/>
        <v>350.2500324347194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890.93902005359405</v>
      </c>
      <c r="AN126" s="60">
        <f ca="1">AVERAGE(OFFSET($AM$3,0,0,'Données projet'!$E$10+1,1))-AVERAGE(OFFSET($H$3,0,0,'Données projet'!$E$10+1,1))</f>
        <v>513.16577009788818</v>
      </c>
      <c r="AO126" s="60">
        <f t="shared" si="90"/>
        <v>289.37159333739146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-4.1677594708744434E-14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366.5170155168056</v>
      </c>
      <c r="BJ126" s="60">
        <f t="shared" si="92"/>
        <v>394.05057214541966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333.512642972663</v>
      </c>
      <c r="CE126" s="60">
        <f t="shared" si="94"/>
        <v>464.18634682168488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298.8086399999994</v>
      </c>
      <c r="CV126" s="14">
        <f t="shared" si="95"/>
        <v>70.926650849267929</v>
      </c>
      <c r="CW126" s="22">
        <f t="shared" si="67"/>
        <v>643.95563156247397</v>
      </c>
      <c r="CX126" s="60">
        <f t="shared" si="68"/>
        <v>927.45804250009382</v>
      </c>
      <c r="CY126" s="60">
        <f ca="1">AVERAGE(OFFSET($CX$3,0,0,'Données projet'!$E$13+1,1))-AVERAGE(OFFSET($H$3,0,0,'Données projet'!$E$13+1,1))</f>
        <v>539.76438066597848</v>
      </c>
      <c r="CZ126" s="60">
        <f t="shared" si="96"/>
        <v>303.47238367344937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268.49471999999946</v>
      </c>
      <c r="DQ126" s="14">
        <f t="shared" si="97"/>
        <v>64.529707010294615</v>
      </c>
      <c r="DR126" s="22">
        <f t="shared" si="70"/>
        <v>580.01754370959543</v>
      </c>
      <c r="DS126" s="60">
        <f t="shared" si="71"/>
        <v>863.51995464721517</v>
      </c>
      <c r="DT126" s="60">
        <f ca="1">AVERAGE(OFFSET($DS$3,0,0,'Données projet'!$E$14+1,1))-AVERAGE(OFFSET($H$3,0,0,'Données projet'!$E$14+1,1))</f>
        <v>493.19478874005267</v>
      </c>
      <c r="DU126" s="60">
        <f t="shared" si="98"/>
        <v>278.78337903007821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6.4</v>
      </c>
      <c r="EJ126" s="13">
        <f>IF('Données projet'!$A$192&gt;35,EJ125+EI126-ER125,IF(A126&lt;'Données projet'!$A$192,$EG$205^A126,IF(A126='Données projet'!$A$192,'Données projet'!$B$192,EJ125+EI126-ER125)))</f>
        <v>526.1999999999997</v>
      </c>
      <c r="EK126" s="18">
        <f>EJ126*VLOOKUP('Données projet'!$B$15,Paramètres!$A$1:$I$89,3,0)*VLOOKUP('Données projet'!$B$15,Paramètres!$A$1:$I$89,5,0)</f>
        <v>451.47959999999978</v>
      </c>
      <c r="EL126" s="14">
        <f t="shared" si="99"/>
        <v>102.138698119588</v>
      </c>
      <c r="EM126" s="22">
        <f t="shared" si="73"/>
        <v>964.21853589161526</v>
      </c>
      <c r="EN126" s="60">
        <f t="shared" si="74"/>
        <v>1247.7209468292351</v>
      </c>
      <c r="EO126" s="60">
        <f ca="1">AVERAGE(OFFSET($EN$3,0,0,'Données projet'!$E$15+1,1))-AVERAGE(OFFSET($H$3,0,0,'Données projet'!$E$15+1,1))</f>
        <v>698.30188737818639</v>
      </c>
      <c r="EP126" s="60">
        <f t="shared" si="100"/>
        <v>329.77977151358482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396.99335548279453</v>
      </c>
      <c r="FK126" s="60">
        <f t="shared" si="102"/>
        <v>388.89849573746335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67.318839346623591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4.6150000000000002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16.921666666666667</v>
      </c>
      <c r="H127" s="68">
        <f t="shared" si="56"/>
        <v>188.98000000000002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4.0666666666666664</v>
      </c>
      <c r="N127" s="14">
        <f>IF('Données projet'!$A$36&gt;35,N126+M127-V126,IF(A127&lt;'Données projet'!$A$36,$K$205^A127,IF(A127='Données projet'!$A$36,'Données projet'!$B$36,N126+M127-V126)))</f>
        <v>321.26666666666642</v>
      </c>
      <c r="O127" s="14">
        <f>N127*VLOOKUP('Données projet'!$B$9,Paramètres!$A$1:$I$89,3,0)*VLOOKUP('Données projet'!$B$9,Paramètres!$A$1:$I$89,5,0)</f>
        <v>290.68207999999976</v>
      </c>
      <c r="P127" s="14">
        <f t="shared" si="87"/>
        <v>69.219496936385212</v>
      </c>
      <c r="Q127" s="22">
        <f t="shared" si="107"/>
        <v>626.82857983087058</v>
      </c>
      <c r="R127" s="60">
        <f t="shared" si="55"/>
        <v>910.50153529340628</v>
      </c>
      <c r="S127" s="60">
        <f ca="1">AVERAGE(OFFSET($R$3,0,0,'Données projet'!$E$9+1,1))-AVERAGE(OFFSET($H$3,0,0,'Données projet'!$E$9+1,1))</f>
        <v>550.53475891182575</v>
      </c>
      <c r="T127" s="60">
        <f t="shared" si="88"/>
        <v>350.2500324347194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897.95368626995651</v>
      </c>
      <c r="AN127" s="60">
        <f ca="1">AVERAGE(OFFSET($AM$3,0,0,'Données projet'!$E$10+1,1))-AVERAGE(OFFSET($H$3,0,0,'Données projet'!$E$10+1,1))</f>
        <v>513.16577009788818</v>
      </c>
      <c r="AO127" s="60">
        <f t="shared" si="90"/>
        <v>289.37159333739146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-4.1677594708744434E-14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366.5170155168056</v>
      </c>
      <c r="BJ127" s="60">
        <f t="shared" si="92"/>
        <v>394.05057214541966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333.512642972663</v>
      </c>
      <c r="CE127" s="60">
        <f t="shared" si="94"/>
        <v>464.18634682168488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302.2531199999994</v>
      </c>
      <c r="CV127" s="14">
        <f t="shared" si="95"/>
        <v>71.648598083211283</v>
      </c>
      <c r="CW127" s="22">
        <f t="shared" si="67"/>
        <v>651.21215899492529</v>
      </c>
      <c r="CX127" s="60">
        <f t="shared" si="68"/>
        <v>934.88511445746099</v>
      </c>
      <c r="CY127" s="60">
        <f ca="1">AVERAGE(OFFSET($CX$3,0,0,'Données projet'!$E$13+1,1))-AVERAGE(OFFSET($H$3,0,0,'Données projet'!$E$13+1,1))</f>
        <v>539.76438066597848</v>
      </c>
      <c r="CZ127" s="60">
        <f t="shared" si="96"/>
        <v>303.47238367344937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271.5897599999995</v>
      </c>
      <c r="DQ127" s="14">
        <f t="shared" si="97"/>
        <v>65.186541118848012</v>
      </c>
      <c r="DR127" s="22">
        <f t="shared" si="70"/>
        <v>586.55205778199274</v>
      </c>
      <c r="DS127" s="60">
        <f t="shared" si="71"/>
        <v>870.22501324452833</v>
      </c>
      <c r="DT127" s="60">
        <f ca="1">AVERAGE(OFFSET($DS$3,0,0,'Données projet'!$E$14+1,1))-AVERAGE(OFFSET($H$3,0,0,'Données projet'!$E$14+1,1))</f>
        <v>493.19478874005267</v>
      </c>
      <c r="DU127" s="60">
        <f t="shared" si="98"/>
        <v>278.78337903007821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6.4</v>
      </c>
      <c r="EJ127" s="13">
        <f>IF('Données projet'!$A$192&gt;35,EJ126+EI127-ER126,IF(A127&lt;'Données projet'!$A$192,$EG$205^A127,IF(A127='Données projet'!$A$192,'Données projet'!$B$192,EJ126+EI127-ER126)))</f>
        <v>532.59999999999968</v>
      </c>
      <c r="EK127" s="18">
        <f>EJ127*VLOOKUP('Données projet'!$B$15,Paramètres!$A$1:$I$89,3,0)*VLOOKUP('Données projet'!$B$15,Paramètres!$A$1:$I$89,5,0)</f>
        <v>456.97079999999977</v>
      </c>
      <c r="EL127" s="14">
        <f t="shared" si="99"/>
        <v>103.23560309655628</v>
      </c>
      <c r="EM127" s="22">
        <f t="shared" si="73"/>
        <v>975.69281872650174</v>
      </c>
      <c r="EN127" s="60">
        <f t="shared" si="74"/>
        <v>1259.3657741890374</v>
      </c>
      <c r="EO127" s="60">
        <f ca="1">AVERAGE(OFFSET($EN$3,0,0,'Données projet'!$E$15+1,1))-AVERAGE(OFFSET($H$3,0,0,'Données projet'!$E$15+1,1))</f>
        <v>698.30188737818639</v>
      </c>
      <c r="EP127" s="60">
        <f t="shared" si="100"/>
        <v>329.77977151358482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396.99335548279453</v>
      </c>
      <c r="FK127" s="60">
        <f t="shared" si="102"/>
        <v>388.89849573746335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67.365351489782455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4.6150000000000002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16.921666666666667</v>
      </c>
      <c r="H128" s="68">
        <f t="shared" si="56"/>
        <v>188.98000000000002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4.0666666666666664</v>
      </c>
      <c r="N128" s="14">
        <f>IF('Données projet'!$A$36&gt;35,N127+M128-V127,IF(A128&lt;'Données projet'!$A$36,$K$205^A128,IF(A128='Données projet'!$A$36,'Données projet'!$B$36,N127+M128-V127)))</f>
        <v>325.33333333333309</v>
      </c>
      <c r="O128" s="14">
        <f>N128*VLOOKUP('Données projet'!$B$9,Paramètres!$A$1:$I$89,3,0)*VLOOKUP('Données projet'!$B$9,Paramètres!$A$1:$I$89,5,0)</f>
        <v>294.36159999999978</v>
      </c>
      <c r="P128" s="14">
        <f t="shared" si="87"/>
        <v>69.993136170449532</v>
      </c>
      <c r="Q128" s="22">
        <f t="shared" si="107"/>
        <v>634.58449883019921</v>
      </c>
      <c r="R128" s="60">
        <f t="shared" si="55"/>
        <v>918.42504025142375</v>
      </c>
      <c r="S128" s="60">
        <f ca="1">AVERAGE(OFFSET($R$3,0,0,'Données projet'!$E$9+1,1))-AVERAGE(OFFSET($H$3,0,0,'Données projet'!$E$9+1,1))</f>
        <v>550.53475891182575</v>
      </c>
      <c r="T128" s="60">
        <f t="shared" si="88"/>
        <v>350.2500324347194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904.96381273953511</v>
      </c>
      <c r="AN128" s="60">
        <f ca="1">AVERAGE(OFFSET($AM$3,0,0,'Données projet'!$E$10+1,1))-AVERAGE(OFFSET($H$3,0,0,'Données projet'!$E$10+1,1))</f>
        <v>513.16577009788818</v>
      </c>
      <c r="AO128" s="60">
        <f t="shared" si="90"/>
        <v>289.37159333739146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-4.1677594708744434E-14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366.5170155168056</v>
      </c>
      <c r="BJ128" s="60">
        <f t="shared" si="92"/>
        <v>394.05057214541966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333.512642972663</v>
      </c>
      <c r="CE128" s="60">
        <f t="shared" si="94"/>
        <v>464.18634682168488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305.69759999999934</v>
      </c>
      <c r="CV128" s="14">
        <f t="shared" si="95"/>
        <v>72.369588270212233</v>
      </c>
      <c r="CW128" s="22">
        <f t="shared" si="67"/>
        <v>658.46701957061839</v>
      </c>
      <c r="CX128" s="60">
        <f t="shared" si="68"/>
        <v>942.30756099184305</v>
      </c>
      <c r="CY128" s="60">
        <f ca="1">AVERAGE(OFFSET($CX$3,0,0,'Données projet'!$E$13+1,1))-AVERAGE(OFFSET($H$3,0,0,'Données projet'!$E$13+1,1))</f>
        <v>539.76438066597848</v>
      </c>
      <c r="CZ128" s="60">
        <f t="shared" si="96"/>
        <v>303.47238367344937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274.68479999999943</v>
      </c>
      <c r="DQ128" s="14">
        <f t="shared" si="97"/>
        <v>65.842504497456545</v>
      </c>
      <c r="DR128" s="22">
        <f t="shared" si="70"/>
        <v>593.08505533306914</v>
      </c>
      <c r="DS128" s="60">
        <f t="shared" si="71"/>
        <v>876.92559675429379</v>
      </c>
      <c r="DT128" s="60">
        <f ca="1">AVERAGE(OFFSET($DS$3,0,0,'Données projet'!$E$14+1,1))-AVERAGE(OFFSET($H$3,0,0,'Données projet'!$E$14+1,1))</f>
        <v>493.19478874005267</v>
      </c>
      <c r="DU128" s="60">
        <f t="shared" si="98"/>
        <v>278.78337903007821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>
        <f>VLOOKUP(A128,'Données projet'!$A$191:$I$211,2,0)</f>
        <v>539</v>
      </c>
      <c r="EH128" s="13">
        <f>VLOOKUP(A128,'Données projet'!$A$191:$I$211,9,0)</f>
        <v>6.4</v>
      </c>
      <c r="EI128" s="13">
        <f t="array" ref="EI128">INDEX(EH:EH,MIN(IF(ISNUMBER(EH128:EH324),ROW(EH128:EH324),"")))</f>
        <v>6.4</v>
      </c>
      <c r="EJ128" s="13">
        <f>IF('Données projet'!$A$192&gt;35,EJ127+EI128-ER127,IF(A128&lt;'Données projet'!$A$192,$EG$205^A128,IF(A128='Données projet'!$A$192,'Données projet'!$B$192,EJ127+EI128-ER127)))</f>
        <v>538.99999999999966</v>
      </c>
      <c r="EK128" s="18">
        <f>EJ128*VLOOKUP('Données projet'!$B$15,Paramètres!$A$1:$I$89,3,0)*VLOOKUP('Données projet'!$B$15,Paramètres!$A$1:$I$89,5,0)</f>
        <v>462.4619999999997</v>
      </c>
      <c r="EL128" s="14">
        <f t="shared" si="99"/>
        <v>104.33097484052273</v>
      </c>
      <c r="EM128" s="22">
        <f t="shared" si="73"/>
        <v>987.16443118057657</v>
      </c>
      <c r="EN128" s="60">
        <f t="shared" si="74"/>
        <v>1271.0049726018012</v>
      </c>
      <c r="EO128" s="60">
        <f ca="1">AVERAGE(OFFSET($EN$3,0,0,'Données projet'!$E$15+1,1))-AVERAGE(OFFSET($H$3,0,0,'Données projet'!$E$15+1,1))</f>
        <v>698.30188737818639</v>
      </c>
      <c r="EP128" s="60">
        <f t="shared" si="100"/>
        <v>329.77977151358482</v>
      </c>
      <c r="EQ128" s="16">
        <f>IF(ISNA(VLOOKUP(A128,'Données projet'!$A$191:$I$211,3,0)),0,VLOOKUP(A128,'Données projet'!$A$191:$I$211,3,0))</f>
        <v>11</v>
      </c>
      <c r="ER128" s="16">
        <f>IF(ISNA(VLOOKUP(A128,'Données projet'!$A$191:$I$211,4,0)),0,VLOOKUP(A128,'Données projet'!$A$191:$I$211,4,0))</f>
        <v>51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396.99335548279453</v>
      </c>
      <c r="FK128" s="60">
        <f t="shared" si="102"/>
        <v>388.89849573746335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67.411056751243066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4.6150000000000002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16.921666666666667</v>
      </c>
      <c r="H129" s="68">
        <f t="shared" si="56"/>
        <v>188.98000000000002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4.0666666666666664</v>
      </c>
      <c r="N129" s="14">
        <f>IF('Données projet'!$A$36&gt;35,N128+M129-V128,IF(A129&lt;'Données projet'!$A$36,$K$205^A129,IF(A129='Données projet'!$A$36,'Données projet'!$B$36,N128+M129-V128)))</f>
        <v>329.39999999999975</v>
      </c>
      <c r="O129" s="14">
        <f>N129*VLOOKUP('Données projet'!$B$9,Paramètres!$A$1:$I$89,3,0)*VLOOKUP('Données projet'!$B$9,Paramètres!$A$1:$I$89,5,0)</f>
        <v>298.04111999999975</v>
      </c>
      <c r="P129" s="14">
        <f t="shared" si="87"/>
        <v>70.765650546961453</v>
      </c>
      <c r="Q129" s="22">
        <f t="shared" si="107"/>
        <v>642.33845870262405</v>
      </c>
      <c r="R129" s="60">
        <f t="shared" si="55"/>
        <v>926.3436788408203</v>
      </c>
      <c r="S129" s="60">
        <f ca="1">AVERAGE(OFFSET($R$3,0,0,'Données projet'!$E$9+1,1))-AVERAGE(OFFSET($H$3,0,0,'Données projet'!$E$9+1,1))</f>
        <v>550.53475891182575</v>
      </c>
      <c r="T129" s="60">
        <f t="shared" si="88"/>
        <v>350.2500324347194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911.9694706645621</v>
      </c>
      <c r="AN129" s="60">
        <f ca="1">AVERAGE(OFFSET($AM$3,0,0,'Données projet'!$E$10+1,1))-AVERAGE(OFFSET($H$3,0,0,'Données projet'!$E$10+1,1))</f>
        <v>513.16577009788818</v>
      </c>
      <c r="AO129" s="60">
        <f t="shared" si="90"/>
        <v>289.37159333739146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-4.1677594708744434E-14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366.5170155168056</v>
      </c>
      <c r="BJ129" s="60">
        <f t="shared" si="92"/>
        <v>394.05057214541966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333.512642972663</v>
      </c>
      <c r="CE129" s="60">
        <f t="shared" si="94"/>
        <v>464.18634682168488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309.14207999999934</v>
      </c>
      <c r="CV129" s="14">
        <f t="shared" si="95"/>
        <v>73.089633441733085</v>
      </c>
      <c r="CW129" s="22">
        <f t="shared" si="67"/>
        <v>665.72023424435065</v>
      </c>
      <c r="CX129" s="60">
        <f t="shared" si="68"/>
        <v>949.72545438254701</v>
      </c>
      <c r="CY129" s="60">
        <f ca="1">AVERAGE(OFFSET($CX$3,0,0,'Données projet'!$E$13+1,1))-AVERAGE(OFFSET($H$3,0,0,'Données projet'!$E$13+1,1))</f>
        <v>539.76438066597848</v>
      </c>
      <c r="CZ129" s="60">
        <f t="shared" si="96"/>
        <v>303.47238367344937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277.77983999999947</v>
      </c>
      <c r="DQ129" s="14">
        <f t="shared" si="97"/>
        <v>66.497608092453063</v>
      </c>
      <c r="DR129" s="22">
        <f t="shared" si="70"/>
        <v>599.61655542768813</v>
      </c>
      <c r="DS129" s="60">
        <f t="shared" si="71"/>
        <v>883.62177556588449</v>
      </c>
      <c r="DT129" s="60">
        <f ca="1">AVERAGE(OFFSET($DS$3,0,0,'Données projet'!$E$14+1,1))-AVERAGE(OFFSET($H$3,0,0,'Données projet'!$E$14+1,1))</f>
        <v>493.19478874005267</v>
      </c>
      <c r="DU129" s="60">
        <f t="shared" si="98"/>
        <v>278.78337903007821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5.8</v>
      </c>
      <c r="EJ129" s="13">
        <f>IF('Données projet'!$A$192&gt;35,EJ128+EI129-ER128,IF(A129&lt;'Données projet'!$A$192,$EG$205^A129,IF(A129='Données projet'!$A$192,'Données projet'!$B$192,EJ128+EI129-ER128)))</f>
        <v>493.79999999999961</v>
      </c>
      <c r="EK129" s="18">
        <f>EJ129*VLOOKUP('Données projet'!$B$15,Paramètres!$A$1:$I$89,3,0)*VLOOKUP('Données projet'!$B$15,Paramètres!$A$1:$I$89,5,0)</f>
        <v>423.68039999999974</v>
      </c>
      <c r="EL129" s="14">
        <f t="shared" si="99"/>
        <v>96.561315037221675</v>
      </c>
      <c r="EM129" s="22">
        <f t="shared" si="73"/>
        <v>906.08765368982722</v>
      </c>
      <c r="EN129" s="60">
        <f t="shared" si="74"/>
        <v>1190.0928738280236</v>
      </c>
      <c r="EO129" s="60">
        <f ca="1">AVERAGE(OFFSET($EN$3,0,0,'Données projet'!$E$15+1,1))-AVERAGE(OFFSET($H$3,0,0,'Données projet'!$E$15+1,1))</f>
        <v>698.30188737818639</v>
      </c>
      <c r="EP129" s="60">
        <f t="shared" si="100"/>
        <v>329.77977151358482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396.99335548279453</v>
      </c>
      <c r="FK129" s="60">
        <f t="shared" si="102"/>
        <v>388.89849573746335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67.455969128598994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4.6150000000000002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16.921666666666667</v>
      </c>
      <c r="H130" s="68">
        <f t="shared" si="56"/>
        <v>188.98000000000002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4.0666666666666664</v>
      </c>
      <c r="N130" s="14">
        <f>IF('Données projet'!$A$36&gt;35,N129+M130-V129,IF(A130&lt;'Données projet'!$A$36,$K$205^A130,IF(A130='Données projet'!$A$36,'Données projet'!$B$36,N129+M130-V129)))</f>
        <v>333.46666666666641</v>
      </c>
      <c r="O130" s="14">
        <f>N130*VLOOKUP('Données projet'!$B$9,Paramètres!$A$1:$I$89,3,0)*VLOOKUP('Données projet'!$B$9,Paramètres!$A$1:$I$89,5,0)</f>
        <v>301.72063999999978</v>
      </c>
      <c r="P130" s="14">
        <f t="shared" si="87"/>
        <v>71.537055559170369</v>
      </c>
      <c r="Q130" s="22">
        <f t="shared" si="107"/>
        <v>650.09048643222127</v>
      </c>
      <c r="R130" s="60">
        <f t="shared" si="55"/>
        <v>934.2575284798163</v>
      </c>
      <c r="S130" s="60">
        <f ca="1">AVERAGE(OFFSET($R$3,0,0,'Données projet'!$E$9+1,1))-AVERAGE(OFFSET($H$3,0,0,'Données projet'!$E$9+1,1))</f>
        <v>550.53475891182575</v>
      </c>
      <c r="T130" s="60">
        <f t="shared" si="88"/>
        <v>350.2500324347194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918.97072988844207</v>
      </c>
      <c r="AN130" s="60">
        <f ca="1">AVERAGE(OFFSET($AM$3,0,0,'Données projet'!$E$10+1,1))-AVERAGE(OFFSET($H$3,0,0,'Données projet'!$E$10+1,1))</f>
        <v>513.16577009788818</v>
      </c>
      <c r="AO130" s="60">
        <f t="shared" si="90"/>
        <v>289.37159333739146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-4.1677594708744434E-14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366.5170155168056</v>
      </c>
      <c r="BJ130" s="60">
        <f t="shared" si="92"/>
        <v>394.05057214541966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333.512642972663</v>
      </c>
      <c r="CE130" s="60">
        <f t="shared" si="94"/>
        <v>464.18634682168488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312.58655999999934</v>
      </c>
      <c r="CV130" s="14">
        <f t="shared" si="95"/>
        <v>73.808745345687839</v>
      </c>
      <c r="CW130" s="22">
        <f t="shared" si="67"/>
        <v>672.97182347707178</v>
      </c>
      <c r="CX130" s="60">
        <f t="shared" si="68"/>
        <v>957.13886552466693</v>
      </c>
      <c r="CY130" s="60">
        <f ca="1">AVERAGE(OFFSET($CX$3,0,0,'Données projet'!$E$13+1,1))-AVERAGE(OFFSET($H$3,0,0,'Données projet'!$E$13+1,1))</f>
        <v>539.76438066597848</v>
      </c>
      <c r="CZ130" s="60">
        <f t="shared" si="96"/>
        <v>303.47238367344937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280.87487999999945</v>
      </c>
      <c r="DQ130" s="14">
        <f t="shared" si="97"/>
        <v>67.151862592195727</v>
      </c>
      <c r="DR130" s="22">
        <f t="shared" si="70"/>
        <v>606.1465766814066</v>
      </c>
      <c r="DS130" s="60">
        <f t="shared" si="71"/>
        <v>890.31361872900175</v>
      </c>
      <c r="DT130" s="60">
        <f ca="1">AVERAGE(OFFSET($DS$3,0,0,'Données projet'!$E$14+1,1))-AVERAGE(OFFSET($H$3,0,0,'Données projet'!$E$14+1,1))</f>
        <v>493.19478874005267</v>
      </c>
      <c r="DU130" s="60">
        <f t="shared" si="98"/>
        <v>278.78337903007821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5.8</v>
      </c>
      <c r="EJ130" s="13">
        <f>IF('Données projet'!$A$192&gt;35,EJ129+EI130-ER129,IF(A130&lt;'Données projet'!$A$192,$EG$205^A130,IF(A130='Données projet'!$A$192,'Données projet'!$B$192,EJ129+EI130-ER129)))</f>
        <v>499.59999999999962</v>
      </c>
      <c r="EK130" s="18">
        <f>EJ130*VLOOKUP('Données projet'!$B$15,Paramètres!$A$1:$I$89,3,0)*VLOOKUP('Données projet'!$B$15,Paramètres!$A$1:$I$89,5,0)</f>
        <v>428.65679999999969</v>
      </c>
      <c r="EL130" s="14">
        <f t="shared" si="99"/>
        <v>97.562789993864754</v>
      </c>
      <c r="EM130" s="22">
        <f t="shared" si="73"/>
        <v>916.49911923931393</v>
      </c>
      <c r="EN130" s="60">
        <f t="shared" si="74"/>
        <v>1200.6661612869091</v>
      </c>
      <c r="EO130" s="60">
        <f ca="1">AVERAGE(OFFSET($EN$3,0,0,'Données projet'!$E$15+1,1))-AVERAGE(OFFSET($H$3,0,0,'Données projet'!$E$15+1,1))</f>
        <v>698.30188737818639</v>
      </c>
      <c r="EP130" s="60">
        <f t="shared" si="100"/>
        <v>329.77977151358482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396.99335548279453</v>
      </c>
      <c r="FK130" s="60">
        <f t="shared" si="102"/>
        <v>388.89849573746335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67.500102376616852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4.6150000000000002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16.921666666666667</v>
      </c>
      <c r="H131" s="68">
        <f t="shared" si="56"/>
        <v>188.98000000000002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4.0666666666666664</v>
      </c>
      <c r="N131" s="14">
        <f>IF('Données projet'!$A$36&gt;35,N130+M131-V130,IF(A131&lt;'Données projet'!$A$36,$K$205^A131,IF(A131='Données projet'!$A$36,'Données projet'!$B$36,N130+M131-V130)))</f>
        <v>337.53333333333308</v>
      </c>
      <c r="O131" s="14">
        <f>N131*VLOOKUP('Données projet'!$B$9,Paramètres!$A$1:$I$89,3,0)*VLOOKUP('Données projet'!$B$9,Paramètres!$A$1:$I$89,5,0)</f>
        <v>305.40015999999974</v>
      </c>
      <c r="P131" s="14">
        <f t="shared" si="87"/>
        <v>72.307366300702995</v>
      </c>
      <c r="Q131" s="22">
        <f t="shared" ref="Q131:Q153" si="108">(O131+P131)*0.475*44/12</f>
        <v>657.84060830705721</v>
      </c>
      <c r="R131" s="60">
        <f t="shared" ref="R131:R194" si="109">Q131+(I131+J131)*44/12</f>
        <v>942.16666501570262</v>
      </c>
      <c r="S131" s="60">
        <f ca="1">AVERAGE(OFFSET($R$3,0,0,'Données projet'!$E$9+1,1))-AVERAGE(OFFSET($H$3,0,0,'Données projet'!$E$9+1,1))</f>
        <v>550.53475891182575</v>
      </c>
      <c r="T131" s="60">
        <f t="shared" si="88"/>
        <v>350.2500324347194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925.96765892727535</v>
      </c>
      <c r="AN131" s="60">
        <f ca="1">AVERAGE(OFFSET($AM$3,0,0,'Données projet'!$E$10+1,1))-AVERAGE(OFFSET($H$3,0,0,'Données projet'!$E$10+1,1))</f>
        <v>513.16577009788818</v>
      </c>
      <c r="AO131" s="60">
        <f t="shared" si="90"/>
        <v>289.37159333739146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-4.1677594708744434E-14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366.5170155168056</v>
      </c>
      <c r="BJ131" s="60">
        <f t="shared" si="92"/>
        <v>394.05057214541966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333.512642972663</v>
      </c>
      <c r="CE131" s="60">
        <f t="shared" si="94"/>
        <v>464.18634682168488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316.03103999999934</v>
      </c>
      <c r="CV131" s="14">
        <f t="shared" si="95"/>
        <v>74.526935456174002</v>
      </c>
      <c r="CW131" s="22">
        <f t="shared" si="67"/>
        <v>680.22180725283522</v>
      </c>
      <c r="CX131" s="60">
        <f t="shared" si="68"/>
        <v>964.54786396148063</v>
      </c>
      <c r="CY131" s="60">
        <f ca="1">AVERAGE(OFFSET($CX$3,0,0,'Données projet'!$E$13+1,1))-AVERAGE(OFFSET($H$3,0,0,'Données projet'!$E$13+1,1))</f>
        <v>539.76438066597848</v>
      </c>
      <c r="CZ131" s="60">
        <f t="shared" si="96"/>
        <v>303.47238367344937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283.96991999999943</v>
      </c>
      <c r="DQ131" s="14">
        <f t="shared" si="97"/>
        <v>67.805278435922148</v>
      </c>
      <c r="DR131" s="22">
        <f t="shared" si="70"/>
        <v>612.67513727589676</v>
      </c>
      <c r="DS131" s="60">
        <f t="shared" si="71"/>
        <v>897.00119398454217</v>
      </c>
      <c r="DT131" s="60">
        <f ca="1">AVERAGE(OFFSET($DS$3,0,0,'Données projet'!$E$14+1,1))-AVERAGE(OFFSET($H$3,0,0,'Données projet'!$E$14+1,1))</f>
        <v>493.19478874005267</v>
      </c>
      <c r="DU131" s="60">
        <f t="shared" si="98"/>
        <v>278.78337903007821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5.8</v>
      </c>
      <c r="EJ131" s="13">
        <f>IF('Données projet'!$A$192&gt;35,EJ130+EI131-ER130,IF(A131&lt;'Données projet'!$A$192,$EG$205^A131,IF(A131='Données projet'!$A$192,'Données projet'!$B$192,EJ130+EI131-ER130)))</f>
        <v>505.39999999999964</v>
      </c>
      <c r="EK131" s="18">
        <f>EJ131*VLOOKUP('Données projet'!$B$15,Paramètres!$A$1:$I$89,3,0)*VLOOKUP('Données projet'!$B$15,Paramètres!$A$1:$I$89,5,0)</f>
        <v>433.6331999999997</v>
      </c>
      <c r="EL131" s="14">
        <f t="shared" si="99"/>
        <v>98.562912518153794</v>
      </c>
      <c r="EM131" s="22">
        <f t="shared" si="73"/>
        <v>926.90822930245065</v>
      </c>
      <c r="EN131" s="60">
        <f t="shared" si="74"/>
        <v>1211.2342860110962</v>
      </c>
      <c r="EO131" s="60">
        <f ca="1">AVERAGE(OFFSET($EN$3,0,0,'Données projet'!$E$15+1,1))-AVERAGE(OFFSET($H$3,0,0,'Données projet'!$E$15+1,1))</f>
        <v>698.30188737818639</v>
      </c>
      <c r="EP131" s="60">
        <f t="shared" si="100"/>
        <v>329.77977151358482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396.99335548279453</v>
      </c>
      <c r="FK131" s="60">
        <f t="shared" si="102"/>
        <v>388.89849573746335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67.543470011448747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4.6150000000000002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16.921666666666667</v>
      </c>
      <c r="H132" s="68">
        <f t="shared" ref="H132:H195" si="110">(B132+E132+F132)*44/12+(C132+D132)*0.475*44/12</f>
        <v>188.98000000000002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4.0666666666666664</v>
      </c>
      <c r="N132" s="14">
        <f>IF('Données projet'!$A$36&gt;35,N131+M132-V131,IF(A132&lt;'Données projet'!$A$36,$K$205^A132,IF(A132='Données projet'!$A$36,'Données projet'!$B$36,N131+M132-V131)))</f>
        <v>341.59999999999974</v>
      </c>
      <c r="O132" s="14">
        <f>N132*VLOOKUP('Données projet'!$B$9,Paramètres!$A$1:$I$89,3,0)*VLOOKUP('Données projet'!$B$9,Paramètres!$A$1:$I$89,5,0)</f>
        <v>309.07967999999977</v>
      </c>
      <c r="P132" s="14">
        <f t="shared" si="87"/>
        <v>73.076597480558817</v>
      </c>
      <c r="Q132" s="22">
        <f t="shared" si="108"/>
        <v>665.58884994530615</v>
      </c>
      <c r="R132" s="60">
        <f t="shared" si="109"/>
        <v>950.07116276613613</v>
      </c>
      <c r="S132" s="60">
        <f ca="1">AVERAGE(OFFSET($R$3,0,0,'Données projet'!$E$9+1,1))-AVERAGE(OFFSET($H$3,0,0,'Données projet'!$E$9+1,1))</f>
        <v>550.53475891182575</v>
      </c>
      <c r="T132" s="60">
        <f t="shared" si="88"/>
        <v>350.2500324347194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932.96032500039371</v>
      </c>
      <c r="AN132" s="60">
        <f ca="1">AVERAGE(OFFSET($AM$3,0,0,'Données projet'!$E$10+1,1))-AVERAGE(OFFSET($H$3,0,0,'Données projet'!$E$10+1,1))</f>
        <v>513.16577009788818</v>
      </c>
      <c r="AO132" s="60">
        <f t="shared" si="90"/>
        <v>289.37159333739146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-4.1677594708744434E-14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366.5170155168056</v>
      </c>
      <c r="BJ132" s="60">
        <f t="shared" si="92"/>
        <v>394.05057214541966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333.512642972663</v>
      </c>
      <c r="CE132" s="60">
        <f t="shared" si="94"/>
        <v>464.18634682168488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319.47551999999928</v>
      </c>
      <c r="CV132" s="14">
        <f t="shared" si="95"/>
        <v>75.244214982768113</v>
      </c>
      <c r="CW132" s="22">
        <f t="shared" ref="CW132:CW153" si="121">(CU132+CV132)*0.475*44/12</f>
        <v>687.47020509498645</v>
      </c>
      <c r="CX132" s="60">
        <f t="shared" ref="CX132:CX195" si="122">CW132+(CO132+CP132)*44/12</f>
        <v>971.95251791581643</v>
      </c>
      <c r="CY132" s="60">
        <f ca="1">AVERAGE(OFFSET($CX$3,0,0,'Données projet'!$E$13+1,1))-AVERAGE(OFFSET($H$3,0,0,'Données projet'!$E$13+1,1))</f>
        <v>539.76438066597848</v>
      </c>
      <c r="CZ132" s="60">
        <f t="shared" si="96"/>
        <v>303.47238367344937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287.06495999999942</v>
      </c>
      <c r="DQ132" s="14">
        <f t="shared" si="97"/>
        <v>68.457865822206202</v>
      </c>
      <c r="DR132" s="22">
        <f t="shared" ref="DR132:DR153" si="124">(DP132+DQ132)*0.475*44/12</f>
        <v>619.20225497367471</v>
      </c>
      <c r="DS132" s="60">
        <f t="shared" ref="DS132:DS195" si="125">DR132+(DJ132+DK132)*44/12</f>
        <v>903.68456779450469</v>
      </c>
      <c r="DT132" s="60">
        <f ca="1">AVERAGE(OFFSET($DS$3,0,0,'Données projet'!$E$14+1,1))-AVERAGE(OFFSET($H$3,0,0,'Données projet'!$E$14+1,1))</f>
        <v>493.19478874005267</v>
      </c>
      <c r="DU132" s="60">
        <f t="shared" si="98"/>
        <v>278.78337903007821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5.8</v>
      </c>
      <c r="EJ132" s="13">
        <f>IF('Données projet'!$A$192&gt;35,EJ131+EI132-ER131,IF(A132&lt;'Données projet'!$A$192,$EG$205^A132,IF(A132='Données projet'!$A$192,'Données projet'!$B$192,EJ131+EI132-ER131)))</f>
        <v>511.19999999999965</v>
      </c>
      <c r="EK132" s="18">
        <f>EJ132*VLOOKUP('Données projet'!$B$15,Paramètres!$A$1:$I$89,3,0)*VLOOKUP('Données projet'!$B$15,Paramètres!$A$1:$I$89,5,0)</f>
        <v>438.60959999999977</v>
      </c>
      <c r="EL132" s="14">
        <f t="shared" si="99"/>
        <v>99.561699926475001</v>
      </c>
      <c r="EM132" s="22">
        <f t="shared" ref="EM132:EM153" si="127">(EK132+EL132)*0.475*44/12</f>
        <v>937.31501403861023</v>
      </c>
      <c r="EN132" s="60">
        <f t="shared" ref="EN132:EN195" si="128">EM132+(EE132+EF132)*44/12</f>
        <v>1221.7973268594401</v>
      </c>
      <c r="EO132" s="60">
        <f ca="1">AVERAGE(OFFSET($EN$3,0,0,'Données projet'!$E$15+1,1))-AVERAGE(OFFSET($H$3,0,0,'Données projet'!$E$15+1,1))</f>
        <v>698.30188737818639</v>
      </c>
      <c r="EP132" s="60">
        <f t="shared" si="100"/>
        <v>329.77977151358482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396.99335548279453</v>
      </c>
      <c r="FK132" s="60">
        <f t="shared" si="102"/>
        <v>388.89849573746335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67.586085314771807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4.6150000000000002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16.921666666666667</v>
      </c>
      <c r="H133" s="68">
        <f t="shared" si="110"/>
        <v>188.98000000000002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4.0666666666666664</v>
      </c>
      <c r="N133" s="14">
        <f>IF('Données projet'!$A$36&gt;35,N132+M133-V132,IF(A133&lt;'Données projet'!$A$36,$K$205^A133,IF(A133='Données projet'!$A$36,'Données projet'!$B$36,N132+M133-V132)))</f>
        <v>345.6666666666664</v>
      </c>
      <c r="O133" s="14">
        <f>N133*VLOOKUP('Données projet'!$B$9,Paramètres!$A$1:$I$89,3,0)*VLOOKUP('Données projet'!$B$9,Paramètres!$A$1:$I$89,5,0)</f>
        <v>312.75919999999974</v>
      </c>
      <c r="P133" s="14">
        <f t="shared" ref="P133:P196" si="141">EXP(-1.0587+0.8836*LN(O133)+0.284)</f>
        <v>73.844763437371</v>
      </c>
      <c r="Q133" s="22">
        <f t="shared" si="108"/>
        <v>673.33523632008735</v>
      </c>
      <c r="R133" s="60">
        <f t="shared" si="109"/>
        <v>957.97109455889176</v>
      </c>
      <c r="S133" s="60">
        <f ca="1">AVERAGE(OFFSET($R$3,0,0,'Données projet'!$E$9+1,1))-AVERAGE(OFFSET($H$3,0,0,'Données projet'!$E$9+1,1))</f>
        <v>550.53475891182575</v>
      </c>
      <c r="T133" s="60">
        <f t="shared" ref="T133:T196" si="142">$T$3</f>
        <v>350.2500324347194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939.94879405994925</v>
      </c>
      <c r="AN133" s="60">
        <f ca="1">AVERAGE(OFFSET($AM$3,0,0,'Données projet'!$E$10+1,1))-AVERAGE(OFFSET($H$3,0,0,'Données projet'!$E$10+1,1))</f>
        <v>513.16577009788818</v>
      </c>
      <c r="AO133" s="60">
        <f t="shared" ref="AO133:AO196" si="144">$AO$3</f>
        <v>289.37159333739146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-4.1677594708744434E-14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366.5170155168056</v>
      </c>
      <c r="BJ133" s="60">
        <f t="shared" ref="BJ133:BJ196" si="146">$BJ$3</f>
        <v>394.05057214541966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333.512642972663</v>
      </c>
      <c r="CE133" s="60">
        <f t="shared" ref="CE133:CE196" si="148">$CE$3</f>
        <v>464.18634682168488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322.91999999999928</v>
      </c>
      <c r="CV133" s="14">
        <f t="shared" ref="CV133:CV153" si="149">EXP(-1.0587+0.8836*LN(CU133)+0.284)</f>
        <v>75.960594879408617</v>
      </c>
      <c r="CW133" s="22">
        <f t="shared" si="121"/>
        <v>694.71703608163534</v>
      </c>
      <c r="CX133" s="60">
        <f t="shared" si="122"/>
        <v>979.35289432043987</v>
      </c>
      <c r="CY133" s="60">
        <f ca="1">AVERAGE(OFFSET($CX$3,0,0,'Données projet'!$E$13+1,1))-AVERAGE(OFFSET($H$3,0,0,'Données projet'!$E$13+1,1))</f>
        <v>539.76438066597848</v>
      </c>
      <c r="CZ133" s="60">
        <f t="shared" ref="CZ133:CZ196" si="150">$CZ$3</f>
        <v>303.47238367344937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290.1599999999994</v>
      </c>
      <c r="DQ133" s="14">
        <f t="shared" ref="DQ133:DQ153" si="151">EXP(-1.0587+0.8836*LN(DP133)+0.284)</f>
        <v>69.10963471703981</v>
      </c>
      <c r="DR133" s="22">
        <f t="shared" si="124"/>
        <v>625.72794713217661</v>
      </c>
      <c r="DS133" s="60">
        <f t="shared" si="125"/>
        <v>910.36380537098103</v>
      </c>
      <c r="DT133" s="60">
        <f ca="1">AVERAGE(OFFSET($DS$3,0,0,'Données projet'!$E$14+1,1))-AVERAGE(OFFSET($H$3,0,0,'Données projet'!$E$14+1,1))</f>
        <v>493.19478874005267</v>
      </c>
      <c r="DU133" s="60">
        <f t="shared" ref="DU133:DU196" si="152">$DU$3</f>
        <v>278.78337903007821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5.8</v>
      </c>
      <c r="EJ133" s="13">
        <f>IF('Données projet'!$A$192&gt;35,EJ132+EI133-ER132,IF(A133&lt;'Données projet'!$A$192,$EG$205^A133,IF(A133='Données projet'!$A$192,'Données projet'!$B$192,EJ132+EI133-ER132)))</f>
        <v>516.99999999999966</v>
      </c>
      <c r="EK133" s="18">
        <f>EJ133*VLOOKUP('Données projet'!$B$15,Paramètres!$A$1:$I$89,3,0)*VLOOKUP('Données projet'!$B$15,Paramètres!$A$1:$I$89,5,0)</f>
        <v>443.58599999999979</v>
      </c>
      <c r="EL133" s="14">
        <f t="shared" ref="EL133:EL153" si="153">EXP(-1.0587+0.8836*LN(EK133)+0.284)</f>
        <v>100.55916911965511</v>
      </c>
      <c r="EM133" s="22">
        <f t="shared" si="127"/>
        <v>947.71950288339883</v>
      </c>
      <c r="EN133" s="60">
        <f t="shared" si="128"/>
        <v>1232.3553611222032</v>
      </c>
      <c r="EO133" s="60">
        <f ca="1">AVERAGE(OFFSET($EN$3,0,0,'Données projet'!$E$15+1,1))-AVERAGE(OFFSET($H$3,0,0,'Données projet'!$E$15+1,1))</f>
        <v>698.30188737818639</v>
      </c>
      <c r="EP133" s="60">
        <f t="shared" ref="EP133:EP196" si="154">$EP$3</f>
        <v>329.77977151358482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396.99335548279453</v>
      </c>
      <c r="FK133" s="60">
        <f t="shared" ref="FK133:FK196" si="156">$FK$3</f>
        <v>388.89849573746335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67.627961337855766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4.6150000000000002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16.921666666666667</v>
      </c>
      <c r="H134" s="68">
        <f t="shared" si="110"/>
        <v>188.98000000000002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4.0666666666666664</v>
      </c>
      <c r="N134" s="14">
        <f>IF('Données projet'!$A$36&gt;35,N133+M134-V133,IF(A134&lt;'Données projet'!$A$36,$K$205^A134,IF(A134='Données projet'!$A$36,'Données projet'!$B$36,N133+M134-V133)))</f>
        <v>349.73333333333306</v>
      </c>
      <c r="O134" s="14">
        <f>N134*VLOOKUP('Données projet'!$B$9,Paramètres!$A$1:$I$89,3,0)*VLOOKUP('Données projet'!$B$9,Paramètres!$A$1:$I$89,5,0)</f>
        <v>316.43871999999976</v>
      </c>
      <c r="P134" s="14">
        <f t="shared" si="141"/>
        <v>74.61187815297771</v>
      </c>
      <c r="Q134" s="22">
        <f t="shared" si="108"/>
        <v>681.07979178310245</v>
      </c>
      <c r="R134" s="60">
        <f t="shared" si="109"/>
        <v>965.86653177015569</v>
      </c>
      <c r="S134" s="60">
        <f ca="1">AVERAGE(OFFSET($R$3,0,0,'Données projet'!$E$9+1,1))-AVERAGE(OFFSET($H$3,0,0,'Données projet'!$E$9+1,1))</f>
        <v>550.53475891182575</v>
      </c>
      <c r="T134" s="60">
        <f t="shared" si="142"/>
        <v>350.2500324347194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879.60028578652395</v>
      </c>
      <c r="AN134" s="60">
        <f ca="1">AVERAGE(OFFSET($AM$3,0,0,'Données projet'!$E$10+1,1))-AVERAGE(OFFSET($H$3,0,0,'Données projet'!$E$10+1,1))</f>
        <v>513.16577009788818</v>
      </c>
      <c r="AO134" s="60">
        <f t="shared" si="144"/>
        <v>289.37159333739146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-4.1677594708744434E-14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366.5170155168056</v>
      </c>
      <c r="BJ134" s="60">
        <f t="shared" si="146"/>
        <v>394.05057214541966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333.512642972663</v>
      </c>
      <c r="CE134" s="60">
        <f t="shared" si="148"/>
        <v>464.18634682168488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292.45787999999931</v>
      </c>
      <c r="CV134" s="14">
        <f t="shared" si="149"/>
        <v>69.59301004501954</v>
      </c>
      <c r="CW134" s="22">
        <f t="shared" si="121"/>
        <v>630.57196682840777</v>
      </c>
      <c r="CX134" s="60">
        <f t="shared" si="122"/>
        <v>915.35870681546112</v>
      </c>
      <c r="CY134" s="60">
        <f ca="1">AVERAGE(OFFSET($CX$3,0,0,'Données projet'!$E$13+1,1))-AVERAGE(OFFSET($H$3,0,0,'Données projet'!$E$13+1,1))</f>
        <v>539.76438066597848</v>
      </c>
      <c r="CZ134" s="60">
        <f t="shared" si="150"/>
        <v>303.47238367344937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262.7882399999994</v>
      </c>
      <c r="DQ134" s="14">
        <f t="shared" si="151"/>
        <v>63.316348571334714</v>
      </c>
      <c r="DR134" s="22">
        <f t="shared" si="124"/>
        <v>567.96549176174028</v>
      </c>
      <c r="DS134" s="60">
        <f t="shared" si="125"/>
        <v>852.75223174879352</v>
      </c>
      <c r="DT134" s="60">
        <f ca="1">AVERAGE(OFFSET($DS$3,0,0,'Données projet'!$E$14+1,1))-AVERAGE(OFFSET($H$3,0,0,'Données projet'!$E$14+1,1))</f>
        <v>493.19478874005267</v>
      </c>
      <c r="DU134" s="60">
        <f t="shared" si="152"/>
        <v>278.78337903007821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5.8</v>
      </c>
      <c r="EJ134" s="13">
        <f>IF('Données projet'!$A$192&gt;35,EJ133+EI134-ER133,IF(A134&lt;'Données projet'!$A$192,$EG$205^A134,IF(A134='Données projet'!$A$192,'Données projet'!$B$192,EJ133+EI134-ER133)))</f>
        <v>522.79999999999961</v>
      </c>
      <c r="EK134" s="18">
        <f>EJ134*VLOOKUP('Données projet'!$B$15,Paramètres!$A$1:$I$89,3,0)*VLOOKUP('Données projet'!$B$15,Paramètres!$A$1:$I$89,5,0)</f>
        <v>448.56239999999968</v>
      </c>
      <c r="EL134" s="14">
        <f t="shared" si="153"/>
        <v>101.55533659748193</v>
      </c>
      <c r="EM134" s="22">
        <f t="shared" si="127"/>
        <v>958.12172457394684</v>
      </c>
      <c r="EN134" s="60">
        <f t="shared" si="128"/>
        <v>1242.9084645610001</v>
      </c>
      <c r="EO134" s="60">
        <f ca="1">AVERAGE(OFFSET($EN$3,0,0,'Données projet'!$E$15+1,1))-AVERAGE(OFFSET($H$3,0,0,'Données projet'!$E$15+1,1))</f>
        <v>698.30188737818639</v>
      </c>
      <c r="EP134" s="60">
        <f t="shared" si="154"/>
        <v>329.77977151358482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396.99335548279453</v>
      </c>
      <c r="FK134" s="60">
        <f t="shared" si="156"/>
        <v>388.89849573746335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67.66911090555999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4.6150000000000002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16.921666666666667</v>
      </c>
      <c r="H135" s="68">
        <f t="shared" si="110"/>
        <v>188.98000000000002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4.0666666666666664</v>
      </c>
      <c r="N135" s="14">
        <f>IF('Données projet'!$A$36&gt;35,N134+M135-V134,IF(A135&lt;'Données projet'!$A$36,$K$205^A135,IF(A135='Données projet'!$A$36,'Données projet'!$B$36,N134+M135-V134)))</f>
        <v>353.79999999999973</v>
      </c>
      <c r="O135" s="14">
        <f>N135*VLOOKUP('Données projet'!$B$9,Paramètres!$A$1:$I$89,3,0)*VLOOKUP('Données projet'!$B$9,Paramètres!$A$1:$I$89,5,0)</f>
        <v>320.11823999999973</v>
      </c>
      <c r="P135" s="14">
        <f t="shared" si="141"/>
        <v>75.377955265343516</v>
      </c>
      <c r="Q135" s="22">
        <f t="shared" si="108"/>
        <v>688.8225400871396</v>
      </c>
      <c r="R135" s="60">
        <f t="shared" si="109"/>
        <v>973.75754436143052</v>
      </c>
      <c r="S135" s="60">
        <f ca="1">AVERAGE(OFFSET($R$3,0,0,'Données projet'!$E$9+1,1))-AVERAGE(OFFSET($H$3,0,0,'Données projet'!$E$9+1,1))</f>
        <v>550.53475891182575</v>
      </c>
      <c r="T135" s="60">
        <f t="shared" si="142"/>
        <v>350.2500324347194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885.5258901552329</v>
      </c>
      <c r="AN135" s="60">
        <f ca="1">AVERAGE(OFFSET($AM$3,0,0,'Données projet'!$E$10+1,1))-AVERAGE(OFFSET($H$3,0,0,'Données projet'!$E$10+1,1))</f>
        <v>513.16577009788818</v>
      </c>
      <c r="AO135" s="60">
        <f t="shared" si="144"/>
        <v>289.37159333739146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-4.1677594708744434E-14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366.5170155168056</v>
      </c>
      <c r="BJ135" s="60">
        <f t="shared" si="146"/>
        <v>394.05057214541966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333.512642972663</v>
      </c>
      <c r="CE135" s="60">
        <f t="shared" si="148"/>
        <v>464.18634682168488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295.36415999999929</v>
      </c>
      <c r="CV135" s="14">
        <f t="shared" si="149"/>
        <v>70.203734243177976</v>
      </c>
      <c r="CW135" s="22">
        <f t="shared" si="121"/>
        <v>636.69741580686696</v>
      </c>
      <c r="CX135" s="60">
        <f t="shared" si="122"/>
        <v>921.63242008115799</v>
      </c>
      <c r="CY135" s="60">
        <f ca="1">AVERAGE(OFFSET($CX$3,0,0,'Données projet'!$E$13+1,1))-AVERAGE(OFFSET($H$3,0,0,'Données projet'!$E$13+1,1))</f>
        <v>539.76438066597848</v>
      </c>
      <c r="CZ135" s="60">
        <f t="shared" si="150"/>
        <v>303.47238367344937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265.39967999999936</v>
      </c>
      <c r="DQ135" s="14">
        <f t="shared" si="151"/>
        <v>63.87199095821434</v>
      </c>
      <c r="DR135" s="22">
        <f t="shared" si="124"/>
        <v>573.48149358555554</v>
      </c>
      <c r="DS135" s="60">
        <f t="shared" si="125"/>
        <v>858.41649785984646</v>
      </c>
      <c r="DT135" s="60">
        <f ca="1">AVERAGE(OFFSET($DS$3,0,0,'Données projet'!$E$14+1,1))-AVERAGE(OFFSET($H$3,0,0,'Données projet'!$E$14+1,1))</f>
        <v>493.19478874005267</v>
      </c>
      <c r="DU135" s="60">
        <f t="shared" si="152"/>
        <v>278.78337903007821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5.8</v>
      </c>
      <c r="EJ135" s="13">
        <f>IF('Données projet'!$A$192&gt;35,EJ134+EI135-ER134,IF(A135&lt;'Données projet'!$A$192,$EG$205^A135,IF(A135='Données projet'!$A$192,'Données projet'!$B$192,EJ134+EI135-ER134)))</f>
        <v>528.59999999999957</v>
      </c>
      <c r="EK135" s="18">
        <f>EJ135*VLOOKUP('Données projet'!$B$15,Paramètres!$A$1:$I$89,3,0)*VLOOKUP('Données projet'!$B$15,Paramètres!$A$1:$I$89,5,0)</f>
        <v>453.5387999999997</v>
      </c>
      <c r="EL135" s="14">
        <f t="shared" si="153"/>
        <v>102.55021847256151</v>
      </c>
      <c r="EM135" s="22">
        <f t="shared" si="127"/>
        <v>968.52170717304398</v>
      </c>
      <c r="EN135" s="60">
        <f t="shared" si="128"/>
        <v>1253.456711447335</v>
      </c>
      <c r="EO135" s="60">
        <f ca="1">AVERAGE(OFFSET($EN$3,0,0,'Données projet'!$E$15+1,1))-AVERAGE(OFFSET($H$3,0,0,'Données projet'!$E$15+1,1))</f>
        <v>698.30188737818639</v>
      </c>
      <c r="EP135" s="60">
        <f t="shared" si="154"/>
        <v>329.77977151358482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396.99335548279453</v>
      </c>
      <c r="FK135" s="60">
        <f t="shared" si="156"/>
        <v>388.89849573746335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67.709546620261179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4.6150000000000002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16.921666666666667</v>
      </c>
      <c r="H136" s="68">
        <f t="shared" si="110"/>
        <v>188.98000000000002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4.0666666666666664</v>
      </c>
      <c r="N136" s="14">
        <f>IF('Données projet'!$A$36&gt;35,N135+M136-V135,IF(A136&lt;'Données projet'!$A$36,$K$205^A136,IF(A136='Données projet'!$A$36,'Données projet'!$B$36,N135+M136-V135)))</f>
        <v>357.86666666666639</v>
      </c>
      <c r="O136" s="14">
        <f>N136*VLOOKUP('Données projet'!$B$9,Paramètres!$A$1:$I$89,3,0)*VLOOKUP('Données projet'!$B$9,Paramètres!$A$1:$I$89,5,0)</f>
        <v>323.79775999999976</v>
      </c>
      <c r="P136" s="14">
        <f t="shared" si="141"/>
        <v>76.14300808086972</v>
      </c>
      <c r="Q136" s="22">
        <f t="shared" si="108"/>
        <v>696.5635044075143</v>
      </c>
      <c r="R136" s="60">
        <f t="shared" si="109"/>
        <v>981.64420091512875</v>
      </c>
      <c r="S136" s="60">
        <f ca="1">AVERAGE(OFFSET($R$3,0,0,'Données projet'!$E$9+1,1))-AVERAGE(OFFSET($H$3,0,0,'Données projet'!$E$9+1,1))</f>
        <v>550.53475891182575</v>
      </c>
      <c r="T136" s="60">
        <f t="shared" si="142"/>
        <v>350.2500324347194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891.44776746275193</v>
      </c>
      <c r="AN136" s="60">
        <f ca="1">AVERAGE(OFFSET($AM$3,0,0,'Données projet'!$E$10+1,1))-AVERAGE(OFFSET($H$3,0,0,'Données projet'!$E$10+1,1))</f>
        <v>513.16577009788818</v>
      </c>
      <c r="AO136" s="60">
        <f t="shared" si="144"/>
        <v>289.37159333739146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-4.1677594708744434E-14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366.5170155168056</v>
      </c>
      <c r="BJ136" s="60">
        <f t="shared" si="146"/>
        <v>394.05057214541966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333.512642972663</v>
      </c>
      <c r="CE136" s="60">
        <f t="shared" si="148"/>
        <v>464.18634682168488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298.27043999999927</v>
      </c>
      <c r="CV136" s="14">
        <f t="shared" si="149"/>
        <v>70.813759345855843</v>
      </c>
      <c r="CW136" s="22">
        <f t="shared" si="121"/>
        <v>642.8216471940309</v>
      </c>
      <c r="CX136" s="60">
        <f t="shared" si="122"/>
        <v>927.90234370164535</v>
      </c>
      <c r="CY136" s="60">
        <f ca="1">AVERAGE(OFFSET($CX$3,0,0,'Données projet'!$E$13+1,1))-AVERAGE(OFFSET($H$3,0,0,'Données projet'!$E$13+1,1))</f>
        <v>539.76438066597848</v>
      </c>
      <c r="CZ136" s="60">
        <f t="shared" si="150"/>
        <v>303.47238367344937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268.01111999999938</v>
      </c>
      <c r="DQ136" s="14">
        <f t="shared" si="151"/>
        <v>64.426997301716739</v>
      </c>
      <c r="DR136" s="22">
        <f t="shared" si="124"/>
        <v>578.99638763382234</v>
      </c>
      <c r="DS136" s="60">
        <f t="shared" si="125"/>
        <v>864.07708414143667</v>
      </c>
      <c r="DT136" s="60">
        <f ca="1">AVERAGE(OFFSET($DS$3,0,0,'Données projet'!$E$14+1,1))-AVERAGE(OFFSET($H$3,0,0,'Données projet'!$E$14+1,1))</f>
        <v>493.19478874005267</v>
      </c>
      <c r="DU136" s="60">
        <f t="shared" si="152"/>
        <v>278.78337903007821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5.8</v>
      </c>
      <c r="EJ136" s="13">
        <f>IF('Données projet'!$A$192&gt;35,EJ135+EI136-ER135,IF(A136&lt;'Données projet'!$A$192,$EG$205^A136,IF(A136='Données projet'!$A$192,'Données projet'!$B$192,EJ135+EI136-ER135)))</f>
        <v>534.39999999999952</v>
      </c>
      <c r="EK136" s="18">
        <f>EJ136*VLOOKUP('Données projet'!$B$15,Paramètres!$A$1:$I$89,3,0)*VLOOKUP('Données projet'!$B$15,Paramètres!$A$1:$I$89,5,0)</f>
        <v>458.51519999999971</v>
      </c>
      <c r="EL136" s="14">
        <f t="shared" si="153"/>
        <v>103.54383048355068</v>
      </c>
      <c r="EM136" s="22">
        <f t="shared" si="127"/>
        <v>978.91947809218345</v>
      </c>
      <c r="EN136" s="60">
        <f t="shared" si="128"/>
        <v>1264.0001745997979</v>
      </c>
      <c r="EO136" s="60">
        <f ca="1">AVERAGE(OFFSET($EN$3,0,0,'Données projet'!$E$15+1,1))-AVERAGE(OFFSET($H$3,0,0,'Données projet'!$E$15+1,1))</f>
        <v>698.30188737818639</v>
      </c>
      <c r="EP136" s="60">
        <f t="shared" si="154"/>
        <v>329.77977151358482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396.99335548279453</v>
      </c>
      <c r="FK136" s="60">
        <f t="shared" si="156"/>
        <v>388.89849573746335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67.749280865713018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4.6150000000000002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16.921666666666667</v>
      </c>
      <c r="H137" s="68">
        <f t="shared" si="110"/>
        <v>188.98000000000002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4.0666666666666664</v>
      </c>
      <c r="N137" s="14">
        <f>IF('Données projet'!$A$36&gt;35,N136+M137-V136,IF(A137&lt;'Données projet'!$A$36,$K$205^A137,IF(A137='Données projet'!$A$36,'Données projet'!$B$36,N136+M137-V136)))</f>
        <v>361.93333333333305</v>
      </c>
      <c r="O137" s="14">
        <f>N137*VLOOKUP('Données projet'!$B$9,Paramètres!$A$1:$I$89,3,0)*VLOOKUP('Données projet'!$B$9,Paramètres!$A$1:$I$89,5,0)</f>
        <v>327.47727999999972</v>
      </c>
      <c r="P137" s="14">
        <f t="shared" si="141"/>
        <v>76.907049586130199</v>
      </c>
      <c r="Q137" s="22">
        <f t="shared" si="108"/>
        <v>704.30270736250952</v>
      </c>
      <c r="R137" s="60">
        <f t="shared" si="109"/>
        <v>989.52656866891823</v>
      </c>
      <c r="S137" s="60">
        <f ca="1">AVERAGE(OFFSET($R$3,0,0,'Données projet'!$E$9+1,1))-AVERAGE(OFFSET($H$3,0,0,'Données projet'!$E$9+1,1))</f>
        <v>550.53475891182575</v>
      </c>
      <c r="T137" s="60">
        <f t="shared" si="142"/>
        <v>350.2500324347194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897.3659748858546</v>
      </c>
      <c r="AN137" s="60">
        <f ca="1">AVERAGE(OFFSET($AM$3,0,0,'Données projet'!$E$10+1,1))-AVERAGE(OFFSET($H$3,0,0,'Données projet'!$E$10+1,1))</f>
        <v>513.16577009788818</v>
      </c>
      <c r="AO137" s="60">
        <f t="shared" si="144"/>
        <v>289.37159333739146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-4.1677594708744434E-14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366.5170155168056</v>
      </c>
      <c r="BJ137" s="60">
        <f t="shared" si="146"/>
        <v>394.05057214541966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333.512642972663</v>
      </c>
      <c r="CE137" s="60">
        <f t="shared" si="148"/>
        <v>464.18634682168488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301.17671999999925</v>
      </c>
      <c r="CV137" s="14">
        <f t="shared" si="149"/>
        <v>71.423092953709514</v>
      </c>
      <c r="CW137" s="22">
        <f t="shared" si="121"/>
        <v>648.94467422770936</v>
      </c>
      <c r="CX137" s="60">
        <f t="shared" si="122"/>
        <v>934.16853553411806</v>
      </c>
      <c r="CY137" s="60">
        <f ca="1">AVERAGE(OFFSET($CX$3,0,0,'Données projet'!$E$13+1,1))-AVERAGE(OFFSET($H$3,0,0,'Données projet'!$E$13+1,1))</f>
        <v>539.76438066597848</v>
      </c>
      <c r="CZ137" s="60">
        <f t="shared" si="150"/>
        <v>303.47238367344937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270.62255999999934</v>
      </c>
      <c r="DQ137" s="14">
        <f t="shared" si="151"/>
        <v>64.981374516987898</v>
      </c>
      <c r="DR137" s="22">
        <f t="shared" si="124"/>
        <v>584.51018595041944</v>
      </c>
      <c r="DS137" s="60">
        <f t="shared" si="125"/>
        <v>869.73404725682815</v>
      </c>
      <c r="DT137" s="60">
        <f ca="1">AVERAGE(OFFSET($DS$3,0,0,'Données projet'!$E$14+1,1))-AVERAGE(OFFSET($H$3,0,0,'Données projet'!$E$14+1,1))</f>
        <v>493.19478874005267</v>
      </c>
      <c r="DU137" s="60">
        <f t="shared" si="152"/>
        <v>278.78337903007821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5.8</v>
      </c>
      <c r="EJ137" s="13">
        <f>IF('Données projet'!$A$192&gt;35,EJ136+EI137-ER136,IF(A137&lt;'Données projet'!$A$192,$EG$205^A137,IF(A137='Données projet'!$A$192,'Données projet'!$B$192,EJ136+EI137-ER136)))</f>
        <v>540.19999999999948</v>
      </c>
      <c r="EK137" s="18">
        <f>EJ137*VLOOKUP('Données projet'!$B$15,Paramètres!$A$1:$I$89,3,0)*VLOOKUP('Données projet'!$B$15,Paramètres!$A$1:$I$89,5,0)</f>
        <v>463.49159999999961</v>
      </c>
      <c r="EL137" s="14">
        <f t="shared" si="153"/>
        <v>104.53618800779775</v>
      </c>
      <c r="EM137" s="22">
        <f t="shared" si="127"/>
        <v>989.31506411358021</v>
      </c>
      <c r="EN137" s="60">
        <f t="shared" si="128"/>
        <v>1274.538925419989</v>
      </c>
      <c r="EO137" s="60">
        <f ca="1">AVERAGE(OFFSET($EN$3,0,0,'Données projet'!$E$15+1,1))-AVERAGE(OFFSET($H$3,0,0,'Données projet'!$E$15+1,1))</f>
        <v>698.30188737818639</v>
      </c>
      <c r="EP137" s="60">
        <f t="shared" si="154"/>
        <v>329.77977151358482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396.99335548279453</v>
      </c>
      <c r="FK137" s="60">
        <f t="shared" si="156"/>
        <v>388.89849573746335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67.788325810838742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4.6150000000000002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16.921666666666667</v>
      </c>
      <c r="H138" s="68">
        <f t="shared" si="110"/>
        <v>188.98000000000002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366</v>
      </c>
      <c r="L138" s="13">
        <f>VLOOKUP(A138,'Données projet'!$A$35:$I$55,9,0)</f>
        <v>4.0666666666666664</v>
      </c>
      <c r="M138" s="13">
        <f t="array" ref="M138">INDEX(L:L,MIN(IF(ISNUMBER(L138:L334),ROW(L138:L334),"")))</f>
        <v>4.0666666666666664</v>
      </c>
      <c r="N138" s="14">
        <f>IF('Données projet'!$A$36&gt;35,N137+M138-V137,IF(A138&lt;'Données projet'!$A$36,$K$205^A138,IF(A138='Données projet'!$A$36,'Données projet'!$B$36,N137+M138-V137)))</f>
        <v>365.99999999999972</v>
      </c>
      <c r="O138" s="14">
        <f>N138*VLOOKUP('Données projet'!$B$9,Paramètres!$A$1:$I$89,3,0)*VLOOKUP('Données projet'!$B$9,Paramètres!$A$1:$I$89,5,0)</f>
        <v>331.15679999999975</v>
      </c>
      <c r="P138" s="14">
        <f t="shared" si="141"/>
        <v>77.67009245906327</v>
      </c>
      <c r="Q138" s="22">
        <f t="shared" si="108"/>
        <v>712.04017103286799</v>
      </c>
      <c r="R138" s="60">
        <f t="shared" si="109"/>
        <v>997.40471354888041</v>
      </c>
      <c r="S138" s="60">
        <f ca="1">AVERAGE(OFFSET($R$3,0,0,'Données projet'!$E$9+1,1))-AVERAGE(OFFSET($H$3,0,0,'Données projet'!$E$9+1,1))</f>
        <v>550.53475891182575</v>
      </c>
      <c r="T138" s="60">
        <f t="shared" si="142"/>
        <v>350.2500324347194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65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903.28056857094384</v>
      </c>
      <c r="AN138" s="60">
        <f ca="1">AVERAGE(OFFSET($AM$3,0,0,'Données projet'!$E$10+1,1))-AVERAGE(OFFSET($H$3,0,0,'Données projet'!$E$10+1,1))</f>
        <v>513.16577009788818</v>
      </c>
      <c r="AO138" s="60">
        <f t="shared" si="144"/>
        <v>289.37159333739146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-4.1677594708744434E-14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366.5170155168056</v>
      </c>
      <c r="BJ138" s="60">
        <f t="shared" si="146"/>
        <v>394.05057214541966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333.512642972663</v>
      </c>
      <c r="CE138" s="60">
        <f t="shared" si="148"/>
        <v>464.18634682168488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304.08299999999929</v>
      </c>
      <c r="CV138" s="14">
        <f t="shared" si="149"/>
        <v>72.031742512249494</v>
      </c>
      <c r="CW138" s="22">
        <f t="shared" si="121"/>
        <v>655.06650987549995</v>
      </c>
      <c r="CX138" s="60">
        <f t="shared" si="122"/>
        <v>940.43105239151237</v>
      </c>
      <c r="CY138" s="60">
        <f ca="1">AVERAGE(OFFSET($CX$3,0,0,'Données projet'!$E$13+1,1))-AVERAGE(OFFSET($H$3,0,0,'Données projet'!$E$13+1,1))</f>
        <v>539.76438066597848</v>
      </c>
      <c r="CZ138" s="60">
        <f t="shared" si="150"/>
        <v>303.47238367344937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273.23399999999936</v>
      </c>
      <c r="DQ138" s="14">
        <f t="shared" si="151"/>
        <v>65.535129378020301</v>
      </c>
      <c r="DR138" s="22">
        <f t="shared" si="124"/>
        <v>590.0229003333842</v>
      </c>
      <c r="DS138" s="60">
        <f t="shared" si="125"/>
        <v>875.38744284939662</v>
      </c>
      <c r="DT138" s="60">
        <f ca="1">AVERAGE(OFFSET($DS$3,0,0,'Données projet'!$E$14+1,1))-AVERAGE(OFFSET($H$3,0,0,'Données projet'!$E$14+1,1))</f>
        <v>493.19478874005267</v>
      </c>
      <c r="DU138" s="60">
        <f t="shared" si="152"/>
        <v>278.78337903007821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>
        <f>VLOOKUP(A138,'Données projet'!$A$191:$I$211,2,0)</f>
        <v>546</v>
      </c>
      <c r="EH138" s="13">
        <f>VLOOKUP(A138,'Données projet'!$A$191:$I$211,9,0)</f>
        <v>5.8</v>
      </c>
      <c r="EI138" s="13">
        <f t="array" ref="EI138">INDEX(EH:EH,MIN(IF(ISNUMBER(EH138:EH334),ROW(EH138:EH334),"")))</f>
        <v>5.8</v>
      </c>
      <c r="EJ138" s="13">
        <f>IF('Données projet'!$A$192&gt;35,EJ137+EI138-ER137,IF(A138&lt;'Données projet'!$A$192,$EG$205^A138,IF(A138='Données projet'!$A$192,'Données projet'!$B$192,EJ137+EI138-ER137)))</f>
        <v>545.99999999999943</v>
      </c>
      <c r="EK138" s="18">
        <f>EJ138*VLOOKUP('Données projet'!$B$15,Paramètres!$A$1:$I$89,3,0)*VLOOKUP('Données projet'!$B$15,Paramètres!$A$1:$I$89,5,0)</f>
        <v>468.46799999999956</v>
      </c>
      <c r="EL138" s="14">
        <f t="shared" si="153"/>
        <v>105.52730607342514</v>
      </c>
      <c r="EM138" s="22">
        <f t="shared" si="127"/>
        <v>999.7084914112146</v>
      </c>
      <c r="EN138" s="60">
        <f t="shared" si="128"/>
        <v>1285.073033927227</v>
      </c>
      <c r="EO138" s="60">
        <f ca="1">AVERAGE(OFFSET($EN$3,0,0,'Données projet'!$E$15+1,1))-AVERAGE(OFFSET($H$3,0,0,'Données projet'!$E$15+1,1))</f>
        <v>698.30188737818639</v>
      </c>
      <c r="EP138" s="60">
        <f t="shared" si="154"/>
        <v>329.77977151358482</v>
      </c>
      <c r="EQ138" s="16">
        <f>IF(ISNA(VLOOKUP(A138,'Données projet'!$A$191:$I$211,3,0)),0,VLOOKUP(A138,'Données projet'!$A$191:$I$211,3,0))</f>
        <v>12</v>
      </c>
      <c r="ER138" s="16">
        <f>IF(ISNA(VLOOKUP(A138,'Données projet'!$A$191:$I$211,4,0)),0,VLOOKUP(A138,'Données projet'!$A$191:$I$211,4,0))</f>
        <v>49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396.99335548279453</v>
      </c>
      <c r="FK138" s="60">
        <f t="shared" si="156"/>
        <v>388.89849573746335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67.826693413457946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4.6150000000000002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16.921666666666667</v>
      </c>
      <c r="H139" s="68">
        <f t="shared" si="110"/>
        <v>188.98000000000002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3.6</v>
      </c>
      <c r="N139" s="14">
        <f>IF('Données projet'!$A$36&gt;35,N138+M139-V138,IF(A139&lt;'Données projet'!$A$36,$K$205^A139,IF(A139='Données projet'!$A$36,'Données projet'!$B$36,N138+M139-V138)))</f>
        <v>304.59999999999974</v>
      </c>
      <c r="O139" s="14">
        <f>N139*VLOOKUP('Données projet'!$B$9,Paramètres!$A$1:$I$89,3,0)*VLOOKUP('Données projet'!$B$9,Paramètres!$A$1:$I$89,5,0)</f>
        <v>275.60207999999977</v>
      </c>
      <c r="P139" s="14">
        <f t="shared" si="141"/>
        <v>66.036747345007257</v>
      </c>
      <c r="Q139" s="22">
        <f t="shared" si="108"/>
        <v>595.02095762588726</v>
      </c>
      <c r="R139" s="60">
        <f t="shared" si="109"/>
        <v>880.52374084703297</v>
      </c>
      <c r="S139" s="60">
        <f ca="1">AVERAGE(OFFSET($R$3,0,0,'Données projet'!$E$9+1,1))-AVERAGE(OFFSET($H$3,0,0,'Données projet'!$E$9+1,1))</f>
        <v>550.53475891182575</v>
      </c>
      <c r="T139" s="60">
        <f t="shared" si="142"/>
        <v>350.2500324347194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909.19160365511129</v>
      </c>
      <c r="AN139" s="60">
        <f ca="1">AVERAGE(OFFSET($AM$3,0,0,'Données projet'!$E$10+1,1))-AVERAGE(OFFSET($H$3,0,0,'Données projet'!$E$10+1,1))</f>
        <v>513.16577009788818</v>
      </c>
      <c r="AO139" s="60">
        <f t="shared" si="144"/>
        <v>289.37159333739146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-4.1677594708744434E-14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366.5170155168056</v>
      </c>
      <c r="BJ139" s="60">
        <f t="shared" si="146"/>
        <v>394.05057214541966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333.512642972663</v>
      </c>
      <c r="CE139" s="60">
        <f t="shared" si="148"/>
        <v>464.18634682168488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306.98927999999921</v>
      </c>
      <c r="CV139" s="14">
        <f t="shared" si="149"/>
        <v>72.639715316458506</v>
      </c>
      <c r="CW139" s="22">
        <f t="shared" si="121"/>
        <v>661.18716684283038</v>
      </c>
      <c r="CX139" s="60">
        <f t="shared" si="122"/>
        <v>946.68995006397608</v>
      </c>
      <c r="CY139" s="60">
        <f ca="1">AVERAGE(OFFSET($CX$3,0,0,'Données projet'!$E$13+1,1))-AVERAGE(OFFSET($H$3,0,0,'Données projet'!$E$13+1,1))</f>
        <v>539.76438066597848</v>
      </c>
      <c r="CZ139" s="60">
        <f t="shared" si="150"/>
        <v>303.47238367344937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275.84543999999931</v>
      </c>
      <c r="DQ139" s="14">
        <f t="shared" si="151"/>
        <v>66.088268521855113</v>
      </c>
      <c r="DR139" s="22">
        <f t="shared" si="124"/>
        <v>595.53454234222977</v>
      </c>
      <c r="DS139" s="60">
        <f t="shared" si="125"/>
        <v>881.03732556337559</v>
      </c>
      <c r="DT139" s="60">
        <f ca="1">AVERAGE(OFFSET($DS$3,0,0,'Données projet'!$E$14+1,1))-AVERAGE(OFFSET($H$3,0,0,'Données projet'!$E$14+1,1))</f>
        <v>493.19478874005267</v>
      </c>
      <c r="DU139" s="60">
        <f t="shared" si="152"/>
        <v>278.78337903007821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4.9333333333333336</v>
      </c>
      <c r="EJ139" s="13">
        <f>IF('Données projet'!$A$192&gt;35,EJ138+EI139-ER138,IF(A139&lt;'Données projet'!$A$192,$EG$205^A139,IF(A139='Données projet'!$A$192,'Données projet'!$B$192,EJ138+EI139-ER138)))</f>
        <v>501.93333333333271</v>
      </c>
      <c r="EK139" s="18">
        <f>EJ139*VLOOKUP('Données projet'!$B$15,Paramètres!$A$1:$I$89,3,0)*VLOOKUP('Données projet'!$B$15,Paramètres!$A$1:$I$89,5,0)</f>
        <v>430.65879999999947</v>
      </c>
      <c r="EL139" s="14">
        <f t="shared" si="153"/>
        <v>97.965299752381441</v>
      </c>
      <c r="EM139" s="22">
        <f t="shared" si="127"/>
        <v>920.6869737353968</v>
      </c>
      <c r="EN139" s="60">
        <f t="shared" si="128"/>
        <v>1206.1897569565426</v>
      </c>
      <c r="EO139" s="60">
        <f ca="1">AVERAGE(OFFSET($EN$3,0,0,'Données projet'!$E$15+1,1))-AVERAGE(OFFSET($H$3,0,0,'Données projet'!$E$15+1,1))</f>
        <v>698.30188737818639</v>
      </c>
      <c r="EP139" s="60">
        <f t="shared" si="154"/>
        <v>329.77977151358482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396.99335548279453</v>
      </c>
      <c r="FK139" s="60">
        <f t="shared" si="156"/>
        <v>388.89849573746335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67.864395423948835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4.6150000000000002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16.921666666666667</v>
      </c>
      <c r="H140" s="68">
        <f t="shared" si="110"/>
        <v>188.98000000000002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3.6</v>
      </c>
      <c r="N140" s="14">
        <f>IF('Données projet'!$A$36&gt;35,N139+M140-V139,IF(A140&lt;'Données projet'!$A$36,$K$205^A140,IF(A140='Données projet'!$A$36,'Données projet'!$B$36,N139+M140-V139)))</f>
        <v>308.19999999999976</v>
      </c>
      <c r="O140" s="14">
        <f>N140*VLOOKUP('Données projet'!$B$9,Paramètres!$A$1:$I$89,3,0)*VLOOKUP('Données projet'!$B$9,Paramètres!$A$1:$I$89,5,0)</f>
        <v>278.85935999999981</v>
      </c>
      <c r="P140" s="14">
        <f t="shared" si="141"/>
        <v>66.725901622172387</v>
      </c>
      <c r="Q140" s="22">
        <f t="shared" si="108"/>
        <v>601.89433065861647</v>
      </c>
      <c r="R140" s="60">
        <f t="shared" si="109"/>
        <v>887.53295641772127</v>
      </c>
      <c r="S140" s="60">
        <f ca="1">AVERAGE(OFFSET($R$3,0,0,'Données projet'!$E$9+1,1))-AVERAGE(OFFSET($H$3,0,0,'Données projet'!$E$9+1,1))</f>
        <v>550.53475891182575</v>
      </c>
      <c r="T140" s="60">
        <f t="shared" si="142"/>
        <v>350.2500324347194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915.09913428666459</v>
      </c>
      <c r="AN140" s="60">
        <f ca="1">AVERAGE(OFFSET($AM$3,0,0,'Données projet'!$E$10+1,1))-AVERAGE(OFFSET($H$3,0,0,'Données projet'!$E$10+1,1))</f>
        <v>513.16577009788818</v>
      </c>
      <c r="AO140" s="60">
        <f t="shared" si="144"/>
        <v>289.37159333739146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-4.1677594708744434E-14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366.5170155168056</v>
      </c>
      <c r="BJ140" s="60">
        <f t="shared" si="146"/>
        <v>394.05057214541966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333.512642972663</v>
      </c>
      <c r="CE140" s="60">
        <f t="shared" si="148"/>
        <v>464.18634682168488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309.89555999999925</v>
      </c>
      <c r="CV140" s="14">
        <f t="shared" si="149"/>
        <v>73.247018515231034</v>
      </c>
      <c r="CW140" s="22">
        <f t="shared" si="121"/>
        <v>667.30665758069279</v>
      </c>
      <c r="CX140" s="60">
        <f t="shared" si="122"/>
        <v>952.94528333979758</v>
      </c>
      <c r="CY140" s="60">
        <f ca="1">AVERAGE(OFFSET($CX$3,0,0,'Données projet'!$E$13+1,1))-AVERAGE(OFFSET($H$3,0,0,'Données projet'!$E$13+1,1))</f>
        <v>539.76438066597848</v>
      </c>
      <c r="CZ140" s="60">
        <f t="shared" si="150"/>
        <v>303.47238367344937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278.45687999999933</v>
      </c>
      <c r="DQ140" s="14">
        <f t="shared" si="151"/>
        <v>66.640798452620999</v>
      </c>
      <c r="DR140" s="22">
        <f t="shared" si="124"/>
        <v>601.04512330498039</v>
      </c>
      <c r="DS140" s="60">
        <f t="shared" si="125"/>
        <v>886.68374906408519</v>
      </c>
      <c r="DT140" s="60">
        <f ca="1">AVERAGE(OFFSET($DS$3,0,0,'Données projet'!$E$14+1,1))-AVERAGE(OFFSET($H$3,0,0,'Données projet'!$E$14+1,1))</f>
        <v>493.19478874005267</v>
      </c>
      <c r="DU140" s="60">
        <f t="shared" si="152"/>
        <v>278.78337903007821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4.9333333333333336</v>
      </c>
      <c r="EJ140" s="13">
        <f>IF('Données projet'!$A$192&gt;35,EJ139+EI140-ER139,IF(A140&lt;'Données projet'!$A$192,$EG$205^A140,IF(A140='Données projet'!$A$192,'Données projet'!$B$192,EJ139+EI140-ER139)))</f>
        <v>506.86666666666605</v>
      </c>
      <c r="EK140" s="18">
        <f>EJ140*VLOOKUP('Données projet'!$B$15,Paramètres!$A$1:$I$89,3,0)*VLOOKUP('Données projet'!$B$15,Paramètres!$A$1:$I$89,5,0)</f>
        <v>434.89159999999953</v>
      </c>
      <c r="EL140" s="14">
        <f t="shared" si="153"/>
        <v>98.815604895945327</v>
      </c>
      <c r="EM140" s="22">
        <f t="shared" si="127"/>
        <v>929.54004852710386</v>
      </c>
      <c r="EN140" s="60">
        <f t="shared" si="128"/>
        <v>1215.1786742862087</v>
      </c>
      <c r="EO140" s="60">
        <f ca="1">AVERAGE(OFFSET($EN$3,0,0,'Données projet'!$E$15+1,1))-AVERAGE(OFFSET($H$3,0,0,'Données projet'!$E$15+1,1))</f>
        <v>698.30188737818639</v>
      </c>
      <c r="EP140" s="60">
        <f t="shared" si="154"/>
        <v>329.77977151358482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396.99335548279453</v>
      </c>
      <c r="FK140" s="60">
        <f t="shared" si="156"/>
        <v>388.89849573746335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67.901443388846758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4.6150000000000002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16.921666666666667</v>
      </c>
      <c r="H141" s="68">
        <f t="shared" si="110"/>
        <v>188.98000000000002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3.6</v>
      </c>
      <c r="N141" s="14">
        <f>IF('Données projet'!$A$36&gt;35,N140+M141-V140,IF(A141&lt;'Données projet'!$A$36,$K$205^A141,IF(A141='Données projet'!$A$36,'Données projet'!$B$36,N140+M141-V140)))</f>
        <v>311.79999999999978</v>
      </c>
      <c r="O141" s="14">
        <f>N141*VLOOKUP('Données projet'!$B$9,Paramètres!$A$1:$I$89,3,0)*VLOOKUP('Données projet'!$B$9,Paramètres!$A$1:$I$89,5,0)</f>
        <v>282.11663999999979</v>
      </c>
      <c r="P141" s="14">
        <f t="shared" si="141"/>
        <v>67.414119514142186</v>
      </c>
      <c r="Q141" s="22">
        <f t="shared" si="108"/>
        <v>608.76607282046393</v>
      </c>
      <c r="R141" s="60">
        <f t="shared" si="109"/>
        <v>894.53818455319265</v>
      </c>
      <c r="S141" s="60">
        <f ca="1">AVERAGE(OFFSET($R$3,0,0,'Données projet'!$E$9+1,1))-AVERAGE(OFFSET($H$3,0,0,'Données projet'!$E$9+1,1))</f>
        <v>550.53475891182575</v>
      </c>
      <c r="T141" s="60">
        <f t="shared" si="142"/>
        <v>350.2500324347194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921.00321364514593</v>
      </c>
      <c r="AN141" s="60">
        <f ca="1">AVERAGE(OFFSET($AM$3,0,0,'Données projet'!$E$10+1,1))-AVERAGE(OFFSET($H$3,0,0,'Données projet'!$E$10+1,1))</f>
        <v>513.16577009788818</v>
      </c>
      <c r="AO141" s="60">
        <f t="shared" si="144"/>
        <v>289.37159333739146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-4.1677594708744434E-14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366.5170155168056</v>
      </c>
      <c r="BJ141" s="60">
        <f t="shared" si="146"/>
        <v>394.05057214541966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333.512642972663</v>
      </c>
      <c r="CE141" s="60">
        <f t="shared" si="148"/>
        <v>464.18634682168488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312.80183999999923</v>
      </c>
      <c r="CV141" s="14">
        <f t="shared" si="149"/>
        <v>73.853659115640255</v>
      </c>
      <c r="CW141" s="22">
        <f t="shared" si="121"/>
        <v>673.42499429307202</v>
      </c>
      <c r="CX141" s="60">
        <f t="shared" si="122"/>
        <v>959.19710602580062</v>
      </c>
      <c r="CY141" s="60">
        <f ca="1">AVERAGE(OFFSET($CX$3,0,0,'Données projet'!$E$13+1,1))-AVERAGE(OFFSET($H$3,0,0,'Données projet'!$E$13+1,1))</f>
        <v>539.76438066597848</v>
      </c>
      <c r="CZ141" s="60">
        <f t="shared" si="150"/>
        <v>303.47238367344937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281.06831999999929</v>
      </c>
      <c r="DQ141" s="14">
        <f t="shared" si="151"/>
        <v>67.192725545416536</v>
      </c>
      <c r="DR141" s="22">
        <f t="shared" si="124"/>
        <v>606.55465432493247</v>
      </c>
      <c r="DS141" s="60">
        <f t="shared" si="125"/>
        <v>892.32676605766119</v>
      </c>
      <c r="DT141" s="60">
        <f ca="1">AVERAGE(OFFSET($DS$3,0,0,'Données projet'!$E$14+1,1))-AVERAGE(OFFSET($H$3,0,0,'Données projet'!$E$14+1,1))</f>
        <v>493.19478874005267</v>
      </c>
      <c r="DU141" s="60">
        <f t="shared" si="152"/>
        <v>278.78337903007821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4.9333333333333336</v>
      </c>
      <c r="EJ141" s="13">
        <f>IF('Données projet'!$A$192&gt;35,EJ140+EI141-ER140,IF(A141&lt;'Données projet'!$A$192,$EG$205^A141,IF(A141='Données projet'!$A$192,'Données projet'!$B$192,EJ140+EI141-ER140)))</f>
        <v>511.79999999999939</v>
      </c>
      <c r="EK141" s="18">
        <f>EJ141*VLOOKUP('Données projet'!$B$15,Paramètres!$A$1:$I$89,3,0)*VLOOKUP('Données projet'!$B$15,Paramètres!$A$1:$I$89,5,0)</f>
        <v>439.12439999999953</v>
      </c>
      <c r="EL141" s="14">
        <f t="shared" si="153"/>
        <v>99.664947240177099</v>
      </c>
      <c r="EM141" s="22">
        <f t="shared" si="127"/>
        <v>938.39144644330747</v>
      </c>
      <c r="EN141" s="60">
        <f t="shared" si="128"/>
        <v>1224.1635581760361</v>
      </c>
      <c r="EO141" s="60">
        <f ca="1">AVERAGE(OFFSET($EN$3,0,0,'Données projet'!$E$15+1,1))-AVERAGE(OFFSET($H$3,0,0,'Données projet'!$E$15+1,1))</f>
        <v>698.30188737818639</v>
      </c>
      <c r="EP141" s="60">
        <f t="shared" si="154"/>
        <v>329.77977151358482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396.99335548279453</v>
      </c>
      <c r="FK141" s="60">
        <f t="shared" si="156"/>
        <v>388.89849573746335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67.937848654380545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4.6150000000000002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16.921666666666667</v>
      </c>
      <c r="H142" s="68">
        <f t="shared" si="110"/>
        <v>188.98000000000002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3.6</v>
      </c>
      <c r="N142" s="14">
        <f>IF('Données projet'!$A$36&gt;35,N141+M142-V141,IF(A142&lt;'Données projet'!$A$36,$K$205^A142,IF(A142='Données projet'!$A$36,'Données projet'!$B$36,N141+M142-V141)))</f>
        <v>315.39999999999981</v>
      </c>
      <c r="O142" s="14">
        <f>N142*VLOOKUP('Données projet'!$B$9,Paramètres!$A$1:$I$89,3,0)*VLOOKUP('Données projet'!$B$9,Paramètres!$A$1:$I$89,5,0)</f>
        <v>285.37391999999983</v>
      </c>
      <c r="P142" s="14">
        <f t="shared" si="141"/>
        <v>68.101413083167643</v>
      </c>
      <c r="Q142" s="22">
        <f t="shared" si="108"/>
        <v>615.63620511984993</v>
      </c>
      <c r="R142" s="60">
        <f t="shared" si="109"/>
        <v>901.53948714299008</v>
      </c>
      <c r="S142" s="60">
        <f ca="1">AVERAGE(OFFSET($R$3,0,0,'Données projet'!$E$9+1,1))-AVERAGE(OFFSET($H$3,0,0,'Données projet'!$E$9+1,1))</f>
        <v>550.53475891182575</v>
      </c>
      <c r="T142" s="60">
        <f t="shared" si="142"/>
        <v>350.2500324347194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926.90389396085334</v>
      </c>
      <c r="AN142" s="60">
        <f ca="1">AVERAGE(OFFSET($AM$3,0,0,'Données projet'!$E$10+1,1))-AVERAGE(OFFSET($H$3,0,0,'Données projet'!$E$10+1,1))</f>
        <v>513.16577009788818</v>
      </c>
      <c r="AO142" s="60">
        <f t="shared" si="144"/>
        <v>289.37159333739146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-4.1677594708744434E-14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366.5170155168056</v>
      </c>
      <c r="BJ142" s="60">
        <f t="shared" si="146"/>
        <v>394.05057214541966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333.512642972663</v>
      </c>
      <c r="CE142" s="60">
        <f t="shared" si="148"/>
        <v>464.18634682168488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315.70811999999916</v>
      </c>
      <c r="CV142" s="14">
        <f t="shared" si="149"/>
        <v>74.459643987042966</v>
      </c>
      <c r="CW142" s="22">
        <f t="shared" si="121"/>
        <v>679.54218894409837</v>
      </c>
      <c r="CX142" s="60">
        <f t="shared" si="122"/>
        <v>965.44547096723841</v>
      </c>
      <c r="CY142" s="60">
        <f ca="1">AVERAGE(OFFSET($CX$3,0,0,'Données projet'!$E$13+1,1))-AVERAGE(OFFSET($H$3,0,0,'Données projet'!$E$13+1,1))</f>
        <v>539.76438066597848</v>
      </c>
      <c r="CZ142" s="60">
        <f t="shared" si="150"/>
        <v>303.47238367344937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283.67975999999931</v>
      </c>
      <c r="DQ142" s="14">
        <f t="shared" si="151"/>
        <v>67.74405605004435</v>
      </c>
      <c r="DR142" s="22">
        <f t="shared" si="124"/>
        <v>612.06314628715938</v>
      </c>
      <c r="DS142" s="60">
        <f t="shared" si="125"/>
        <v>897.96642831029953</v>
      </c>
      <c r="DT142" s="60">
        <f ca="1">AVERAGE(OFFSET($DS$3,0,0,'Données projet'!$E$14+1,1))-AVERAGE(OFFSET($H$3,0,0,'Données projet'!$E$14+1,1))</f>
        <v>493.19478874005267</v>
      </c>
      <c r="DU142" s="60">
        <f t="shared" si="152"/>
        <v>278.78337903007821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4.9333333333333336</v>
      </c>
      <c r="EJ142" s="13">
        <f>IF('Données projet'!$A$192&gt;35,EJ141+EI142-ER141,IF(A142&lt;'Données projet'!$A$192,$EG$205^A142,IF(A142='Données projet'!$A$192,'Données projet'!$B$192,EJ141+EI142-ER141)))</f>
        <v>516.73333333333267</v>
      </c>
      <c r="EK142" s="18">
        <f>EJ142*VLOOKUP('Données projet'!$B$15,Paramètres!$A$1:$I$89,3,0)*VLOOKUP('Données projet'!$B$15,Paramètres!$A$1:$I$89,5,0)</f>
        <v>443.35719999999947</v>
      </c>
      <c r="EL142" s="14">
        <f t="shared" si="153"/>
        <v>100.51333714044823</v>
      </c>
      <c r="EM142" s="22">
        <f t="shared" si="127"/>
        <v>947.24118551961294</v>
      </c>
      <c r="EN142" s="60">
        <f t="shared" si="128"/>
        <v>1233.1444675427531</v>
      </c>
      <c r="EO142" s="60">
        <f ca="1">AVERAGE(OFFSET($EN$3,0,0,'Données projet'!$E$15+1,1))-AVERAGE(OFFSET($H$3,0,0,'Données projet'!$E$15+1,1))</f>
        <v>698.30188737818639</v>
      </c>
      <c r="EP142" s="60">
        <f t="shared" si="154"/>
        <v>329.77977151358482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396.99335548279453</v>
      </c>
      <c r="FK142" s="60">
        <f t="shared" si="156"/>
        <v>388.89849573746335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67.973622369947307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4.6150000000000002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16.921666666666667</v>
      </c>
      <c r="H143" s="68">
        <f t="shared" si="110"/>
        <v>188.98000000000002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3.6</v>
      </c>
      <c r="N143" s="14">
        <f>IF('Données projet'!$A$36&gt;35,N142+M143-V142,IF(A143&lt;'Données projet'!$A$36,$K$205^A143,IF(A143='Données projet'!$A$36,'Données projet'!$B$36,N142+M143-V142)))</f>
        <v>318.99999999999983</v>
      </c>
      <c r="O143" s="14">
        <f>N143*VLOOKUP('Données projet'!$B$9,Paramètres!$A$1:$I$89,3,0)*VLOOKUP('Données projet'!$B$9,Paramètres!$A$1:$I$89,5,0)</f>
        <v>288.63119999999986</v>
      </c>
      <c r="P143" s="14">
        <f t="shared" si="141"/>
        <v>68.787794100289204</v>
      </c>
      <c r="Q143" s="22">
        <f t="shared" si="108"/>
        <v>622.50474805800343</v>
      </c>
      <c r="R143" s="60">
        <f t="shared" si="109"/>
        <v>908.53692486026921</v>
      </c>
      <c r="S143" s="60">
        <f ca="1">AVERAGE(OFFSET($R$3,0,0,'Données projet'!$E$9+1,1))-AVERAGE(OFFSET($H$3,0,0,'Données projet'!$E$9+1,1))</f>
        <v>550.53475891182575</v>
      </c>
      <c r="T143" s="60">
        <f t="shared" si="142"/>
        <v>350.2500324347194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932.80122653388469</v>
      </c>
      <c r="AN143" s="60">
        <f ca="1">AVERAGE(OFFSET($AM$3,0,0,'Données projet'!$E$10+1,1))-AVERAGE(OFFSET($H$3,0,0,'Données projet'!$E$10+1,1))</f>
        <v>513.16577009788818</v>
      </c>
      <c r="AO143" s="60">
        <f t="shared" si="144"/>
        <v>289.37159333739146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-4.1677594708744434E-14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366.5170155168056</v>
      </c>
      <c r="BJ143" s="60">
        <f t="shared" si="146"/>
        <v>394.05057214541966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333.512642972663</v>
      </c>
      <c r="CE143" s="60">
        <f t="shared" si="148"/>
        <v>464.18634682168488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318.61439999999919</v>
      </c>
      <c r="CV143" s="14">
        <f t="shared" si="149"/>
        <v>75.064979865028292</v>
      </c>
      <c r="CW143" s="22">
        <f t="shared" si="121"/>
        <v>685.65825326492302</v>
      </c>
      <c r="CX143" s="60">
        <f t="shared" si="122"/>
        <v>971.6904300671888</v>
      </c>
      <c r="CY143" s="60">
        <f ca="1">AVERAGE(OFFSET($CX$3,0,0,'Données projet'!$E$13+1,1))-AVERAGE(OFFSET($H$3,0,0,'Données projet'!$E$13+1,1))</f>
        <v>539.76438066597848</v>
      </c>
      <c r="CZ143" s="60">
        <f t="shared" si="150"/>
        <v>303.47238367344937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286.29119999999926</v>
      </c>
      <c r="DQ143" s="14">
        <f t="shared" si="151"/>
        <v>68.294796094604223</v>
      </c>
      <c r="DR143" s="22">
        <f t="shared" si="124"/>
        <v>617.57060986476779</v>
      </c>
      <c r="DS143" s="60">
        <f t="shared" si="125"/>
        <v>903.60278666703357</v>
      </c>
      <c r="DT143" s="60">
        <f ca="1">AVERAGE(OFFSET($DS$3,0,0,'Données projet'!$E$14+1,1))-AVERAGE(OFFSET($H$3,0,0,'Données projet'!$E$14+1,1))</f>
        <v>493.19478874005267</v>
      </c>
      <c r="DU143" s="60">
        <f t="shared" si="152"/>
        <v>278.78337903007821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4.9333333333333336</v>
      </c>
      <c r="EJ143" s="13">
        <f>IF('Données projet'!$A$192&gt;35,EJ142+EI143-ER142,IF(A143&lt;'Données projet'!$A$192,$EG$205^A143,IF(A143='Données projet'!$A$192,'Données projet'!$B$192,EJ142+EI143-ER142)))</f>
        <v>521.66666666666595</v>
      </c>
      <c r="EK143" s="18">
        <f>EJ143*VLOOKUP('Données projet'!$B$15,Paramètres!$A$1:$I$89,3,0)*VLOOKUP('Données projet'!$B$15,Paramètres!$A$1:$I$89,5,0)</f>
        <v>447.58999999999941</v>
      </c>
      <c r="EL143" s="14">
        <f t="shared" si="153"/>
        <v>101.36078474300044</v>
      </c>
      <c r="EM143" s="22">
        <f t="shared" si="127"/>
        <v>956.08928342739136</v>
      </c>
      <c r="EN143" s="60">
        <f t="shared" si="128"/>
        <v>1242.1214602296573</v>
      </c>
      <c r="EO143" s="60">
        <f ca="1">AVERAGE(OFFSET($EN$3,0,0,'Données projet'!$E$15+1,1))-AVERAGE(OFFSET($H$3,0,0,'Données projet'!$E$15+1,1))</f>
        <v>698.30188737818639</v>
      </c>
      <c r="EP143" s="60">
        <f t="shared" si="154"/>
        <v>329.77977151358482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396.99335548279453</v>
      </c>
      <c r="FK143" s="60">
        <f t="shared" si="156"/>
        <v>388.89849573746335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68.008775491527032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4.6150000000000002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16.921666666666667</v>
      </c>
      <c r="H144" s="68">
        <f t="shared" si="110"/>
        <v>188.98000000000002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3.6</v>
      </c>
      <c r="N144" s="14">
        <f>IF('Données projet'!$A$36&gt;35,N143+M144-V143,IF(A144&lt;'Données projet'!$A$36,$K$205^A144,IF(A144='Données projet'!$A$36,'Données projet'!$B$36,N143+M144-V143)))</f>
        <v>322.59999999999985</v>
      </c>
      <c r="O144" s="14">
        <f>N144*VLOOKUP('Données projet'!$B$9,Paramètres!$A$1:$I$89,3,0)*VLOOKUP('Données projet'!$B$9,Paramètres!$A$1:$I$89,5,0)</f>
        <v>291.88847999999984</v>
      </c>
      <c r="P144" s="14">
        <f t="shared" si="141"/>
        <v>69.473274055573441</v>
      </c>
      <c r="Q144" s="22">
        <f t="shared" si="108"/>
        <v>629.37172164679021</v>
      </c>
      <c r="R144" s="60">
        <f t="shared" si="109"/>
        <v>915.53055719192935</v>
      </c>
      <c r="S144" s="60">
        <f ca="1">AVERAGE(OFFSET($R$3,0,0,'Données projet'!$E$9+1,1))-AVERAGE(OFFSET($H$3,0,0,'Données projet'!$E$9+1,1))</f>
        <v>550.53475891182575</v>
      </c>
      <c r="T144" s="60">
        <f t="shared" si="142"/>
        <v>350.2500324347194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880.33038281779159</v>
      </c>
      <c r="AN144" s="60">
        <f ca="1">AVERAGE(OFFSET($AM$3,0,0,'Données projet'!$E$10+1,1))-AVERAGE(OFFSET($H$3,0,0,'Données projet'!$E$10+1,1))</f>
        <v>513.16577009788818</v>
      </c>
      <c r="AO144" s="60">
        <f t="shared" si="144"/>
        <v>289.37159333739146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-4.1677594708744434E-14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366.5170155168056</v>
      </c>
      <c r="BJ144" s="60">
        <f t="shared" si="146"/>
        <v>394.05057214541966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333.512642972663</v>
      </c>
      <c r="CE144" s="60">
        <f t="shared" si="148"/>
        <v>464.18634682168488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292.13495999999913</v>
      </c>
      <c r="CV144" s="14">
        <f t="shared" si="149"/>
        <v>69.525108311202104</v>
      </c>
      <c r="CW144" s="22">
        <f t="shared" si="121"/>
        <v>629.89128564200882</v>
      </c>
      <c r="CX144" s="60">
        <f t="shared" si="122"/>
        <v>916.05012118714785</v>
      </c>
      <c r="CY144" s="60">
        <f ca="1">AVERAGE(OFFSET($CX$3,0,0,'Données projet'!$E$13+1,1))-AVERAGE(OFFSET($H$3,0,0,'Données projet'!$E$13+1,1))</f>
        <v>539.76438066597848</v>
      </c>
      <c r="CZ144" s="60">
        <f t="shared" si="150"/>
        <v>303.47238367344937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262.49807999999928</v>
      </c>
      <c r="DQ144" s="14">
        <f t="shared" si="151"/>
        <v>63.254570961137979</v>
      </c>
      <c r="DR144" s="22">
        <f t="shared" si="124"/>
        <v>567.35253375731406</v>
      </c>
      <c r="DS144" s="60">
        <f t="shared" si="125"/>
        <v>853.5113693024532</v>
      </c>
      <c r="DT144" s="60">
        <f ca="1">AVERAGE(OFFSET($DS$3,0,0,'Données projet'!$E$14+1,1))-AVERAGE(OFFSET($H$3,0,0,'Données projet'!$E$14+1,1))</f>
        <v>493.19478874005267</v>
      </c>
      <c r="DU144" s="60">
        <f t="shared" si="152"/>
        <v>278.78337903007821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4.9333333333333336</v>
      </c>
      <c r="EJ144" s="13">
        <f>IF('Données projet'!$A$192&gt;35,EJ143+EI144-ER143,IF(A144&lt;'Données projet'!$A$192,$EG$205^A144,IF(A144='Données projet'!$A$192,'Données projet'!$B$192,EJ143+EI144-ER143)))</f>
        <v>526.59999999999923</v>
      </c>
      <c r="EK144" s="18">
        <f>EJ144*VLOOKUP('Données projet'!$B$15,Paramètres!$A$1:$I$89,3,0)*VLOOKUP('Données projet'!$B$15,Paramètres!$A$1:$I$89,5,0)</f>
        <v>451.8227999999994</v>
      </c>
      <c r="EL144" s="14">
        <f t="shared" si="153"/>
        <v>102.20729999110594</v>
      </c>
      <c r="EM144" s="22">
        <f t="shared" si="127"/>
        <v>964.93575748450849</v>
      </c>
      <c r="EN144" s="60">
        <f t="shared" si="128"/>
        <v>1251.0945930296475</v>
      </c>
      <c r="EO144" s="60">
        <f ca="1">AVERAGE(OFFSET($EN$3,0,0,'Données projet'!$E$15+1,1))-AVERAGE(OFFSET($H$3,0,0,'Données projet'!$E$15+1,1))</f>
        <v>698.30188737818639</v>
      </c>
      <c r="EP144" s="60">
        <f t="shared" si="154"/>
        <v>329.77977151358482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396.99335548279453</v>
      </c>
      <c r="FK144" s="60">
        <f t="shared" si="156"/>
        <v>388.89849573746335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68.04331878503794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4.6150000000000002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16.921666666666667</v>
      </c>
      <c r="H145" s="68">
        <f t="shared" si="110"/>
        <v>188.98000000000002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3.6</v>
      </c>
      <c r="N145" s="14">
        <f>IF('Données projet'!$A$36&gt;35,N144+M145-V144,IF(A145&lt;'Données projet'!$A$36,$K$205^A145,IF(A145='Données projet'!$A$36,'Données projet'!$B$36,N144+M145-V144)))</f>
        <v>326.19999999999987</v>
      </c>
      <c r="O145" s="14">
        <f>N145*VLOOKUP('Données projet'!$B$9,Paramètres!$A$1:$I$89,3,0)*VLOOKUP('Données projet'!$B$9,Paramètres!$A$1:$I$89,5,0)</f>
        <v>295.14575999999988</v>
      </c>
      <c r="P145" s="14">
        <f t="shared" si="141"/>
        <v>70.157864167878188</v>
      </c>
      <c r="Q145" s="22">
        <f t="shared" si="108"/>
        <v>636.237145425721</v>
      </c>
      <c r="R145" s="60">
        <f t="shared" si="109"/>
        <v>922.52044246771118</v>
      </c>
      <c r="S145" s="60">
        <f ca="1">AVERAGE(OFFSET($R$3,0,0,'Données projet'!$E$9+1,1))-AVERAGE(OFFSET($H$3,0,0,'Données projet'!$E$9+1,1))</f>
        <v>550.53475891182575</v>
      </c>
      <c r="T145" s="60">
        <f t="shared" si="142"/>
        <v>350.2500324347194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885.59042983417112</v>
      </c>
      <c r="AN145" s="60">
        <f ca="1">AVERAGE(OFFSET($AM$3,0,0,'Données projet'!$E$10+1,1))-AVERAGE(OFFSET($H$3,0,0,'Données projet'!$E$10+1,1))</f>
        <v>513.16577009788818</v>
      </c>
      <c r="AO145" s="60">
        <f t="shared" si="144"/>
        <v>289.37159333739146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-4.1677594708744434E-14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366.5170155168056</v>
      </c>
      <c r="BJ145" s="60">
        <f t="shared" si="146"/>
        <v>394.05057214541966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333.512642972663</v>
      </c>
      <c r="CE145" s="60">
        <f t="shared" si="148"/>
        <v>464.18634682168488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294.71831999999915</v>
      </c>
      <c r="CV145" s="14">
        <f t="shared" si="149"/>
        <v>70.068078441055917</v>
      </c>
      <c r="CW145" s="22">
        <f t="shared" si="121"/>
        <v>635.33631061817096</v>
      </c>
      <c r="CX145" s="60">
        <f t="shared" si="122"/>
        <v>921.61960766016114</v>
      </c>
      <c r="CY145" s="60">
        <f ca="1">AVERAGE(OFFSET($CX$3,0,0,'Données projet'!$E$13+1,1))-AVERAGE(OFFSET($H$3,0,0,'Données projet'!$E$13+1,1))</f>
        <v>539.76438066597848</v>
      </c>
      <c r="CZ145" s="60">
        <f t="shared" si="150"/>
        <v>303.47238367344937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264.81935999999928</v>
      </c>
      <c r="DQ145" s="14">
        <f t="shared" si="151"/>
        <v>63.748570085236892</v>
      </c>
      <c r="DR145" s="22">
        <f t="shared" si="124"/>
        <v>572.25581156511964</v>
      </c>
      <c r="DS145" s="60">
        <f t="shared" si="125"/>
        <v>858.53910860710982</v>
      </c>
      <c r="DT145" s="60">
        <f ca="1">AVERAGE(OFFSET($DS$3,0,0,'Données projet'!$E$14+1,1))-AVERAGE(OFFSET($H$3,0,0,'Données projet'!$E$14+1,1))</f>
        <v>493.19478874005267</v>
      </c>
      <c r="DU145" s="60">
        <f t="shared" si="152"/>
        <v>278.78337903007821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4.9333333333333336</v>
      </c>
      <c r="EJ145" s="13">
        <f>IF('Données projet'!$A$192&gt;35,EJ144+EI145-ER144,IF(A145&lt;'Données projet'!$A$192,$EG$205^A145,IF(A145='Données projet'!$A$192,'Données projet'!$B$192,EJ144+EI145-ER144)))</f>
        <v>531.53333333333251</v>
      </c>
      <c r="EK145" s="18">
        <f>EJ145*VLOOKUP('Données projet'!$B$15,Paramètres!$A$1:$I$89,3,0)*VLOOKUP('Données projet'!$B$15,Paramètres!$A$1:$I$89,5,0)</f>
        <v>456.05559999999934</v>
      </c>
      <c r="EL145" s="14">
        <f t="shared" si="153"/>
        <v>103.05289263099067</v>
      </c>
      <c r="EM145" s="22">
        <f t="shared" si="127"/>
        <v>973.78062466564097</v>
      </c>
      <c r="EN145" s="60">
        <f t="shared" si="128"/>
        <v>1260.0639217076312</v>
      </c>
      <c r="EO145" s="60">
        <f ca="1">AVERAGE(OFFSET($EN$3,0,0,'Données projet'!$E$15+1,1))-AVERAGE(OFFSET($H$3,0,0,'Données projet'!$E$15+1,1))</f>
        <v>698.30188737818639</v>
      </c>
      <c r="EP145" s="60">
        <f t="shared" si="154"/>
        <v>329.77977151358482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396.99335548279453</v>
      </c>
      <c r="FK145" s="60">
        <f t="shared" si="156"/>
        <v>388.89849573746335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68.077262829633682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4.6150000000000002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16.921666666666667</v>
      </c>
      <c r="H146" s="68">
        <f t="shared" si="110"/>
        <v>188.98000000000002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3.6</v>
      </c>
      <c r="N146" s="14">
        <f>IF('Données projet'!$A$36&gt;35,N145+M146-V145,IF(A146&lt;'Données projet'!$A$36,$K$205^A146,IF(A146='Données projet'!$A$36,'Données projet'!$B$36,N145+M146-V145)))</f>
        <v>329.7999999999999</v>
      </c>
      <c r="O146" s="14">
        <f>N146*VLOOKUP('Données projet'!$B$9,Paramètres!$A$1:$I$89,3,0)*VLOOKUP('Données projet'!$B$9,Paramètres!$A$1:$I$89,5,0)</f>
        <v>298.40303999999992</v>
      </c>
      <c r="P146" s="14">
        <f t="shared" si="141"/>
        <v>70.841575394175464</v>
      </c>
      <c r="Q146" s="22">
        <f t="shared" si="108"/>
        <v>643.1010384781888</v>
      </c>
      <c r="R146" s="60">
        <f t="shared" si="109"/>
        <v>929.50663788831389</v>
      </c>
      <c r="S146" s="60">
        <f ca="1">AVERAGE(OFFSET($R$3,0,0,'Données projet'!$E$9+1,1))-AVERAGE(OFFSET($H$3,0,0,'Données projet'!$E$9+1,1))</f>
        <v>550.53475891182575</v>
      </c>
      <c r="T146" s="60">
        <f t="shared" si="142"/>
        <v>350.2500324347194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890.84740289417573</v>
      </c>
      <c r="AN146" s="60">
        <f ca="1">AVERAGE(OFFSET($AM$3,0,0,'Données projet'!$E$10+1,1))-AVERAGE(OFFSET($H$3,0,0,'Données projet'!$E$10+1,1))</f>
        <v>513.16577009788818</v>
      </c>
      <c r="AO146" s="60">
        <f t="shared" si="144"/>
        <v>289.37159333739146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-4.1677594708744434E-14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366.5170155168056</v>
      </c>
      <c r="BJ146" s="60">
        <f t="shared" si="146"/>
        <v>394.05057214541966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333.512642972663</v>
      </c>
      <c r="CE146" s="60">
        <f t="shared" si="148"/>
        <v>464.18634682168488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297.30167999999912</v>
      </c>
      <c r="CV146" s="14">
        <f t="shared" si="149"/>
        <v>70.610494849824818</v>
      </c>
      <c r="CW146" s="22">
        <f t="shared" si="121"/>
        <v>640.78037119677663</v>
      </c>
      <c r="CX146" s="60">
        <f t="shared" si="122"/>
        <v>927.18597060690172</v>
      </c>
      <c r="CY146" s="60">
        <f ca="1">AVERAGE(OFFSET($CX$3,0,0,'Données projet'!$E$13+1,1))-AVERAGE(OFFSET($H$3,0,0,'Données projet'!$E$13+1,1))</f>
        <v>539.76438066597848</v>
      </c>
      <c r="CZ146" s="60">
        <f t="shared" si="150"/>
        <v>303.47238367344937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267.14063999999922</v>
      </c>
      <c r="DQ146" s="14">
        <f t="shared" si="151"/>
        <v>64.242065428895785</v>
      </c>
      <c r="DR146" s="22">
        <f t="shared" si="124"/>
        <v>577.15821195532533</v>
      </c>
      <c r="DS146" s="60">
        <f t="shared" si="125"/>
        <v>863.56381136545042</v>
      </c>
      <c r="DT146" s="60">
        <f ca="1">AVERAGE(OFFSET($DS$3,0,0,'Données projet'!$E$14+1,1))-AVERAGE(OFFSET($H$3,0,0,'Données projet'!$E$14+1,1))</f>
        <v>493.19478874005267</v>
      </c>
      <c r="DU146" s="60">
        <f t="shared" si="152"/>
        <v>278.78337903007821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4.9333333333333336</v>
      </c>
      <c r="EJ146" s="13">
        <f>IF('Données projet'!$A$192&gt;35,EJ145+EI146-ER145,IF(A146&lt;'Données projet'!$A$192,$EG$205^A146,IF(A146='Données projet'!$A$192,'Données projet'!$B$192,EJ145+EI146-ER145)))</f>
        <v>536.46666666666579</v>
      </c>
      <c r="EK146" s="18">
        <f>EJ146*VLOOKUP('Données projet'!$B$15,Paramètres!$A$1:$I$89,3,0)*VLOOKUP('Données projet'!$B$15,Paramètres!$A$1:$I$89,5,0)</f>
        <v>460.28839999999934</v>
      </c>
      <c r="EL146" s="14">
        <f t="shared" si="153"/>
        <v>103.89757221753055</v>
      </c>
      <c r="EM146" s="22">
        <f t="shared" si="127"/>
        <v>982.62390161219776</v>
      </c>
      <c r="EN146" s="60">
        <f t="shared" si="128"/>
        <v>1269.0295010223228</v>
      </c>
      <c r="EO146" s="60">
        <f ca="1">AVERAGE(OFFSET($EN$3,0,0,'Données projet'!$E$15+1,1))-AVERAGE(OFFSET($H$3,0,0,'Données projet'!$E$15+1,1))</f>
        <v>698.30188737818639</v>
      </c>
      <c r="EP146" s="60">
        <f t="shared" si="154"/>
        <v>329.77977151358482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396.99335548279453</v>
      </c>
      <c r="FK146" s="60">
        <f t="shared" si="156"/>
        <v>388.89849573746335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68.110618020943207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4.6150000000000002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16.921666666666667</v>
      </c>
      <c r="H147" s="68">
        <f t="shared" si="110"/>
        <v>188.98000000000002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3.6</v>
      </c>
      <c r="N147" s="14">
        <f>IF('Données projet'!$A$36&gt;35,N146+M147-V146,IF(A147&lt;'Données projet'!$A$36,$K$205^A147,IF(A147='Données projet'!$A$36,'Données projet'!$B$36,N146+M147-V146)))</f>
        <v>333.39999999999992</v>
      </c>
      <c r="O147" s="14">
        <f>N147*VLOOKUP('Données projet'!$B$9,Paramètres!$A$1:$I$89,3,0)*VLOOKUP('Données projet'!$B$9,Paramètres!$A$1:$I$89,5,0)</f>
        <v>301.6603199999999</v>
      </c>
      <c r="P147" s="14">
        <f t="shared" si="141"/>
        <v>71.524418438455001</v>
      </c>
      <c r="Q147" s="22">
        <f t="shared" si="108"/>
        <v>649.96341944697565</v>
      </c>
      <c r="R147" s="60">
        <f t="shared" si="109"/>
        <v>936.48919955257566</v>
      </c>
      <c r="S147" s="60">
        <f ca="1">AVERAGE(OFFSET($R$3,0,0,'Données projet'!$E$9+1,1))-AVERAGE(OFFSET($H$3,0,0,'Données projet'!$E$9+1,1))</f>
        <v>550.53475891182575</v>
      </c>
      <c r="T147" s="60">
        <f t="shared" si="142"/>
        <v>350.2500324347194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896.10134832415599</v>
      </c>
      <c r="AN147" s="60">
        <f ca="1">AVERAGE(OFFSET($AM$3,0,0,'Données projet'!$E$10+1,1))-AVERAGE(OFFSET($H$3,0,0,'Données projet'!$E$10+1,1))</f>
        <v>513.16577009788818</v>
      </c>
      <c r="AO147" s="60">
        <f t="shared" si="144"/>
        <v>289.37159333739146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-4.1677594708744434E-14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366.5170155168056</v>
      </c>
      <c r="BJ147" s="60">
        <f t="shared" si="146"/>
        <v>394.05057214541966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333.512642972663</v>
      </c>
      <c r="CE147" s="60">
        <f t="shared" si="148"/>
        <v>464.18634682168488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299.88503999999909</v>
      </c>
      <c r="CV147" s="14">
        <f t="shared" si="149"/>
        <v>71.152362906464447</v>
      </c>
      <c r="CW147" s="22">
        <f t="shared" si="121"/>
        <v>646.2234767287573</v>
      </c>
      <c r="CX147" s="60">
        <f t="shared" si="122"/>
        <v>932.74925683435731</v>
      </c>
      <c r="CY147" s="60">
        <f ca="1">AVERAGE(OFFSET($CX$3,0,0,'Données projet'!$E$13+1,1))-AVERAGE(OFFSET($H$3,0,0,'Données projet'!$E$13+1,1))</f>
        <v>539.76438066597848</v>
      </c>
      <c r="CZ147" s="60">
        <f t="shared" si="150"/>
        <v>303.47238367344937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269.46191999999922</v>
      </c>
      <c r="DQ147" s="14">
        <f t="shared" si="151"/>
        <v>64.735061876838927</v>
      </c>
      <c r="DR147" s="22">
        <f t="shared" si="124"/>
        <v>582.05974343549315</v>
      </c>
      <c r="DS147" s="60">
        <f t="shared" si="125"/>
        <v>868.58552354109315</v>
      </c>
      <c r="DT147" s="60">
        <f ca="1">AVERAGE(OFFSET($DS$3,0,0,'Données projet'!$E$14+1,1))-AVERAGE(OFFSET($H$3,0,0,'Données projet'!$E$14+1,1))</f>
        <v>493.19478874005267</v>
      </c>
      <c r="DU147" s="60">
        <f t="shared" si="152"/>
        <v>278.78337903007821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4.9333333333333336</v>
      </c>
      <c r="EJ147" s="13">
        <f>IF('Données projet'!$A$192&gt;35,EJ146+EI147-ER146,IF(A147&lt;'Données projet'!$A$192,$EG$205^A147,IF(A147='Données projet'!$A$192,'Données projet'!$B$192,EJ146+EI147-ER146)))</f>
        <v>541.39999999999907</v>
      </c>
      <c r="EK147" s="18">
        <f>EJ147*VLOOKUP('Données projet'!$B$15,Paramètres!$A$1:$I$89,3,0)*VLOOKUP('Données projet'!$B$15,Paramètres!$A$1:$I$89,5,0)</f>
        <v>464.52119999999928</v>
      </c>
      <c r="EL147" s="14">
        <f t="shared" si="153"/>
        <v>104.74134811973262</v>
      </c>
      <c r="EM147" s="22">
        <f t="shared" si="127"/>
        <v>991.46560464186643</v>
      </c>
      <c r="EN147" s="60">
        <f t="shared" si="128"/>
        <v>1277.9913847474663</v>
      </c>
      <c r="EO147" s="60">
        <f ca="1">AVERAGE(OFFSET($EN$3,0,0,'Données projet'!$E$15+1,1))-AVERAGE(OFFSET($H$3,0,0,'Données projet'!$E$15+1,1))</f>
        <v>698.30188737818639</v>
      </c>
      <c r="EP147" s="60">
        <f t="shared" si="154"/>
        <v>329.77977151358482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396.99335548279453</v>
      </c>
      <c r="FK147" s="60">
        <f t="shared" si="156"/>
        <v>388.89849573746335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68.143394574254543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4.6150000000000002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16.921666666666667</v>
      </c>
      <c r="H148" s="68">
        <f t="shared" si="110"/>
        <v>188.98000000000002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3.6</v>
      </c>
      <c r="N148" s="14">
        <f>IF('Données projet'!$A$36&gt;35,N147+M148-V147,IF(A148&lt;'Données projet'!$A$36,$K$205^A148,IF(A148='Données projet'!$A$36,'Données projet'!$B$36,N147+M148-V147)))</f>
        <v>336.99999999999994</v>
      </c>
      <c r="O148" s="14">
        <f>N148*VLOOKUP('Données projet'!$B$9,Paramètres!$A$1:$I$89,3,0)*VLOOKUP('Données projet'!$B$9,Paramètres!$A$1:$I$89,5,0)</f>
        <v>304.91759999999994</v>
      </c>
      <c r="P148" s="14">
        <f t="shared" si="141"/>
        <v>72.20640376023259</v>
      </c>
      <c r="Q148" s="22">
        <f t="shared" si="108"/>
        <v>656.82430654907159</v>
      </c>
      <c r="R148" s="60">
        <f t="shared" si="109"/>
        <v>943.46818248376371</v>
      </c>
      <c r="S148" s="60">
        <f ca="1">AVERAGE(OFFSET($R$3,0,0,'Données projet'!$E$9+1,1))-AVERAGE(OFFSET($H$3,0,0,'Données projet'!$E$9+1,1))</f>
        <v>550.53475891182575</v>
      </c>
      <c r="T148" s="60">
        <f t="shared" si="142"/>
        <v>350.2500324347194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901.35231163903813</v>
      </c>
      <c r="AN148" s="60">
        <f ca="1">AVERAGE(OFFSET($AM$3,0,0,'Données projet'!$E$10+1,1))-AVERAGE(OFFSET($H$3,0,0,'Données projet'!$E$10+1,1))</f>
        <v>513.16577009788818</v>
      </c>
      <c r="AO148" s="60">
        <f t="shared" si="144"/>
        <v>289.37159333739146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-4.1677594708744434E-14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366.5170155168056</v>
      </c>
      <c r="BJ148" s="60">
        <f t="shared" si="146"/>
        <v>394.05057214541966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333.512642972663</v>
      </c>
      <c r="CE148" s="60">
        <f t="shared" si="148"/>
        <v>464.18634682168488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302.46839999999906</v>
      </c>
      <c r="CV148" s="14">
        <f t="shared" si="149"/>
        <v>71.693687882090543</v>
      </c>
      <c r="CW148" s="22">
        <f t="shared" si="121"/>
        <v>651.66563639463936</v>
      </c>
      <c r="CX148" s="60">
        <f t="shared" si="122"/>
        <v>938.30951232933148</v>
      </c>
      <c r="CY148" s="60">
        <f ca="1">AVERAGE(OFFSET($CX$3,0,0,'Données projet'!$E$13+1,1))-AVERAGE(OFFSET($H$3,0,0,'Données projet'!$E$13+1,1))</f>
        <v>539.76438066597848</v>
      </c>
      <c r="CZ148" s="60">
        <f t="shared" si="150"/>
        <v>303.47238367344937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271.78319999999917</v>
      </c>
      <c r="DQ148" s="14">
        <f t="shared" si="151"/>
        <v>65.227564224775008</v>
      </c>
      <c r="DR148" s="22">
        <f t="shared" si="124"/>
        <v>586.96041435814834</v>
      </c>
      <c r="DS148" s="60">
        <f t="shared" si="125"/>
        <v>873.60429029284046</v>
      </c>
      <c r="DT148" s="60">
        <f ca="1">AVERAGE(OFFSET($DS$3,0,0,'Données projet'!$E$14+1,1))-AVERAGE(OFFSET($H$3,0,0,'Données projet'!$E$14+1,1))</f>
        <v>493.19478874005267</v>
      </c>
      <c r="DU148" s="60">
        <f t="shared" si="152"/>
        <v>278.78337903007821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4.9333333333333336</v>
      </c>
      <c r="EJ148" s="13">
        <f>IF('Données projet'!$A$192&gt;35,EJ147+EI148-ER147,IF(A148&lt;'Données projet'!$A$192,$EG$205^A148,IF(A148='Données projet'!$A$192,'Données projet'!$B$192,EJ147+EI148-ER147)))</f>
        <v>546.33333333333235</v>
      </c>
      <c r="EK148" s="18">
        <f>EJ148*VLOOKUP('Données projet'!$B$15,Paramètres!$A$1:$I$89,3,0)*VLOOKUP('Données projet'!$B$15,Paramètres!$A$1:$I$89,5,0)</f>
        <v>468.75399999999922</v>
      </c>
      <c r="EL148" s="14">
        <f t="shared" si="153"/>
        <v>105.58422952601143</v>
      </c>
      <c r="EM148" s="22">
        <f t="shared" si="127"/>
        <v>1000.3057497578019</v>
      </c>
      <c r="EN148" s="60">
        <f t="shared" si="128"/>
        <v>1286.949625692494</v>
      </c>
      <c r="EO148" s="60">
        <f ca="1">AVERAGE(OFFSET($EN$3,0,0,'Données projet'!$E$15+1,1))-AVERAGE(OFFSET($H$3,0,0,'Données projet'!$E$15+1,1))</f>
        <v>698.30188737818639</v>
      </c>
      <c r="EP148" s="60">
        <f t="shared" si="154"/>
        <v>329.77977151358482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396.99335548279453</v>
      </c>
      <c r="FK148" s="60">
        <f t="shared" si="156"/>
        <v>388.89849573746335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68.175602527643321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4.6150000000000002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16.921666666666667</v>
      </c>
      <c r="H149" s="68">
        <f t="shared" si="110"/>
        <v>188.98000000000002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3.6</v>
      </c>
      <c r="N149" s="14">
        <f>IF('Données projet'!$A$36&gt;35,N148+M149-V148,IF(A149&lt;'Données projet'!$A$36,$K$205^A149,IF(A149='Données projet'!$A$36,'Données projet'!$B$36,N148+M149-V148)))</f>
        <v>340.59999999999997</v>
      </c>
      <c r="O149" s="14">
        <f>N149*VLOOKUP('Données projet'!$B$9,Paramètres!$A$1:$I$89,3,0)*VLOOKUP('Données projet'!$B$9,Paramètres!$A$1:$I$89,5,0)</f>
        <v>308.17487999999997</v>
      </c>
      <c r="P149" s="14">
        <f t="shared" si="141"/>
        <v>72.887541582684676</v>
      </c>
      <c r="Q149" s="22">
        <f t="shared" si="108"/>
        <v>663.68371758984233</v>
      </c>
      <c r="R149" s="60">
        <f t="shared" si="109"/>
        <v>950.44364065501463</v>
      </c>
      <c r="S149" s="60">
        <f ca="1">AVERAGE(OFFSET($R$3,0,0,'Données projet'!$E$9+1,1))-AVERAGE(OFFSET($H$3,0,0,'Données projet'!$E$9+1,1))</f>
        <v>550.53475891182575</v>
      </c>
      <c r="T149" s="60">
        <f t="shared" si="142"/>
        <v>350.2500324347194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906.60033755789641</v>
      </c>
      <c r="AN149" s="60">
        <f ca="1">AVERAGE(OFFSET($AM$3,0,0,'Données projet'!$E$10+1,1))-AVERAGE(OFFSET($H$3,0,0,'Données projet'!$E$10+1,1))</f>
        <v>513.16577009788818</v>
      </c>
      <c r="AO149" s="60">
        <f t="shared" si="144"/>
        <v>289.37159333739146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-4.1677594708744434E-14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366.5170155168056</v>
      </c>
      <c r="BJ149" s="60">
        <f t="shared" si="146"/>
        <v>394.05057214541966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333.512642972663</v>
      </c>
      <c r="CE149" s="60">
        <f t="shared" si="148"/>
        <v>464.18634682168488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305.05175999999904</v>
      </c>
      <c r="CV149" s="14">
        <f t="shared" si="149"/>
        <v>72.234474952581991</v>
      </c>
      <c r="CW149" s="22">
        <f t="shared" si="121"/>
        <v>657.10685920907861</v>
      </c>
      <c r="CX149" s="60">
        <f t="shared" si="122"/>
        <v>943.86678227425091</v>
      </c>
      <c r="CY149" s="60">
        <f ca="1">AVERAGE(OFFSET($CX$3,0,0,'Données projet'!$E$13+1,1))-AVERAGE(OFFSET($H$3,0,0,'Données projet'!$E$13+1,1))</f>
        <v>539.76438066597848</v>
      </c>
      <c r="CZ149" s="60">
        <f t="shared" si="150"/>
        <v>303.47238367344937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274.10447999999917</v>
      </c>
      <c r="DQ149" s="14">
        <f t="shared" si="151"/>
        <v>65.719577181765331</v>
      </c>
      <c r="DR149" s="22">
        <f t="shared" si="124"/>
        <v>591.86023292490643</v>
      </c>
      <c r="DS149" s="60">
        <f t="shared" si="125"/>
        <v>878.62015599007873</v>
      </c>
      <c r="DT149" s="60">
        <f ca="1">AVERAGE(OFFSET($DS$3,0,0,'Données projet'!$E$14+1,1))-AVERAGE(OFFSET($H$3,0,0,'Données projet'!$E$14+1,1))</f>
        <v>493.19478874005267</v>
      </c>
      <c r="DU149" s="60">
        <f t="shared" si="152"/>
        <v>278.78337903007821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4.9333333333333336</v>
      </c>
      <c r="EJ149" s="13">
        <f>IF('Données projet'!$A$192&gt;35,EJ148+EI149-ER148,IF(A149&lt;'Données projet'!$A$192,$EG$205^A149,IF(A149='Données projet'!$A$192,'Données projet'!$B$192,EJ148+EI149-ER148)))</f>
        <v>551.26666666666563</v>
      </c>
      <c r="EK149" s="18">
        <f>EJ149*VLOOKUP('Données projet'!$B$15,Paramètres!$A$1:$I$89,3,0)*VLOOKUP('Données projet'!$B$15,Paramètres!$A$1:$I$89,5,0)</f>
        <v>472.98679999999922</v>
      </c>
      <c r="EL149" s="14">
        <f t="shared" si="153"/>
        <v>106.42622544926738</v>
      </c>
      <c r="EM149" s="22">
        <f t="shared" si="127"/>
        <v>1009.1443526574726</v>
      </c>
      <c r="EN149" s="60">
        <f t="shared" si="128"/>
        <v>1295.904275722645</v>
      </c>
      <c r="EO149" s="60">
        <f ca="1">AVERAGE(OFFSET($EN$3,0,0,'Données projet'!$E$15+1,1))-AVERAGE(OFFSET($H$3,0,0,'Données projet'!$E$15+1,1))</f>
        <v>698.30188737818639</v>
      </c>
      <c r="EP149" s="60">
        <f t="shared" si="154"/>
        <v>329.77977151358482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396.99335548279453</v>
      </c>
      <c r="FK149" s="60">
        <f t="shared" si="156"/>
        <v>388.89849573746335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68.207251745047003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4.6150000000000002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16.921666666666667</v>
      </c>
      <c r="H150" s="68">
        <f t="shared" si="110"/>
        <v>188.98000000000002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3.6</v>
      </c>
      <c r="N150" s="14">
        <f>IF('Données projet'!$A$36&gt;35,N149+M150-V149,IF(A150&lt;'Données projet'!$A$36,$K$205^A150,IF(A150='Données projet'!$A$36,'Données projet'!$B$36,N149+M150-V149)))</f>
        <v>344.2</v>
      </c>
      <c r="O150" s="14">
        <f>N150*VLOOKUP('Données projet'!$B$9,Paramètres!$A$1:$I$89,3,0)*VLOOKUP('Données projet'!$B$9,Paramètres!$A$1:$I$89,5,0)</f>
        <v>311.43215999999995</v>
      </c>
      <c r="P150" s="14">
        <f t="shared" si="141"/>
        <v>73.567841900428377</v>
      </c>
      <c r="Q150" s="22">
        <f t="shared" si="108"/>
        <v>670.54166997657933</v>
      </c>
      <c r="R150" s="60">
        <f t="shared" si="109"/>
        <v>957.41562701396049</v>
      </c>
      <c r="S150" s="60">
        <f ca="1">AVERAGE(OFFSET($R$3,0,0,'Données projet'!$E$9+1,1))-AVERAGE(OFFSET($H$3,0,0,'Données projet'!$E$9+1,1))</f>
        <v>550.53475891182575</v>
      </c>
      <c r="T150" s="60">
        <f t="shared" si="142"/>
        <v>350.2500324347194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911.84547001918111</v>
      </c>
      <c r="AN150" s="60">
        <f ca="1">AVERAGE(OFFSET($AM$3,0,0,'Données projet'!$E$10+1,1))-AVERAGE(OFFSET($H$3,0,0,'Données projet'!$E$10+1,1))</f>
        <v>513.16577009788818</v>
      </c>
      <c r="AO150" s="60">
        <f t="shared" si="144"/>
        <v>289.37159333739146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-4.1677594708744434E-14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366.5170155168056</v>
      </c>
      <c r="BJ150" s="60">
        <f t="shared" si="146"/>
        <v>394.05057214541966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333.512642972663</v>
      </c>
      <c r="CE150" s="60">
        <f t="shared" si="148"/>
        <v>464.18634682168488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307.63511999999901</v>
      </c>
      <c r="CV150" s="14">
        <f t="shared" si="149"/>
        <v>72.774729201093322</v>
      </c>
      <c r="CW150" s="22">
        <f t="shared" si="121"/>
        <v>662.54715402523584</v>
      </c>
      <c r="CX150" s="60">
        <f t="shared" si="122"/>
        <v>949.421111062617</v>
      </c>
      <c r="CY150" s="60">
        <f ca="1">AVERAGE(OFFSET($CX$3,0,0,'Données projet'!$E$13+1,1))-AVERAGE(OFFSET($H$3,0,0,'Données projet'!$E$13+1,1))</f>
        <v>539.76438066597848</v>
      </c>
      <c r="CZ150" s="60">
        <f t="shared" si="150"/>
        <v>303.47238367344937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276.42575999999912</v>
      </c>
      <c r="DQ150" s="14">
        <f t="shared" si="151"/>
        <v>66.211105372509707</v>
      </c>
      <c r="DR150" s="22">
        <f t="shared" si="124"/>
        <v>596.75920719045291</v>
      </c>
      <c r="DS150" s="60">
        <f t="shared" si="125"/>
        <v>883.63316422783407</v>
      </c>
      <c r="DT150" s="60">
        <f ca="1">AVERAGE(OFFSET($DS$3,0,0,'Données projet'!$E$14+1,1))-AVERAGE(OFFSET($H$3,0,0,'Données projet'!$E$14+1,1))</f>
        <v>493.19478874005267</v>
      </c>
      <c r="DU150" s="60">
        <f t="shared" si="152"/>
        <v>278.78337903007821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4.9333333333333336</v>
      </c>
      <c r="EJ150" s="13">
        <f>IF('Données projet'!$A$192&gt;35,EJ149+EI150-ER149,IF(A150&lt;'Données projet'!$A$192,$EG$205^A150,IF(A150='Données projet'!$A$192,'Données projet'!$B$192,EJ149+EI150-ER149)))</f>
        <v>556.19999999999891</v>
      </c>
      <c r="EK150" s="18">
        <f>EJ150*VLOOKUP('Données projet'!$B$15,Paramètres!$A$1:$I$89,3,0)*VLOOKUP('Données projet'!$B$15,Paramètres!$A$1:$I$89,5,0)</f>
        <v>477.2195999999991</v>
      </c>
      <c r="EL150" s="14">
        <f t="shared" si="153"/>
        <v>107.26734473178054</v>
      </c>
      <c r="EM150" s="22">
        <f t="shared" si="127"/>
        <v>1017.9814287411829</v>
      </c>
      <c r="EN150" s="60">
        <f t="shared" si="128"/>
        <v>1304.8553857785641</v>
      </c>
      <c r="EO150" s="60">
        <f ca="1">AVERAGE(OFFSET($EN$3,0,0,'Données projet'!$E$15+1,1))-AVERAGE(OFFSET($H$3,0,0,'Données projet'!$E$15+1,1))</f>
        <v>698.30188737818639</v>
      </c>
      <c r="EP150" s="60">
        <f t="shared" si="154"/>
        <v>329.77977151358482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396.99335548279453</v>
      </c>
      <c r="FK150" s="60">
        <f t="shared" si="156"/>
        <v>388.89849573746335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68.238351919285776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4.6150000000000002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16.921666666666667</v>
      </c>
      <c r="H151" s="68">
        <f t="shared" si="110"/>
        <v>188.98000000000002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3.6</v>
      </c>
      <c r="N151" s="14">
        <f>IF('Données projet'!$A$36&gt;35,N150+M151-V150,IF(A151&lt;'Données projet'!$A$36,$K$205^A151,IF(A151='Données projet'!$A$36,'Données projet'!$B$36,N150+M151-V150)))</f>
        <v>347.8</v>
      </c>
      <c r="O151" s="14">
        <f>N151*VLOOKUP('Données projet'!$B$9,Paramètres!$A$1:$I$89,3,0)*VLOOKUP('Données projet'!$B$9,Paramètres!$A$1:$I$89,5,0)</f>
        <v>314.68943999999999</v>
      </c>
      <c r="P151" s="14">
        <f t="shared" si="141"/>
        <v>74.247314486967753</v>
      </c>
      <c r="Q151" s="22">
        <f t="shared" si="108"/>
        <v>677.39818073146876</v>
      </c>
      <c r="R151" s="60">
        <f t="shared" si="109"/>
        <v>964.38419350658273</v>
      </c>
      <c r="S151" s="60">
        <f ca="1">AVERAGE(OFFSET($R$3,0,0,'Données projet'!$E$9+1,1))-AVERAGE(OFFSET($H$3,0,0,'Données projet'!$E$9+1,1))</f>
        <v>550.53475891182575</v>
      </c>
      <c r="T151" s="60">
        <f t="shared" si="142"/>
        <v>350.2500324347194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917.08775219560982</v>
      </c>
      <c r="AN151" s="60">
        <f ca="1">AVERAGE(OFFSET($AM$3,0,0,'Données projet'!$E$10+1,1))-AVERAGE(OFFSET($H$3,0,0,'Données projet'!$E$10+1,1))</f>
        <v>513.16577009788818</v>
      </c>
      <c r="AO151" s="60">
        <f t="shared" si="144"/>
        <v>289.37159333739146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-4.1677594708744434E-14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366.5170155168056</v>
      </c>
      <c r="BJ151" s="60">
        <f t="shared" si="146"/>
        <v>394.05057214541966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333.512642972663</v>
      </c>
      <c r="CE151" s="60">
        <f t="shared" si="148"/>
        <v>464.18634682168488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310.21847999999898</v>
      </c>
      <c r="CV151" s="14">
        <f t="shared" si="149"/>
        <v>73.314455620479777</v>
      </c>
      <c r="CW151" s="22">
        <f t="shared" si="121"/>
        <v>667.98652953900034</v>
      </c>
      <c r="CX151" s="60">
        <f t="shared" si="122"/>
        <v>954.97254231411432</v>
      </c>
      <c r="CY151" s="60">
        <f ca="1">AVERAGE(OFFSET($CX$3,0,0,'Données projet'!$E$13+1,1))-AVERAGE(OFFSET($H$3,0,0,'Données projet'!$E$13+1,1))</f>
        <v>539.76438066597848</v>
      </c>
      <c r="CZ151" s="60">
        <f t="shared" si="150"/>
        <v>303.47238367344937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278.74703999999912</v>
      </c>
      <c r="DQ151" s="14">
        <f t="shared" si="151"/>
        <v>66.702153339553078</v>
      </c>
      <c r="DR151" s="22">
        <f t="shared" si="124"/>
        <v>601.65734506638671</v>
      </c>
      <c r="DS151" s="60">
        <f t="shared" si="125"/>
        <v>888.64335784150069</v>
      </c>
      <c r="DT151" s="60">
        <f ca="1">AVERAGE(OFFSET($DS$3,0,0,'Données projet'!$E$14+1,1))-AVERAGE(OFFSET($H$3,0,0,'Données projet'!$E$14+1,1))</f>
        <v>493.19478874005267</v>
      </c>
      <c r="DU151" s="60">
        <f t="shared" si="152"/>
        <v>278.78337903007821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4.9333333333333336</v>
      </c>
      <c r="EJ151" s="13">
        <f>IF('Données projet'!$A$192&gt;35,EJ150+EI151-ER150,IF(A151&lt;'Données projet'!$A$192,$EG$205^A151,IF(A151='Données projet'!$A$192,'Données projet'!$B$192,EJ150+EI151-ER150)))</f>
        <v>561.13333333333219</v>
      </c>
      <c r="EK151" s="18">
        <f>EJ151*VLOOKUP('Données projet'!$B$15,Paramètres!$A$1:$I$89,3,0)*VLOOKUP('Données projet'!$B$15,Paramètres!$A$1:$I$89,5,0)</f>
        <v>481.45239999999905</v>
      </c>
      <c r="EL151" s="14">
        <f t="shared" si="153"/>
        <v>108.10759604992388</v>
      </c>
      <c r="EM151" s="22">
        <f t="shared" si="127"/>
        <v>1026.8169931202824</v>
      </c>
      <c r="EN151" s="60">
        <f t="shared" si="128"/>
        <v>1313.8030058953964</v>
      </c>
      <c r="EO151" s="60">
        <f ca="1">AVERAGE(OFFSET($EN$3,0,0,'Données projet'!$E$15+1,1))-AVERAGE(OFFSET($H$3,0,0,'Données projet'!$E$15+1,1))</f>
        <v>698.30188737818639</v>
      </c>
      <c r="EP151" s="60">
        <f t="shared" si="154"/>
        <v>329.77977151358482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396.99335548279453</v>
      </c>
      <c r="FK151" s="60">
        <f t="shared" si="156"/>
        <v>388.89849573746335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68.268912575031081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4.6150000000000002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16.921666666666667</v>
      </c>
      <c r="H152" s="68">
        <f t="shared" si="110"/>
        <v>188.98000000000002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3.6</v>
      </c>
      <c r="N152" s="14">
        <f>IF('Données projet'!$A$36&gt;35,N151+M152-V151,IF(A152&lt;'Données projet'!$A$36,$K$205^A152,IF(A152='Données projet'!$A$36,'Données projet'!$B$36,N151+M152-V151)))</f>
        <v>351.40000000000003</v>
      </c>
      <c r="O152" s="14">
        <f>N152*VLOOKUP('Données projet'!$B$9,Paramètres!$A$1:$I$89,3,0)*VLOOKUP('Données projet'!$B$9,Paramètres!$A$1:$I$89,5,0)</f>
        <v>317.94672000000003</v>
      </c>
      <c r="P152" s="14">
        <f t="shared" si="141"/>
        <v>74.925968901822259</v>
      </c>
      <c r="Q152" s="22">
        <f t="shared" si="108"/>
        <v>684.25326650400712</v>
      </c>
      <c r="R152" s="60">
        <f t="shared" si="109"/>
        <v>971.34939110032337</v>
      </c>
      <c r="S152" s="60">
        <f ca="1">AVERAGE(OFFSET($R$3,0,0,'Données projet'!$E$9+1,1))-AVERAGE(OFFSET($H$3,0,0,'Données projet'!$E$9+1,1))</f>
        <v>550.53475891182575</v>
      </c>
      <c r="T152" s="60">
        <f t="shared" si="142"/>
        <v>350.2500324347194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922.32722650873302</v>
      </c>
      <c r="AN152" s="60">
        <f ca="1">AVERAGE(OFFSET($AM$3,0,0,'Données projet'!$E$10+1,1))-AVERAGE(OFFSET($H$3,0,0,'Données projet'!$E$10+1,1))</f>
        <v>513.16577009788818</v>
      </c>
      <c r="AO152" s="60">
        <f t="shared" si="144"/>
        <v>289.37159333739146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-4.1677594708744434E-14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366.5170155168056</v>
      </c>
      <c r="BJ152" s="60">
        <f t="shared" si="146"/>
        <v>394.05057214541966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333.512642972663</v>
      </c>
      <c r="CE152" s="60">
        <f t="shared" si="148"/>
        <v>464.18634682168488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312.80183999999895</v>
      </c>
      <c r="CV152" s="14">
        <f t="shared" si="149"/>
        <v>73.853659115640198</v>
      </c>
      <c r="CW152" s="22">
        <f t="shared" si="121"/>
        <v>673.42499429307145</v>
      </c>
      <c r="CX152" s="60">
        <f t="shared" si="122"/>
        <v>960.52111888938771</v>
      </c>
      <c r="CY152" s="60">
        <f ca="1">AVERAGE(OFFSET($CX$3,0,0,'Données projet'!$E$13+1,1))-AVERAGE(OFFSET($H$3,0,0,'Données projet'!$E$13+1,1))</f>
        <v>539.76438066597848</v>
      </c>
      <c r="CZ152" s="60">
        <f t="shared" si="150"/>
        <v>303.47238367344937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281.06831999999906</v>
      </c>
      <c r="DQ152" s="14">
        <f t="shared" si="151"/>
        <v>67.192725545416479</v>
      </c>
      <c r="DR152" s="22">
        <f t="shared" si="124"/>
        <v>606.55465432493213</v>
      </c>
      <c r="DS152" s="60">
        <f t="shared" si="125"/>
        <v>893.65077892124827</v>
      </c>
      <c r="DT152" s="60">
        <f ca="1">AVERAGE(OFFSET($DS$3,0,0,'Données projet'!$E$14+1,1))-AVERAGE(OFFSET($H$3,0,0,'Données projet'!$E$14+1,1))</f>
        <v>493.19478874005267</v>
      </c>
      <c r="DU152" s="60">
        <f t="shared" si="152"/>
        <v>278.78337903007821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4.9333333333333336</v>
      </c>
      <c r="EJ152" s="13">
        <f>IF('Données projet'!$A$192&gt;35,EJ151+EI152-ER151,IF(A152&lt;'Données projet'!$A$192,$EG$205^A152,IF(A152='Données projet'!$A$192,'Données projet'!$B$192,EJ151+EI152-ER151)))</f>
        <v>566.06666666666547</v>
      </c>
      <c r="EK152" s="18">
        <f>EJ152*VLOOKUP('Données projet'!$B$15,Paramètres!$A$1:$I$89,3,0)*VLOOKUP('Données projet'!$B$15,Paramètres!$A$1:$I$89,5,0)</f>
        <v>485.68519999999899</v>
      </c>
      <c r="EL152" s="14">
        <f t="shared" si="153"/>
        <v>108.94698791870719</v>
      </c>
      <c r="EM152" s="22">
        <f t="shared" si="127"/>
        <v>1035.6510606250799</v>
      </c>
      <c r="EN152" s="60">
        <f t="shared" si="128"/>
        <v>1322.7471852213962</v>
      </c>
      <c r="EO152" s="60">
        <f ca="1">AVERAGE(OFFSET($EN$3,0,0,'Données projet'!$E$15+1,1))-AVERAGE(OFFSET($H$3,0,0,'Données projet'!$E$15+1,1))</f>
        <v>698.30188737818639</v>
      </c>
      <c r="EP152" s="60">
        <f t="shared" si="154"/>
        <v>329.77977151358482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396.99335548279453</v>
      </c>
      <c r="FK152" s="60">
        <f t="shared" si="156"/>
        <v>388.89849573746335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68.29894307172259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4.6150000000000002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16.921666666666667</v>
      </c>
      <c r="H153" s="68">
        <f t="shared" si="110"/>
        <v>188.98000000000002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3.6</v>
      </c>
      <c r="M153" s="13">
        <f t="array" ref="M153">INDEX(L:L,MIN(IF(ISNUMBER(L153:L349),ROW(L153:L349),"")))</f>
        <v>3.6</v>
      </c>
      <c r="N153" s="14">
        <f>IF('Données projet'!$A$36&gt;35,N152+M153-V152,IF(A153&lt;'Données projet'!$A$36,$K$205^A153,IF(A153='Données projet'!$A$36,'Données projet'!$B$36,N152+M153-V152)))</f>
        <v>355.00000000000006</v>
      </c>
      <c r="O153" s="14">
        <f>N153*VLOOKUP('Données projet'!$B$9,Paramètres!$A$1:$I$89,3,0)*VLOOKUP('Données projet'!$B$9,Paramètres!$A$1:$I$89,5,0)</f>
        <v>321.20400000000001</v>
      </c>
      <c r="P153" s="14">
        <f t="shared" si="141"/>
        <v>75.603814497354989</v>
      </c>
      <c r="Q153" s="22">
        <f t="shared" si="108"/>
        <v>691.10694358289345</v>
      </c>
      <c r="R153" s="60">
        <f t="shared" si="109"/>
        <v>978.31126980648719</v>
      </c>
      <c r="S153" s="60">
        <f ca="1">AVERAGE(OFFSET($R$3,0,0,'Données projet'!$E$9+1,1))-AVERAGE(OFFSET($H$3,0,0,'Données projet'!$E$9+1,1))</f>
        <v>550.53475891182575</v>
      </c>
      <c r="T153" s="60">
        <f t="shared" si="142"/>
        <v>350.2500324347194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927.56393464318364</v>
      </c>
      <c r="AN153" s="60">
        <f ca="1">AVERAGE(OFFSET($AM$3,0,0,'Données projet'!$E$10+1,1))-AVERAGE(OFFSET($H$3,0,0,'Données projet'!$E$10+1,1))</f>
        <v>513.16577009788818</v>
      </c>
      <c r="AO153" s="60">
        <f t="shared" si="144"/>
        <v>289.37159333739146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-4.1677594708744434E-14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366.5170155168056</v>
      </c>
      <c r="BJ153" s="60">
        <f t="shared" si="146"/>
        <v>394.05057214541966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333.512642972663</v>
      </c>
      <c r="CE153" s="60">
        <f t="shared" si="148"/>
        <v>464.18634682168488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315.38519999999892</v>
      </c>
      <c r="CV153" s="14">
        <f t="shared" si="149"/>
        <v>74.392344505779604</v>
      </c>
      <c r="CW153" s="22">
        <f t="shared" si="121"/>
        <v>678.86255668089746</v>
      </c>
      <c r="CX153" s="60">
        <f t="shared" si="122"/>
        <v>966.06688290449119</v>
      </c>
      <c r="CY153" s="60">
        <f ca="1">AVERAGE(OFFSET($CX$3,0,0,'Données projet'!$E$13+1,1))-AVERAGE(OFFSET($H$3,0,0,'Données projet'!$E$13+1,1))</f>
        <v>539.76438066597848</v>
      </c>
      <c r="CZ153" s="60">
        <f t="shared" si="150"/>
        <v>303.47238367344937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283.38959999999906</v>
      </c>
      <c r="DQ153" s="14">
        <f t="shared" si="151"/>
        <v>67.682826374656187</v>
      </c>
      <c r="DR153" s="22">
        <f t="shared" si="124"/>
        <v>611.45114260252456</v>
      </c>
      <c r="DS153" s="60">
        <f t="shared" si="125"/>
        <v>898.65546882611829</v>
      </c>
      <c r="DT153" s="60">
        <f ca="1">AVERAGE(OFFSET($DS$3,0,0,'Données projet'!$E$14+1,1))-AVERAGE(OFFSET($H$3,0,0,'Données projet'!$E$14+1,1))</f>
        <v>493.19478874005267</v>
      </c>
      <c r="DU153" s="60">
        <f t="shared" si="152"/>
        <v>278.78337903007821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571</v>
      </c>
      <c r="EH153" s="13">
        <f>VLOOKUP(A153,'Données projet'!$A$191:$I$211,9,0)</f>
        <v>4.9333333333333336</v>
      </c>
      <c r="EI153" s="13">
        <f t="array" ref="EI153">INDEX(EH:EH,MIN(IF(ISNUMBER(EH153:EH349),ROW(EH153:EH349),"")))</f>
        <v>4.9333333333333336</v>
      </c>
      <c r="EJ153" s="13">
        <f>IF('Données projet'!$A$192&gt;35,EJ152+EI153-ER152,IF(A153&lt;'Données projet'!$A$192,$EG$205^A153,IF(A153='Données projet'!$A$192,'Données projet'!$B$192,EJ152+EI153-ER152)))</f>
        <v>570.99999999999875</v>
      </c>
      <c r="EK153" s="18">
        <f>EJ153*VLOOKUP('Données projet'!$B$15,Paramètres!$A$1:$I$89,3,0)*VLOOKUP('Données projet'!$B$15,Paramètres!$A$1:$I$89,5,0)</f>
        <v>489.91799999999898</v>
      </c>
      <c r="EL153" s="14">
        <f t="shared" si="153"/>
        <v>109.78552869615774</v>
      </c>
      <c r="EM153" s="22">
        <f t="shared" si="127"/>
        <v>1044.483645812473</v>
      </c>
      <c r="EN153" s="60">
        <f t="shared" si="128"/>
        <v>1331.6879720360666</v>
      </c>
      <c r="EO153" s="60">
        <f ca="1">AVERAGE(OFFSET($EN$3,0,0,'Données projet'!$E$15+1,1))-AVERAGE(OFFSET($H$3,0,0,'Données projet'!$E$15+1,1))</f>
        <v>698.30188737818639</v>
      </c>
      <c r="EP153" s="60">
        <f t="shared" si="154"/>
        <v>329.77977151358482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571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396.99335548279453</v>
      </c>
      <c r="FK153" s="60">
        <f t="shared" si="156"/>
        <v>388.89849573746335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68.328452606434652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4.6150000000000002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16.921666666666667</v>
      </c>
      <c r="H154" s="68">
        <f t="shared" si="110"/>
        <v>188.98000000000002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5.1431925385259088E-14</v>
      </c>
      <c r="P154" s="14">
        <f t="shared" si="141"/>
        <v>8.3482866290946129E-13</v>
      </c>
      <c r="Q154" s="22">
        <f t="shared" ref="Q154:Q203" si="162">(O154+P154)*0.475*44/12</f>
        <v>1.5435705246133045E-12</v>
      </c>
      <c r="R154" s="60">
        <f t="shared" si="109"/>
        <v>287.31065079454208</v>
      </c>
      <c r="S154" s="60">
        <f ca="1">AVERAGE(OFFSET($R$3,0,0,'Données projet'!$E$9+1,1))-AVERAGE(OFFSET($H$3,0,0,'Données projet'!$E$9+1,1))</f>
        <v>550.53475891182575</v>
      </c>
      <c r="T154" s="60">
        <f t="shared" si="142"/>
        <v>350.2500324347194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513.16577009788818</v>
      </c>
      <c r="AO154" s="60">
        <f t="shared" si="144"/>
        <v>289.37159333739146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-4.1677594708744434E-14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366.5170155168056</v>
      </c>
      <c r="BJ154" s="60">
        <f t="shared" si="146"/>
        <v>394.05057214541966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333.512642972663</v>
      </c>
      <c r="CE154" s="60">
        <f t="shared" si="148"/>
        <v>464.18634682168488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-1.0401663530501537E-12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539.76438066597848</v>
      </c>
      <c r="CZ154" s="60">
        <f t="shared" si="150"/>
        <v>303.47238367344937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-9.3464223027694966E-13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493.19478874005267</v>
      </c>
      <c r="DU154" s="60">
        <f t="shared" si="152"/>
        <v>278.78337903007821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-1.2505552149377763E-12</v>
      </c>
      <c r="EK154" s="18">
        <f>EJ154*VLOOKUP('Données projet'!$B$15,Paramètres!$A$1:$I$89,3,0)*VLOOKUP('Données projet'!$B$15,Paramètres!$A$1:$I$89,5,0)</f>
        <v>-1.0729763744166122E-12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698.30188737818639</v>
      </c>
      <c r="EP154" s="60">
        <f t="shared" si="154"/>
        <v>329.77977151358482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396.99335548279453</v>
      </c>
      <c r="FK154" s="60">
        <f t="shared" si="156"/>
        <v>388.89849573746335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68.357450216692882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4.6150000000000002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16.921666666666667</v>
      </c>
      <c r="H155" s="68">
        <f t="shared" si="110"/>
        <v>188.98000000000002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5.1431925385259088E-14</v>
      </c>
      <c r="P155" s="14">
        <f t="shared" si="141"/>
        <v>8.3482866290946129E-13</v>
      </c>
      <c r="Q155" s="22">
        <f t="shared" si="162"/>
        <v>1.5435705246133045E-12</v>
      </c>
      <c r="R155" s="60">
        <f t="shared" si="109"/>
        <v>287.41513087188918</v>
      </c>
      <c r="S155" s="60">
        <f ca="1">AVERAGE(OFFSET($R$3,0,0,'Données projet'!$E$9+1,1))-AVERAGE(OFFSET($H$3,0,0,'Données projet'!$E$9+1,1))</f>
        <v>550.53475891182575</v>
      </c>
      <c r="T155" s="60">
        <f t="shared" si="142"/>
        <v>350.2500324347194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513.16577009788818</v>
      </c>
      <c r="AO155" s="60">
        <f t="shared" si="144"/>
        <v>289.37159333739146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-4.1677594708744434E-14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366.5170155168056</v>
      </c>
      <c r="BJ155" s="60">
        <f t="shared" si="146"/>
        <v>394.05057214541966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333.512642972663</v>
      </c>
      <c r="CE155" s="60">
        <f t="shared" si="148"/>
        <v>464.18634682168488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-1.0401663530501537E-12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539.76438066597848</v>
      </c>
      <c r="CZ155" s="60">
        <f t="shared" si="150"/>
        <v>303.47238367344937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-9.3464223027694966E-13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493.19478874005267</v>
      </c>
      <c r="DU155" s="60">
        <f t="shared" si="152"/>
        <v>278.78337903007821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-1.2505552149377763E-12</v>
      </c>
      <c r="EK155" s="18">
        <f>EJ155*VLOOKUP('Données projet'!$B$15,Paramètres!$A$1:$I$89,3,0)*VLOOKUP('Données projet'!$B$15,Paramètres!$A$1:$I$89,5,0)</f>
        <v>-1.0729763744166122E-12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698.30188737818639</v>
      </c>
      <c r="EP155" s="60">
        <f t="shared" si="154"/>
        <v>329.77977151358482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396.99335548279453</v>
      </c>
      <c r="FK155" s="60">
        <f t="shared" si="156"/>
        <v>388.89849573746335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68.385944783242081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4.6150000000000002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16.921666666666667</v>
      </c>
      <c r="H156" s="68">
        <f t="shared" si="110"/>
        <v>188.98000000000002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5.1431925385259088E-14</v>
      </c>
      <c r="P156" s="14">
        <f t="shared" si="141"/>
        <v>8.3482866290946129E-13</v>
      </c>
      <c r="Q156" s="22">
        <f t="shared" si="162"/>
        <v>1.5435705246133045E-12</v>
      </c>
      <c r="R156" s="60">
        <f t="shared" si="109"/>
        <v>287.5177984534767</v>
      </c>
      <c r="S156" s="60">
        <f ca="1">AVERAGE(OFFSET($R$3,0,0,'Données projet'!$E$9+1,1))-AVERAGE(OFFSET($H$3,0,0,'Données projet'!$E$9+1,1))</f>
        <v>550.53475891182575</v>
      </c>
      <c r="T156" s="60">
        <f t="shared" si="142"/>
        <v>350.2500324347194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513.16577009788818</v>
      </c>
      <c r="AO156" s="60">
        <f t="shared" si="144"/>
        <v>289.37159333739146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-4.1677594708744434E-14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366.5170155168056</v>
      </c>
      <c r="BJ156" s="60">
        <f t="shared" si="146"/>
        <v>394.05057214541966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333.512642972663</v>
      </c>
      <c r="CE156" s="60">
        <f t="shared" si="148"/>
        <v>464.18634682168488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-1.0401663530501537E-12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539.76438066597848</v>
      </c>
      <c r="CZ156" s="60">
        <f t="shared" si="150"/>
        <v>303.47238367344937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-9.3464223027694966E-13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493.19478874005267</v>
      </c>
      <c r="DU156" s="60">
        <f t="shared" si="152"/>
        <v>278.78337903007821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-1.2505552149377763E-12</v>
      </c>
      <c r="EK156" s="18">
        <f>EJ156*VLOOKUP('Données projet'!$B$15,Paramètres!$A$1:$I$89,3,0)*VLOOKUP('Données projet'!$B$15,Paramètres!$A$1:$I$89,5,0)</f>
        <v>-1.0729763744166122E-12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698.30188737818639</v>
      </c>
      <c r="EP156" s="60">
        <f t="shared" si="154"/>
        <v>329.77977151358482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396.99335548279453</v>
      </c>
      <c r="FK156" s="60">
        <f t="shared" si="156"/>
        <v>388.89849573746335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68.413945032765952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4.6150000000000002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16.921666666666667</v>
      </c>
      <c r="H157" s="68">
        <f t="shared" si="110"/>
        <v>188.98000000000002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5.1431925385259088E-14</v>
      </c>
      <c r="P157" s="14">
        <f t="shared" si="141"/>
        <v>8.3482866290946129E-13</v>
      </c>
      <c r="Q157" s="22">
        <f t="shared" si="162"/>
        <v>1.5435705246133045E-12</v>
      </c>
      <c r="R157" s="60">
        <f t="shared" si="109"/>
        <v>287.61868498205399</v>
      </c>
      <c r="S157" s="60">
        <f ca="1">AVERAGE(OFFSET($R$3,0,0,'Données projet'!$E$9+1,1))-AVERAGE(OFFSET($H$3,0,0,'Données projet'!$E$9+1,1))</f>
        <v>550.53475891182575</v>
      </c>
      <c r="T157" s="60">
        <f t="shared" si="142"/>
        <v>350.2500324347194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513.16577009788818</v>
      </c>
      <c r="AO157" s="60">
        <f t="shared" si="144"/>
        <v>289.37159333739146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-4.1677594708744434E-14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366.5170155168056</v>
      </c>
      <c r="BJ157" s="60">
        <f t="shared" si="146"/>
        <v>394.05057214541966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333.512642972663</v>
      </c>
      <c r="CE157" s="60">
        <f t="shared" si="148"/>
        <v>464.18634682168488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-1.0401663530501537E-12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539.76438066597848</v>
      </c>
      <c r="CZ157" s="60">
        <f t="shared" si="150"/>
        <v>303.47238367344937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-9.3464223027694966E-13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493.19478874005267</v>
      </c>
      <c r="DU157" s="60">
        <f t="shared" si="152"/>
        <v>278.78337903007821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-1.2505552149377763E-12</v>
      </c>
      <c r="EK157" s="18">
        <f>EJ157*VLOOKUP('Données projet'!$B$15,Paramètres!$A$1:$I$89,3,0)*VLOOKUP('Données projet'!$B$15,Paramètres!$A$1:$I$89,5,0)</f>
        <v>-1.0729763744166122E-12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698.30188737818639</v>
      </c>
      <c r="EP157" s="60">
        <f t="shared" si="154"/>
        <v>329.77977151358482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396.99335548279453</v>
      </c>
      <c r="FK157" s="60">
        <f t="shared" si="156"/>
        <v>388.89849573746335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68.441459540559762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4.6150000000000002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16.921666666666667</v>
      </c>
      <c r="H158" s="68">
        <f t="shared" si="110"/>
        <v>188.98000000000002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5.1431925385259088E-14</v>
      </c>
      <c r="P158" s="14">
        <f t="shared" si="141"/>
        <v>8.3482866290946129E-13</v>
      </c>
      <c r="Q158" s="22">
        <f t="shared" si="162"/>
        <v>1.5435705246133045E-12</v>
      </c>
      <c r="R158" s="60">
        <f t="shared" si="109"/>
        <v>287.71782135490901</v>
      </c>
      <c r="S158" s="60">
        <f ca="1">AVERAGE(OFFSET($R$3,0,0,'Données projet'!$E$9+1,1))-AVERAGE(OFFSET($H$3,0,0,'Données projet'!$E$9+1,1))</f>
        <v>550.53475891182575</v>
      </c>
      <c r="T158" s="60">
        <f t="shared" si="142"/>
        <v>350.2500324347194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513.16577009788818</v>
      </c>
      <c r="AO158" s="60">
        <f t="shared" si="144"/>
        <v>289.37159333739146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-4.1677594708744434E-14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366.5170155168056</v>
      </c>
      <c r="BJ158" s="60">
        <f t="shared" si="146"/>
        <v>394.05057214541966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333.512642972663</v>
      </c>
      <c r="CE158" s="60">
        <f t="shared" si="148"/>
        <v>464.18634682168488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-1.0401663530501537E-12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539.76438066597848</v>
      </c>
      <c r="CZ158" s="60">
        <f t="shared" si="150"/>
        <v>303.47238367344937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-9.3464223027694966E-13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493.19478874005267</v>
      </c>
      <c r="DU158" s="60">
        <f t="shared" si="152"/>
        <v>278.78337903007821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-1.2505552149377763E-12</v>
      </c>
      <c r="EK158" s="18">
        <f>EJ158*VLOOKUP('Données projet'!$B$15,Paramètres!$A$1:$I$89,3,0)*VLOOKUP('Données projet'!$B$15,Paramètres!$A$1:$I$89,5,0)</f>
        <v>-1.0729763744166122E-12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698.30188737818639</v>
      </c>
      <c r="EP158" s="60">
        <f t="shared" si="154"/>
        <v>329.77977151358482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396.99335548279453</v>
      </c>
      <c r="FK158" s="60">
        <f t="shared" si="156"/>
        <v>388.89849573746335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68.468496733156584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4.6150000000000002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16.921666666666667</v>
      </c>
      <c r="H159" s="68">
        <f t="shared" si="110"/>
        <v>188.98000000000002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5.1431925385259088E-14</v>
      </c>
      <c r="P159" s="14">
        <f t="shared" si="141"/>
        <v>8.3482866290946129E-13</v>
      </c>
      <c r="Q159" s="22">
        <f t="shared" si="162"/>
        <v>1.5435705246133045E-12</v>
      </c>
      <c r="R159" s="60">
        <f t="shared" si="109"/>
        <v>287.81523793333071</v>
      </c>
      <c r="S159" s="60">
        <f ca="1">AVERAGE(OFFSET($R$3,0,0,'Données projet'!$E$9+1,1))-AVERAGE(OFFSET($H$3,0,0,'Données projet'!$E$9+1,1))</f>
        <v>550.53475891182575</v>
      </c>
      <c r="T159" s="60">
        <f t="shared" si="142"/>
        <v>350.2500324347194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513.16577009788818</v>
      </c>
      <c r="AO159" s="60">
        <f t="shared" si="144"/>
        <v>289.37159333739146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-4.1677594708744434E-14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366.5170155168056</v>
      </c>
      <c r="BJ159" s="60">
        <f t="shared" si="146"/>
        <v>394.05057214541966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333.512642972663</v>
      </c>
      <c r="CE159" s="60">
        <f t="shared" si="148"/>
        <v>464.18634682168488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-1.0401663530501537E-12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539.76438066597848</v>
      </c>
      <c r="CZ159" s="60">
        <f t="shared" si="150"/>
        <v>303.47238367344937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-9.3464223027694966E-13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493.19478874005267</v>
      </c>
      <c r="DU159" s="60">
        <f t="shared" si="152"/>
        <v>278.78337903007821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-1.2505552149377763E-12</v>
      </c>
      <c r="EK159" s="18">
        <f>EJ159*VLOOKUP('Données projet'!$B$15,Paramètres!$A$1:$I$89,3,0)*VLOOKUP('Données projet'!$B$15,Paramètres!$A$1:$I$89,5,0)</f>
        <v>-1.0729763744166122E-12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698.30188737818639</v>
      </c>
      <c r="EP159" s="60">
        <f t="shared" si="154"/>
        <v>329.77977151358482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396.99335548279453</v>
      </c>
      <c r="FK159" s="60">
        <f t="shared" si="156"/>
        <v>388.89849573746335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68.495064890907955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4.6150000000000002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16.921666666666667</v>
      </c>
      <c r="H160" s="68">
        <f t="shared" si="110"/>
        <v>188.98000000000002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5.1431925385259088E-14</v>
      </c>
      <c r="P160" s="14">
        <f t="shared" si="141"/>
        <v>8.3482866290946129E-13</v>
      </c>
      <c r="Q160" s="22">
        <f t="shared" si="162"/>
        <v>1.5435705246133045E-12</v>
      </c>
      <c r="R160" s="60">
        <f t="shared" si="109"/>
        <v>287.91096455190763</v>
      </c>
      <c r="S160" s="60">
        <f ca="1">AVERAGE(OFFSET($R$3,0,0,'Données projet'!$E$9+1,1))-AVERAGE(OFFSET($H$3,0,0,'Données projet'!$E$9+1,1))</f>
        <v>550.53475891182575</v>
      </c>
      <c r="T160" s="60">
        <f t="shared" si="142"/>
        <v>350.2500324347194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513.16577009788818</v>
      </c>
      <c r="AO160" s="60">
        <f t="shared" si="144"/>
        <v>289.37159333739146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-4.1677594708744434E-14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366.5170155168056</v>
      </c>
      <c r="BJ160" s="60">
        <f t="shared" si="146"/>
        <v>394.05057214541966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333.512642972663</v>
      </c>
      <c r="CE160" s="60">
        <f t="shared" si="148"/>
        <v>464.18634682168488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-1.0401663530501537E-12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539.76438066597848</v>
      </c>
      <c r="CZ160" s="60">
        <f t="shared" si="150"/>
        <v>303.47238367344937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-9.3464223027694966E-13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493.19478874005267</v>
      </c>
      <c r="DU160" s="60">
        <f t="shared" si="152"/>
        <v>278.78337903007821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-1.2505552149377763E-12</v>
      </c>
      <c r="EK160" s="18">
        <f>EJ160*VLOOKUP('Données projet'!$B$15,Paramètres!$A$1:$I$89,3,0)*VLOOKUP('Données projet'!$B$15,Paramètres!$A$1:$I$89,5,0)</f>
        <v>-1.0729763744166122E-12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698.30188737818639</v>
      </c>
      <c r="EP160" s="60">
        <f t="shared" si="154"/>
        <v>329.77977151358482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396.99335548279453</v>
      </c>
      <c r="FK160" s="60">
        <f t="shared" si="156"/>
        <v>388.89849573746335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68.521172150519845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4.6150000000000002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16.921666666666667</v>
      </c>
      <c r="H161" s="68">
        <f t="shared" si="110"/>
        <v>188.98000000000002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5.1431925385259088E-14</v>
      </c>
      <c r="P161" s="14">
        <f t="shared" si="141"/>
        <v>8.3482866290946129E-13</v>
      </c>
      <c r="Q161" s="22">
        <f t="shared" si="162"/>
        <v>1.5435705246133045E-12</v>
      </c>
      <c r="R161" s="60">
        <f t="shared" si="109"/>
        <v>288.00503052766493</v>
      </c>
      <c r="S161" s="60">
        <f ca="1">AVERAGE(OFFSET($R$3,0,0,'Données projet'!$E$9+1,1))-AVERAGE(OFFSET($H$3,0,0,'Données projet'!$E$9+1,1))</f>
        <v>550.53475891182575</v>
      </c>
      <c r="T161" s="60">
        <f t="shared" si="142"/>
        <v>350.2500324347194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513.16577009788818</v>
      </c>
      <c r="AO161" s="60">
        <f t="shared" si="144"/>
        <v>289.37159333739146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-4.1677594708744434E-14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366.5170155168056</v>
      </c>
      <c r="BJ161" s="60">
        <f t="shared" si="146"/>
        <v>394.05057214541966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333.512642972663</v>
      </c>
      <c r="CE161" s="60">
        <f t="shared" si="148"/>
        <v>464.18634682168488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-1.0401663530501537E-12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539.76438066597848</v>
      </c>
      <c r="CZ161" s="60">
        <f t="shared" si="150"/>
        <v>303.47238367344937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-9.3464223027694966E-13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493.19478874005267</v>
      </c>
      <c r="DU161" s="60">
        <f t="shared" si="152"/>
        <v>278.78337903007821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-1.2505552149377763E-12</v>
      </c>
      <c r="EK161" s="18">
        <f>EJ161*VLOOKUP('Données projet'!$B$15,Paramètres!$A$1:$I$89,3,0)*VLOOKUP('Données projet'!$B$15,Paramètres!$A$1:$I$89,5,0)</f>
        <v>-1.0729763744166122E-12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698.30188737818639</v>
      </c>
      <c r="EP161" s="60">
        <f t="shared" si="154"/>
        <v>329.77977151358482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396.99335548279453</v>
      </c>
      <c r="FK161" s="60">
        <f t="shared" si="156"/>
        <v>388.89849573746335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68.546826507544566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4.6150000000000002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16.921666666666667</v>
      </c>
      <c r="H162" s="68">
        <f t="shared" si="110"/>
        <v>188.98000000000002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5.1431925385259088E-14</v>
      </c>
      <c r="P162" s="14">
        <f t="shared" si="141"/>
        <v>8.3482866290946129E-13</v>
      </c>
      <c r="Q162" s="22">
        <f t="shared" si="162"/>
        <v>1.5435705246133045E-12</v>
      </c>
      <c r="R162" s="60">
        <f t="shared" si="109"/>
        <v>288.09746466904278</v>
      </c>
      <c r="S162" s="60">
        <f ca="1">AVERAGE(OFFSET($R$3,0,0,'Données projet'!$E$9+1,1))-AVERAGE(OFFSET($H$3,0,0,'Données projet'!$E$9+1,1))</f>
        <v>550.53475891182575</v>
      </c>
      <c r="T162" s="60">
        <f t="shared" si="142"/>
        <v>350.2500324347194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513.16577009788818</v>
      </c>
      <c r="AO162" s="60">
        <f t="shared" si="144"/>
        <v>289.37159333739146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-4.1677594708744434E-14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366.5170155168056</v>
      </c>
      <c r="BJ162" s="60">
        <f t="shared" si="146"/>
        <v>394.05057214541966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333.512642972663</v>
      </c>
      <c r="CE162" s="60">
        <f t="shared" si="148"/>
        <v>464.18634682168488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-1.0401663530501537E-12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539.76438066597848</v>
      </c>
      <c r="CZ162" s="60">
        <f t="shared" si="150"/>
        <v>303.47238367344937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-9.3464223027694966E-13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493.19478874005267</v>
      </c>
      <c r="DU162" s="60">
        <f t="shared" si="152"/>
        <v>278.78337903007821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-1.2505552149377763E-12</v>
      </c>
      <c r="EK162" s="18">
        <f>EJ162*VLOOKUP('Données projet'!$B$15,Paramètres!$A$1:$I$89,3,0)*VLOOKUP('Données projet'!$B$15,Paramètres!$A$1:$I$89,5,0)</f>
        <v>-1.0729763744166122E-12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698.30188737818639</v>
      </c>
      <c r="EP162" s="60">
        <f t="shared" si="154"/>
        <v>329.77977151358482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396.99335548279453</v>
      </c>
      <c r="FK162" s="60">
        <f t="shared" si="156"/>
        <v>388.89849573746335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68.572035818829434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4.6150000000000002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16.921666666666667</v>
      </c>
      <c r="H163" s="68">
        <f t="shared" si="110"/>
        <v>188.98000000000002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5.1431925385259088E-14</v>
      </c>
      <c r="P163" s="14">
        <f t="shared" si="141"/>
        <v>8.3482866290946129E-13</v>
      </c>
      <c r="Q163" s="22">
        <f t="shared" si="162"/>
        <v>1.5435705246133045E-12</v>
      </c>
      <c r="R163" s="60">
        <f t="shared" si="109"/>
        <v>288.18829528471957</v>
      </c>
      <c r="S163" s="60">
        <f ca="1">AVERAGE(OFFSET($R$3,0,0,'Données projet'!$E$9+1,1))-AVERAGE(OFFSET($H$3,0,0,'Données projet'!$E$9+1,1))</f>
        <v>550.53475891182575</v>
      </c>
      <c r="T163" s="60">
        <f t="shared" si="142"/>
        <v>350.2500324347194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513.16577009788818</v>
      </c>
      <c r="AO163" s="60">
        <f t="shared" si="144"/>
        <v>289.37159333739146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-4.1677594708744434E-14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366.5170155168056</v>
      </c>
      <c r="BJ163" s="60">
        <f t="shared" si="146"/>
        <v>394.05057214541966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333.512642972663</v>
      </c>
      <c r="CE163" s="60">
        <f t="shared" si="148"/>
        <v>464.18634682168488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-1.0401663530501537E-12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539.76438066597848</v>
      </c>
      <c r="CZ163" s="60">
        <f t="shared" si="150"/>
        <v>303.47238367344937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-9.3464223027694966E-13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493.19478874005267</v>
      </c>
      <c r="DU163" s="60">
        <f t="shared" si="152"/>
        <v>278.78337903007821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-1.2505552149377763E-12</v>
      </c>
      <c r="EK163" s="18">
        <f>EJ163*VLOOKUP('Données projet'!$B$15,Paramètres!$A$1:$I$89,3,0)*VLOOKUP('Données projet'!$B$15,Paramètres!$A$1:$I$89,5,0)</f>
        <v>-1.0729763744166122E-12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698.30188737818639</v>
      </c>
      <c r="EP163" s="60">
        <f t="shared" si="154"/>
        <v>329.77977151358482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396.99335548279453</v>
      </c>
      <c r="FK163" s="60">
        <f t="shared" si="156"/>
        <v>388.89849573746335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68.596807804923102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4.6150000000000002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16.921666666666667</v>
      </c>
      <c r="H164" s="68">
        <f t="shared" si="110"/>
        <v>188.98000000000002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5.1431925385259088E-14</v>
      </c>
      <c r="P164" s="14">
        <f t="shared" si="141"/>
        <v>8.3482866290946129E-13</v>
      </c>
      <c r="Q164" s="22">
        <f t="shared" si="162"/>
        <v>1.5435705246133045E-12</v>
      </c>
      <c r="R164" s="60">
        <f t="shared" si="109"/>
        <v>288.27755019228118</v>
      </c>
      <c r="S164" s="60">
        <f ca="1">AVERAGE(OFFSET($R$3,0,0,'Données projet'!$E$9+1,1))-AVERAGE(OFFSET($H$3,0,0,'Données projet'!$E$9+1,1))</f>
        <v>550.53475891182575</v>
      </c>
      <c r="T164" s="60">
        <f t="shared" si="142"/>
        <v>350.2500324347194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513.16577009788818</v>
      </c>
      <c r="AO164" s="60">
        <f t="shared" si="144"/>
        <v>289.37159333739146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-4.1677594708744434E-14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366.5170155168056</v>
      </c>
      <c r="BJ164" s="60">
        <f t="shared" si="146"/>
        <v>394.05057214541966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333.512642972663</v>
      </c>
      <c r="CE164" s="60">
        <f t="shared" si="148"/>
        <v>464.18634682168488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-1.0401663530501537E-12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539.76438066597848</v>
      </c>
      <c r="CZ164" s="60">
        <f t="shared" si="150"/>
        <v>303.47238367344937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-9.3464223027694966E-13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493.19478874005267</v>
      </c>
      <c r="DU164" s="60">
        <f t="shared" si="152"/>
        <v>278.78337903007821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-1.2505552149377763E-12</v>
      </c>
      <c r="EK164" s="18">
        <f>EJ164*VLOOKUP('Données projet'!$B$15,Paramètres!$A$1:$I$89,3,0)*VLOOKUP('Données projet'!$B$15,Paramètres!$A$1:$I$89,5,0)</f>
        <v>-1.0729763744166122E-12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698.30188737818639</v>
      </c>
      <c r="EP164" s="60">
        <f t="shared" si="154"/>
        <v>329.77977151358482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396.99335548279453</v>
      </c>
      <c r="FK164" s="60">
        <f t="shared" si="156"/>
        <v>388.89849573746335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68.621150052439901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4.6150000000000002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16.921666666666667</v>
      </c>
      <c r="H165" s="68">
        <f t="shared" si="110"/>
        <v>188.98000000000002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5.1431925385259088E-14</v>
      </c>
      <c r="P165" s="14">
        <f t="shared" si="141"/>
        <v>8.3482866290946129E-13</v>
      </c>
      <c r="Q165" s="22">
        <f t="shared" si="162"/>
        <v>1.5435705246133045E-12</v>
      </c>
      <c r="R165" s="60">
        <f t="shared" si="109"/>
        <v>288.36525672674065</v>
      </c>
      <c r="S165" s="60">
        <f ca="1">AVERAGE(OFFSET($R$3,0,0,'Données projet'!$E$9+1,1))-AVERAGE(OFFSET($H$3,0,0,'Données projet'!$E$9+1,1))</f>
        <v>550.53475891182575</v>
      </c>
      <c r="T165" s="60">
        <f t="shared" si="142"/>
        <v>350.2500324347194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513.16577009788818</v>
      </c>
      <c r="AO165" s="60">
        <f t="shared" si="144"/>
        <v>289.37159333739146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-4.1677594708744434E-14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366.5170155168056</v>
      </c>
      <c r="BJ165" s="60">
        <f t="shared" si="146"/>
        <v>394.05057214541966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333.512642972663</v>
      </c>
      <c r="CE165" s="60">
        <f t="shared" si="148"/>
        <v>464.18634682168488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-1.0401663530501537E-12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539.76438066597848</v>
      </c>
      <c r="CZ165" s="60">
        <f t="shared" si="150"/>
        <v>303.47238367344937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-9.3464223027694966E-13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493.19478874005267</v>
      </c>
      <c r="DU165" s="60">
        <f t="shared" si="152"/>
        <v>278.78337903007821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-1.2505552149377763E-12</v>
      </c>
      <c r="EK165" s="18">
        <f>EJ165*VLOOKUP('Données projet'!$B$15,Paramètres!$A$1:$I$89,3,0)*VLOOKUP('Données projet'!$B$15,Paramètres!$A$1:$I$89,5,0)</f>
        <v>-1.0729763744166122E-12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698.30188737818639</v>
      </c>
      <c r="EP165" s="60">
        <f t="shared" si="154"/>
        <v>329.77977151358482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396.99335548279453</v>
      </c>
      <c r="FK165" s="60">
        <f t="shared" si="156"/>
        <v>388.89849573746335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68.6450700163834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4.6150000000000002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16.921666666666667</v>
      </c>
      <c r="H166" s="68">
        <f t="shared" si="110"/>
        <v>188.98000000000002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5.1431925385259088E-14</v>
      </c>
      <c r="P166" s="14">
        <f t="shared" si="141"/>
        <v>8.3482866290946129E-13</v>
      </c>
      <c r="Q166" s="22">
        <f t="shared" si="162"/>
        <v>1.5435705246133045E-12</v>
      </c>
      <c r="R166" s="60">
        <f t="shared" si="109"/>
        <v>288.4514417489097</v>
      </c>
      <c r="S166" s="60">
        <f ca="1">AVERAGE(OFFSET($R$3,0,0,'Données projet'!$E$9+1,1))-AVERAGE(OFFSET($H$3,0,0,'Données projet'!$E$9+1,1))</f>
        <v>550.53475891182575</v>
      </c>
      <c r="T166" s="60">
        <f t="shared" si="142"/>
        <v>350.2500324347194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513.16577009788818</v>
      </c>
      <c r="AO166" s="60">
        <f t="shared" si="144"/>
        <v>289.37159333739146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-4.1677594708744434E-14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366.5170155168056</v>
      </c>
      <c r="BJ166" s="60">
        <f t="shared" si="146"/>
        <v>394.05057214541966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333.512642972663</v>
      </c>
      <c r="CE166" s="60">
        <f t="shared" si="148"/>
        <v>464.18634682168488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-1.0401663530501537E-12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539.76438066597848</v>
      </c>
      <c r="CZ166" s="60">
        <f t="shared" si="150"/>
        <v>303.47238367344937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-9.3464223027694966E-13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493.19478874005267</v>
      </c>
      <c r="DU166" s="60">
        <f t="shared" si="152"/>
        <v>278.78337903007821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-1.2505552149377763E-12</v>
      </c>
      <c r="EK166" s="18">
        <f>EJ166*VLOOKUP('Données projet'!$B$15,Paramètres!$A$1:$I$89,3,0)*VLOOKUP('Données projet'!$B$15,Paramètres!$A$1:$I$89,5,0)</f>
        <v>-1.0729763744166122E-12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698.30188737818639</v>
      </c>
      <c r="EP166" s="60">
        <f t="shared" si="154"/>
        <v>329.77977151358482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396.99335548279453</v>
      </c>
      <c r="FK166" s="60">
        <f t="shared" si="156"/>
        <v>388.89849573746335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68.668575022429508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4.6150000000000002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16.921666666666667</v>
      </c>
      <c r="H167" s="68">
        <f t="shared" si="110"/>
        <v>188.98000000000002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5.1431925385259088E-14</v>
      </c>
      <c r="P167" s="14">
        <f t="shared" si="141"/>
        <v>8.3482866290946129E-13</v>
      </c>
      <c r="Q167" s="22">
        <f t="shared" si="162"/>
        <v>1.5435705246133045E-12</v>
      </c>
      <c r="R167" s="60">
        <f t="shared" si="109"/>
        <v>288.53613165362498</v>
      </c>
      <c r="S167" s="60">
        <f ca="1">AVERAGE(OFFSET($R$3,0,0,'Données projet'!$E$9+1,1))-AVERAGE(OFFSET($H$3,0,0,'Données projet'!$E$9+1,1))</f>
        <v>550.53475891182575</v>
      </c>
      <c r="T167" s="60">
        <f t="shared" si="142"/>
        <v>350.2500324347194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513.16577009788818</v>
      </c>
      <c r="AO167" s="60">
        <f t="shared" si="144"/>
        <v>289.37159333739146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-4.1677594708744434E-14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366.5170155168056</v>
      </c>
      <c r="BJ167" s="60">
        <f t="shared" si="146"/>
        <v>394.05057214541966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333.512642972663</v>
      </c>
      <c r="CE167" s="60">
        <f t="shared" si="148"/>
        <v>464.18634682168488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-1.0401663530501537E-12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539.76438066597848</v>
      </c>
      <c r="CZ167" s="60">
        <f t="shared" si="150"/>
        <v>303.47238367344937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-9.3464223027694966E-13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493.19478874005267</v>
      </c>
      <c r="DU167" s="60">
        <f t="shared" si="152"/>
        <v>278.78337903007821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-1.2505552149377763E-12</v>
      </c>
      <c r="EK167" s="18">
        <f>EJ167*VLOOKUP('Données projet'!$B$15,Paramètres!$A$1:$I$89,3,0)*VLOOKUP('Données projet'!$B$15,Paramètres!$A$1:$I$89,5,0)</f>
        <v>-1.0729763744166122E-12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698.30188737818639</v>
      </c>
      <c r="EP167" s="60">
        <f t="shared" si="154"/>
        <v>329.77977151358482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396.99335548279453</v>
      </c>
      <c r="FK167" s="60">
        <f t="shared" si="156"/>
        <v>388.89849573746335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68.691672269170027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4.6150000000000002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16.921666666666667</v>
      </c>
      <c r="H168" s="68">
        <f t="shared" si="110"/>
        <v>188.98000000000002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5.1431925385259088E-14</v>
      </c>
      <c r="P168" s="14">
        <f t="shared" si="141"/>
        <v>8.3482866290946129E-13</v>
      </c>
      <c r="Q168" s="22">
        <f t="shared" si="162"/>
        <v>1.5435705246133045E-12</v>
      </c>
      <c r="R168" s="60">
        <f t="shared" si="109"/>
        <v>288.61935237783166</v>
      </c>
      <c r="S168" s="60">
        <f ca="1">AVERAGE(OFFSET($R$3,0,0,'Données projet'!$E$9+1,1))-AVERAGE(OFFSET($H$3,0,0,'Données projet'!$E$9+1,1))</f>
        <v>550.53475891182575</v>
      </c>
      <c r="T168" s="60">
        <f t="shared" si="142"/>
        <v>350.2500324347194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513.16577009788818</v>
      </c>
      <c r="AO168" s="60">
        <f t="shared" si="144"/>
        <v>289.37159333739146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-4.1677594708744434E-14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366.5170155168056</v>
      </c>
      <c r="BJ168" s="60">
        <f t="shared" si="146"/>
        <v>394.05057214541966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333.512642972663</v>
      </c>
      <c r="CE168" s="60">
        <f t="shared" si="148"/>
        <v>464.18634682168488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-1.0401663530501537E-12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539.76438066597848</v>
      </c>
      <c r="CZ168" s="60">
        <f t="shared" si="150"/>
        <v>303.47238367344937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-9.3464223027694966E-13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493.19478874005267</v>
      </c>
      <c r="DU168" s="60">
        <f t="shared" si="152"/>
        <v>278.78337903007821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-1.2505552149377763E-12</v>
      </c>
      <c r="EK168" s="18">
        <f>EJ168*VLOOKUP('Données projet'!$B$15,Paramètres!$A$1:$I$89,3,0)*VLOOKUP('Données projet'!$B$15,Paramètres!$A$1:$I$89,5,0)</f>
        <v>-1.0729763744166122E-12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698.30188737818639</v>
      </c>
      <c r="EP168" s="60">
        <f t="shared" si="154"/>
        <v>329.77977151358482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396.99335548279453</v>
      </c>
      <c r="FK168" s="60">
        <f t="shared" si="156"/>
        <v>388.89849573746335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68.714368830317312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4.6150000000000002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16.921666666666667</v>
      </c>
      <c r="H169" s="68">
        <f t="shared" si="110"/>
        <v>188.98000000000002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5.1431925385259088E-14</v>
      </c>
      <c r="P169" s="14">
        <f t="shared" si="141"/>
        <v>8.3482866290946129E-13</v>
      </c>
      <c r="Q169" s="22">
        <f t="shared" si="162"/>
        <v>1.5435705246133045E-12</v>
      </c>
      <c r="R169" s="60">
        <f t="shared" si="109"/>
        <v>288.70112940852709</v>
      </c>
      <c r="S169" s="60">
        <f ca="1">AVERAGE(OFFSET($R$3,0,0,'Données projet'!$E$9+1,1))-AVERAGE(OFFSET($H$3,0,0,'Données projet'!$E$9+1,1))</f>
        <v>550.53475891182575</v>
      </c>
      <c r="T169" s="60">
        <f t="shared" si="142"/>
        <v>350.2500324347194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513.16577009788818</v>
      </c>
      <c r="AO169" s="60">
        <f t="shared" si="144"/>
        <v>289.37159333739146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-4.1677594708744434E-14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366.5170155168056</v>
      </c>
      <c r="BJ169" s="60">
        <f t="shared" si="146"/>
        <v>394.05057214541966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333.512642972663</v>
      </c>
      <c r="CE169" s="60">
        <f t="shared" si="148"/>
        <v>464.18634682168488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-1.0401663530501537E-12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539.76438066597848</v>
      </c>
      <c r="CZ169" s="60">
        <f t="shared" si="150"/>
        <v>303.47238367344937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-9.3464223027694966E-13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493.19478874005267</v>
      </c>
      <c r="DU169" s="60">
        <f t="shared" si="152"/>
        <v>278.78337903007821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-1.2505552149377763E-12</v>
      </c>
      <c r="EK169" s="18">
        <f>EJ169*VLOOKUP('Données projet'!$B$15,Paramètres!$A$1:$I$89,3,0)*VLOOKUP('Données projet'!$B$15,Paramètres!$A$1:$I$89,5,0)</f>
        <v>-1.0729763744166122E-12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698.30188737818639</v>
      </c>
      <c r="EP169" s="60">
        <f t="shared" si="154"/>
        <v>329.77977151358482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396.99335548279453</v>
      </c>
      <c r="FK169" s="60">
        <f t="shared" si="156"/>
        <v>388.89849573746335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68.736671656870612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4.6150000000000002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16.921666666666667</v>
      </c>
      <c r="H170" s="68">
        <f t="shared" si="110"/>
        <v>188.98000000000002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5.1431925385259088E-14</v>
      </c>
      <c r="P170" s="14">
        <f t="shared" si="141"/>
        <v>8.3482866290946129E-13</v>
      </c>
      <c r="Q170" s="22">
        <f t="shared" si="162"/>
        <v>1.5435705246133045E-12</v>
      </c>
      <c r="R170" s="60">
        <f t="shared" si="109"/>
        <v>288.78148779056602</v>
      </c>
      <c r="S170" s="60">
        <f ca="1">AVERAGE(OFFSET($R$3,0,0,'Données projet'!$E$9+1,1))-AVERAGE(OFFSET($H$3,0,0,'Données projet'!$E$9+1,1))</f>
        <v>550.53475891182575</v>
      </c>
      <c r="T170" s="60">
        <f t="shared" si="142"/>
        <v>350.2500324347194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513.16577009788818</v>
      </c>
      <c r="AO170" s="60">
        <f t="shared" si="144"/>
        <v>289.37159333739146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-4.1677594708744434E-14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366.5170155168056</v>
      </c>
      <c r="BJ170" s="60">
        <f t="shared" si="146"/>
        <v>394.05057214541966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333.512642972663</v>
      </c>
      <c r="CE170" s="60">
        <f t="shared" si="148"/>
        <v>464.18634682168488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-1.0401663530501537E-12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539.76438066597848</v>
      </c>
      <c r="CZ170" s="60">
        <f t="shared" si="150"/>
        <v>303.47238367344937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-9.3464223027694966E-13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493.19478874005267</v>
      </c>
      <c r="DU170" s="60">
        <f t="shared" si="152"/>
        <v>278.78337903007821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-1.2505552149377763E-12</v>
      </c>
      <c r="EK170" s="18">
        <f>EJ170*VLOOKUP('Données projet'!$B$15,Paramètres!$A$1:$I$89,3,0)*VLOOKUP('Données projet'!$B$15,Paramètres!$A$1:$I$89,5,0)</f>
        <v>-1.0729763744166122E-12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698.30188737818639</v>
      </c>
      <c r="EP170" s="60">
        <f t="shared" si="154"/>
        <v>329.77977151358482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396.99335548279453</v>
      </c>
      <c r="FK170" s="60">
        <f t="shared" si="156"/>
        <v>388.89849573746335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68.75858757924486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4.6150000000000002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16.921666666666667</v>
      </c>
      <c r="H171" s="68">
        <f t="shared" si="110"/>
        <v>188.98000000000002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5.1431925385259088E-14</v>
      </c>
      <c r="P171" s="14">
        <f t="shared" si="141"/>
        <v>8.3482866290946129E-13</v>
      </c>
      <c r="Q171" s="22">
        <f t="shared" si="162"/>
        <v>1.5435705246133045E-12</v>
      </c>
      <c r="R171" s="60">
        <f t="shared" si="109"/>
        <v>288.86045213433096</v>
      </c>
      <c r="S171" s="60">
        <f ca="1">AVERAGE(OFFSET($R$3,0,0,'Données projet'!$E$9+1,1))-AVERAGE(OFFSET($H$3,0,0,'Données projet'!$E$9+1,1))</f>
        <v>550.53475891182575</v>
      </c>
      <c r="T171" s="60">
        <f t="shared" si="142"/>
        <v>350.2500324347194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513.16577009788818</v>
      </c>
      <c r="AO171" s="60">
        <f t="shared" si="144"/>
        <v>289.37159333739146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-4.1677594708744434E-14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366.5170155168056</v>
      </c>
      <c r="BJ171" s="60">
        <f t="shared" si="146"/>
        <v>394.05057214541966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333.512642972663</v>
      </c>
      <c r="CE171" s="60">
        <f t="shared" si="148"/>
        <v>464.18634682168488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-1.0401663530501537E-12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539.76438066597848</v>
      </c>
      <c r="CZ171" s="60">
        <f t="shared" si="150"/>
        <v>303.47238367344937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-9.3464223027694966E-13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493.19478874005267</v>
      </c>
      <c r="DU171" s="60">
        <f t="shared" si="152"/>
        <v>278.78337903007821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-1.2505552149377763E-12</v>
      </c>
      <c r="EK171" s="18">
        <f>EJ171*VLOOKUP('Données projet'!$B$15,Paramètres!$A$1:$I$89,3,0)*VLOOKUP('Données projet'!$B$15,Paramètres!$A$1:$I$89,5,0)</f>
        <v>-1.0729763744166122E-12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698.30188737818639</v>
      </c>
      <c r="EP171" s="60">
        <f t="shared" si="154"/>
        <v>329.77977151358482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396.99335548279453</v>
      </c>
      <c r="FK171" s="60">
        <f t="shared" si="156"/>
        <v>388.89849573746335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68.780123309362565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4.6150000000000002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16.921666666666667</v>
      </c>
      <c r="H172" s="68">
        <f t="shared" si="110"/>
        <v>188.98000000000002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5.1431925385259088E-14</v>
      </c>
      <c r="P172" s="14">
        <f t="shared" si="141"/>
        <v>8.3482866290946129E-13</v>
      </c>
      <c r="Q172" s="22">
        <f t="shared" si="162"/>
        <v>1.5435705246133045E-12</v>
      </c>
      <c r="R172" s="60">
        <f t="shared" si="109"/>
        <v>288.93804662326937</v>
      </c>
      <c r="S172" s="60">
        <f ca="1">AVERAGE(OFFSET($R$3,0,0,'Données projet'!$E$9+1,1))-AVERAGE(OFFSET($H$3,0,0,'Données projet'!$E$9+1,1))</f>
        <v>550.53475891182575</v>
      </c>
      <c r="T172" s="60">
        <f t="shared" si="142"/>
        <v>350.2500324347194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513.16577009788818</v>
      </c>
      <c r="AO172" s="60">
        <f t="shared" si="144"/>
        <v>289.37159333739146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-4.1677594708744434E-14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366.5170155168056</v>
      </c>
      <c r="BJ172" s="60">
        <f t="shared" si="146"/>
        <v>394.05057214541966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333.512642972663</v>
      </c>
      <c r="CE172" s="60">
        <f t="shared" si="148"/>
        <v>464.18634682168488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-1.0401663530501537E-12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539.76438066597848</v>
      </c>
      <c r="CZ172" s="60">
        <f t="shared" si="150"/>
        <v>303.47238367344937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-9.3464223027694966E-13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493.19478874005267</v>
      </c>
      <c r="DU172" s="60">
        <f t="shared" si="152"/>
        <v>278.78337903007821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-1.2505552149377763E-12</v>
      </c>
      <c r="EK172" s="18">
        <f>EJ172*VLOOKUP('Données projet'!$B$15,Paramètres!$A$1:$I$89,3,0)*VLOOKUP('Données projet'!$B$15,Paramètres!$A$1:$I$89,5,0)</f>
        <v>-1.0729763744166122E-12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698.30188737818639</v>
      </c>
      <c r="EP172" s="60">
        <f t="shared" si="154"/>
        <v>329.77977151358482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396.99335548279453</v>
      </c>
      <c r="FK172" s="60">
        <f t="shared" si="156"/>
        <v>388.89849573746335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68.801285442709414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4.6150000000000002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16.921666666666667</v>
      </c>
      <c r="H173" s="68">
        <f t="shared" si="110"/>
        <v>188.98000000000002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5.1431925385259088E-14</v>
      </c>
      <c r="P173" s="14">
        <f t="shared" si="141"/>
        <v>8.3482866290946129E-13</v>
      </c>
      <c r="Q173" s="22">
        <f t="shared" si="162"/>
        <v>1.5435705246133045E-12</v>
      </c>
      <c r="R173" s="60">
        <f t="shared" si="109"/>
        <v>289.01429502130009</v>
      </c>
      <c r="S173" s="60">
        <f ca="1">AVERAGE(OFFSET($R$3,0,0,'Données projet'!$E$9+1,1))-AVERAGE(OFFSET($H$3,0,0,'Données projet'!$E$9+1,1))</f>
        <v>550.53475891182575</v>
      </c>
      <c r="T173" s="60">
        <f t="shared" si="142"/>
        <v>350.2500324347194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513.16577009788818</v>
      </c>
      <c r="AO173" s="60">
        <f t="shared" si="144"/>
        <v>289.37159333739146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-4.1677594708744434E-14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366.5170155168056</v>
      </c>
      <c r="BJ173" s="60">
        <f t="shared" si="146"/>
        <v>394.05057214541966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333.512642972663</v>
      </c>
      <c r="CE173" s="60">
        <f t="shared" si="148"/>
        <v>464.18634682168488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-1.0401663530501537E-12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539.76438066597848</v>
      </c>
      <c r="CZ173" s="60">
        <f t="shared" si="150"/>
        <v>303.47238367344937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-9.3464223027694966E-13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493.19478874005267</v>
      </c>
      <c r="DU173" s="60">
        <f t="shared" si="152"/>
        <v>278.78337903007821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-1.2505552149377763E-12</v>
      </c>
      <c r="EK173" s="18">
        <f>EJ173*VLOOKUP('Données projet'!$B$15,Paramètres!$A$1:$I$89,3,0)*VLOOKUP('Données projet'!$B$15,Paramètres!$A$1:$I$89,5,0)</f>
        <v>-1.0729763744166122E-12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698.30188737818639</v>
      </c>
      <c r="EP173" s="60">
        <f t="shared" si="154"/>
        <v>329.77977151358482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396.99335548279453</v>
      </c>
      <c r="FK173" s="60">
        <f t="shared" si="156"/>
        <v>388.89849573746335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68.822080460354144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4.6150000000000002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16.921666666666667</v>
      </c>
      <c r="H174" s="68">
        <f t="shared" si="110"/>
        <v>188.98000000000002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5.1431925385259088E-14</v>
      </c>
      <c r="P174" s="14">
        <f t="shared" si="141"/>
        <v>8.3482866290946129E-13</v>
      </c>
      <c r="Q174" s="22">
        <f t="shared" si="162"/>
        <v>1.5435705246133045E-12</v>
      </c>
      <c r="R174" s="60">
        <f t="shared" si="109"/>
        <v>289.08922068009076</v>
      </c>
      <c r="S174" s="60">
        <f ca="1">AVERAGE(OFFSET($R$3,0,0,'Données projet'!$E$9+1,1))-AVERAGE(OFFSET($H$3,0,0,'Données projet'!$E$9+1,1))</f>
        <v>550.53475891182575</v>
      </c>
      <c r="T174" s="60">
        <f t="shared" si="142"/>
        <v>350.2500324347194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513.16577009788818</v>
      </c>
      <c r="AO174" s="60">
        <f t="shared" si="144"/>
        <v>289.37159333739146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-4.1677594708744434E-14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366.5170155168056</v>
      </c>
      <c r="BJ174" s="60">
        <f t="shared" si="146"/>
        <v>394.05057214541966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333.512642972663</v>
      </c>
      <c r="CE174" s="60">
        <f t="shared" si="148"/>
        <v>464.18634682168488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-1.0401663530501537E-12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539.76438066597848</v>
      </c>
      <c r="CZ174" s="60">
        <f t="shared" si="150"/>
        <v>303.47238367344937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-9.3464223027694966E-13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493.19478874005267</v>
      </c>
      <c r="DU174" s="60">
        <f t="shared" si="152"/>
        <v>278.78337903007821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-1.2505552149377763E-12</v>
      </c>
      <c r="EK174" s="18">
        <f>EJ174*VLOOKUP('Données projet'!$B$15,Paramètres!$A$1:$I$89,3,0)*VLOOKUP('Données projet'!$B$15,Paramètres!$A$1:$I$89,5,0)</f>
        <v>-1.0729763744166122E-12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698.30188737818639</v>
      </c>
      <c r="EP174" s="60">
        <f t="shared" si="154"/>
        <v>329.77977151358482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396.99335548279453</v>
      </c>
      <c r="FK174" s="60">
        <f t="shared" si="156"/>
        <v>388.89849573746335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68.842514730933416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4.6150000000000002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16.921666666666667</v>
      </c>
      <c r="H175" s="68">
        <f t="shared" si="110"/>
        <v>188.98000000000002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5.1431925385259088E-14</v>
      </c>
      <c r="P175" s="14">
        <f t="shared" si="141"/>
        <v>8.3482866290946129E-13</v>
      </c>
      <c r="Q175" s="22">
        <f t="shared" si="162"/>
        <v>1.5435705246133045E-12</v>
      </c>
      <c r="R175" s="60">
        <f t="shared" si="109"/>
        <v>289.16284654621006</v>
      </c>
      <c r="S175" s="60">
        <f ca="1">AVERAGE(OFFSET($R$3,0,0,'Données projet'!$E$9+1,1))-AVERAGE(OFFSET($H$3,0,0,'Données projet'!$E$9+1,1))</f>
        <v>550.53475891182575</v>
      </c>
      <c r="T175" s="60">
        <f t="shared" si="142"/>
        <v>350.2500324347194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513.16577009788818</v>
      </c>
      <c r="AO175" s="60">
        <f t="shared" si="144"/>
        <v>289.37159333739146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-4.1677594708744434E-14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366.5170155168056</v>
      </c>
      <c r="BJ175" s="60">
        <f t="shared" si="146"/>
        <v>394.05057214541966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333.512642972663</v>
      </c>
      <c r="CE175" s="60">
        <f t="shared" si="148"/>
        <v>464.18634682168488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-1.0401663530501537E-12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539.76438066597848</v>
      </c>
      <c r="CZ175" s="60">
        <f t="shared" si="150"/>
        <v>303.47238367344937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-9.3464223027694966E-13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493.19478874005267</v>
      </c>
      <c r="DU175" s="60">
        <f t="shared" si="152"/>
        <v>278.78337903007821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-1.2505552149377763E-12</v>
      </c>
      <c r="EK175" s="18">
        <f>EJ175*VLOOKUP('Données projet'!$B$15,Paramètres!$A$1:$I$89,3,0)*VLOOKUP('Données projet'!$B$15,Paramètres!$A$1:$I$89,5,0)</f>
        <v>-1.0729763744166122E-12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698.30188737818639</v>
      </c>
      <c r="EP175" s="60">
        <f t="shared" si="154"/>
        <v>329.77977151358482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396.99335548279453</v>
      </c>
      <c r="FK175" s="60">
        <f t="shared" si="156"/>
        <v>388.89849573746335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68.862594512602328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4.6150000000000002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16.921666666666667</v>
      </c>
      <c r="H176" s="68">
        <f t="shared" si="110"/>
        <v>188.98000000000002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5.1431925385259088E-14</v>
      </c>
      <c r="P176" s="14">
        <f t="shared" si="141"/>
        <v>8.3482866290946129E-13</v>
      </c>
      <c r="Q176" s="22">
        <f t="shared" si="162"/>
        <v>1.5435705246133045E-12</v>
      </c>
      <c r="R176" s="60">
        <f t="shared" si="109"/>
        <v>289.23519516815503</v>
      </c>
      <c r="S176" s="60">
        <f ca="1">AVERAGE(OFFSET($R$3,0,0,'Données projet'!$E$9+1,1))-AVERAGE(OFFSET($H$3,0,0,'Données projet'!$E$9+1,1))</f>
        <v>550.53475891182575</v>
      </c>
      <c r="T176" s="60">
        <f t="shared" si="142"/>
        <v>350.2500324347194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513.16577009788818</v>
      </c>
      <c r="AO176" s="60">
        <f t="shared" si="144"/>
        <v>289.37159333739146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-4.1677594708744434E-14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366.5170155168056</v>
      </c>
      <c r="BJ176" s="60">
        <f t="shared" si="146"/>
        <v>394.05057214541966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333.512642972663</v>
      </c>
      <c r="CE176" s="60">
        <f t="shared" si="148"/>
        <v>464.18634682168488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-1.0401663530501537E-12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539.76438066597848</v>
      </c>
      <c r="CZ176" s="60">
        <f t="shared" si="150"/>
        <v>303.47238367344937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-9.3464223027694966E-13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493.19478874005267</v>
      </c>
      <c r="DU176" s="60">
        <f t="shared" si="152"/>
        <v>278.78337903007821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-1.2505552149377763E-12</v>
      </c>
      <c r="EK176" s="18">
        <f>EJ176*VLOOKUP('Données projet'!$B$15,Paramètres!$A$1:$I$89,3,0)*VLOOKUP('Données projet'!$B$15,Paramètres!$A$1:$I$89,5,0)</f>
        <v>-1.0729763744166122E-12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698.30188737818639</v>
      </c>
      <c r="EP176" s="60">
        <f t="shared" si="154"/>
        <v>329.77977151358482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396.99335548279453</v>
      </c>
      <c r="FK176" s="60">
        <f t="shared" si="156"/>
        <v>388.89849573746335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68.882325954950957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4.6150000000000002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16.921666666666667</v>
      </c>
      <c r="H177" s="68">
        <f t="shared" si="110"/>
        <v>188.98000000000002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5.1431925385259088E-14</v>
      </c>
      <c r="P177" s="14">
        <f t="shared" si="141"/>
        <v>8.3482866290946129E-13</v>
      </c>
      <c r="Q177" s="22">
        <f t="shared" si="162"/>
        <v>1.5435705246133045E-12</v>
      </c>
      <c r="R177" s="60">
        <f t="shared" si="109"/>
        <v>289.3062887032566</v>
      </c>
      <c r="S177" s="60">
        <f ca="1">AVERAGE(OFFSET($R$3,0,0,'Données projet'!$E$9+1,1))-AVERAGE(OFFSET($H$3,0,0,'Données projet'!$E$9+1,1))</f>
        <v>550.53475891182575</v>
      </c>
      <c r="T177" s="60">
        <f t="shared" si="142"/>
        <v>350.2500324347194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513.16577009788818</v>
      </c>
      <c r="AO177" s="60">
        <f t="shared" si="144"/>
        <v>289.37159333739146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-4.1677594708744434E-14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366.5170155168056</v>
      </c>
      <c r="BJ177" s="60">
        <f t="shared" si="146"/>
        <v>394.05057214541966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333.512642972663</v>
      </c>
      <c r="CE177" s="60">
        <f t="shared" si="148"/>
        <v>464.18634682168488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-1.0401663530501537E-12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539.76438066597848</v>
      </c>
      <c r="CZ177" s="60">
        <f t="shared" si="150"/>
        <v>303.47238367344937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-9.3464223027694966E-13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493.19478874005267</v>
      </c>
      <c r="DU177" s="60">
        <f t="shared" si="152"/>
        <v>278.78337903007821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-1.2505552149377763E-12</v>
      </c>
      <c r="EK177" s="18">
        <f>EJ177*VLOOKUP('Données projet'!$B$15,Paramètres!$A$1:$I$89,3,0)*VLOOKUP('Données projet'!$B$15,Paramètres!$A$1:$I$89,5,0)</f>
        <v>-1.0729763744166122E-12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698.30188737818639</v>
      </c>
      <c r="EP177" s="60">
        <f t="shared" si="154"/>
        <v>329.77977151358482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396.99335548279453</v>
      </c>
      <c r="FK177" s="60">
        <f t="shared" si="156"/>
        <v>388.89849573746335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68.901715100887742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4.6150000000000002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16.921666666666667</v>
      </c>
      <c r="H178" s="68">
        <f t="shared" si="110"/>
        <v>188.98000000000002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5.1431925385259088E-14</v>
      </c>
      <c r="P178" s="14">
        <f t="shared" si="141"/>
        <v>8.3482866290946129E-13</v>
      </c>
      <c r="Q178" s="22">
        <f t="shared" si="162"/>
        <v>1.5435705246133045E-12</v>
      </c>
      <c r="R178" s="60">
        <f t="shared" si="109"/>
        <v>289.37614892446538</v>
      </c>
      <c r="S178" s="60">
        <f ca="1">AVERAGE(OFFSET($R$3,0,0,'Données projet'!$E$9+1,1))-AVERAGE(OFFSET($H$3,0,0,'Données projet'!$E$9+1,1))</f>
        <v>550.53475891182575</v>
      </c>
      <c r="T178" s="60">
        <f t="shared" si="142"/>
        <v>350.2500324347194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513.16577009788818</v>
      </c>
      <c r="AO178" s="60">
        <f t="shared" si="144"/>
        <v>289.37159333739146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-4.1677594708744434E-14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366.5170155168056</v>
      </c>
      <c r="BJ178" s="60">
        <f t="shared" si="146"/>
        <v>394.05057214541966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333.512642972663</v>
      </c>
      <c r="CE178" s="60">
        <f t="shared" si="148"/>
        <v>464.18634682168488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-1.0401663530501537E-12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539.76438066597848</v>
      </c>
      <c r="CZ178" s="60">
        <f t="shared" si="150"/>
        <v>303.47238367344937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-9.3464223027694966E-13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493.19478874005267</v>
      </c>
      <c r="DU178" s="60">
        <f t="shared" si="152"/>
        <v>278.78337903007821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-1.2505552149377763E-12</v>
      </c>
      <c r="EK178" s="18">
        <f>EJ178*VLOOKUP('Données projet'!$B$15,Paramètres!$A$1:$I$89,3,0)*VLOOKUP('Données projet'!$B$15,Paramètres!$A$1:$I$89,5,0)</f>
        <v>-1.0729763744166122E-12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698.30188737818639</v>
      </c>
      <c r="EP178" s="60">
        <f t="shared" si="154"/>
        <v>329.77977151358482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396.99335548279453</v>
      </c>
      <c r="FK178" s="60">
        <f t="shared" si="156"/>
        <v>388.89849573746335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68.920767888490133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4.6150000000000002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16.921666666666667</v>
      </c>
      <c r="H179" s="68">
        <f t="shared" si="110"/>
        <v>188.98000000000002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5.1431925385259088E-14</v>
      </c>
      <c r="P179" s="14">
        <f t="shared" si="141"/>
        <v>8.3482866290946129E-13</v>
      </c>
      <c r="Q179" s="22">
        <f t="shared" si="162"/>
        <v>1.5435705246133045E-12</v>
      </c>
      <c r="R179" s="60">
        <f t="shared" si="109"/>
        <v>289.44479722702027</v>
      </c>
      <c r="S179" s="60">
        <f ca="1">AVERAGE(OFFSET($R$3,0,0,'Données projet'!$E$9+1,1))-AVERAGE(OFFSET($H$3,0,0,'Données projet'!$E$9+1,1))</f>
        <v>550.53475891182575</v>
      </c>
      <c r="T179" s="60">
        <f t="shared" si="142"/>
        <v>350.2500324347194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513.16577009788818</v>
      </c>
      <c r="AO179" s="60">
        <f t="shared" si="144"/>
        <v>289.37159333739146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-4.1677594708744434E-14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366.5170155168056</v>
      </c>
      <c r="BJ179" s="60">
        <f t="shared" si="146"/>
        <v>394.05057214541966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333.512642972663</v>
      </c>
      <c r="CE179" s="60">
        <f t="shared" si="148"/>
        <v>464.18634682168488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-1.0401663530501537E-12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539.76438066597848</v>
      </c>
      <c r="CZ179" s="60">
        <f t="shared" si="150"/>
        <v>303.47238367344937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-9.3464223027694966E-13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493.19478874005267</v>
      </c>
      <c r="DU179" s="60">
        <f t="shared" si="152"/>
        <v>278.78337903007821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-1.2505552149377763E-12</v>
      </c>
      <c r="EK179" s="18">
        <f>EJ179*VLOOKUP('Données projet'!$B$15,Paramètres!$A$1:$I$89,3,0)*VLOOKUP('Données projet'!$B$15,Paramètres!$A$1:$I$89,5,0)</f>
        <v>-1.0729763744166122E-12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698.30188737818639</v>
      </c>
      <c r="EP179" s="60">
        <f t="shared" si="154"/>
        <v>329.77977151358482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396.99335548279453</v>
      </c>
      <c r="FK179" s="60">
        <f t="shared" si="156"/>
        <v>388.89849573746335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68.939490152823296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4.6150000000000002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16.921666666666667</v>
      </c>
      <c r="H180" s="68">
        <f t="shared" si="110"/>
        <v>188.98000000000002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5.1431925385259088E-14</v>
      </c>
      <c r="P180" s="14">
        <f t="shared" si="141"/>
        <v>8.3482866290946129E-13</v>
      </c>
      <c r="Q180" s="22">
        <f t="shared" si="162"/>
        <v>1.5435705246133045E-12</v>
      </c>
      <c r="R180" s="60">
        <f t="shared" si="109"/>
        <v>289.51225463500049</v>
      </c>
      <c r="S180" s="60">
        <f ca="1">AVERAGE(OFFSET($R$3,0,0,'Données projet'!$E$9+1,1))-AVERAGE(OFFSET($H$3,0,0,'Données projet'!$E$9+1,1))</f>
        <v>550.53475891182575</v>
      </c>
      <c r="T180" s="60">
        <f t="shared" si="142"/>
        <v>350.2500324347194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513.16577009788818</v>
      </c>
      <c r="AO180" s="60">
        <f t="shared" si="144"/>
        <v>289.37159333739146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-4.1677594708744434E-14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366.5170155168056</v>
      </c>
      <c r="BJ180" s="60">
        <f t="shared" si="146"/>
        <v>394.05057214541966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333.512642972663</v>
      </c>
      <c r="CE180" s="60">
        <f t="shared" si="148"/>
        <v>464.18634682168488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-1.0401663530501537E-12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539.76438066597848</v>
      </c>
      <c r="CZ180" s="60">
        <f t="shared" si="150"/>
        <v>303.47238367344937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-9.3464223027694966E-13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493.19478874005267</v>
      </c>
      <c r="DU180" s="60">
        <f t="shared" si="152"/>
        <v>278.78337903007821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-1.2505552149377763E-12</v>
      </c>
      <c r="EK180" s="18">
        <f>EJ180*VLOOKUP('Données projet'!$B$15,Paramètres!$A$1:$I$89,3,0)*VLOOKUP('Données projet'!$B$15,Paramètres!$A$1:$I$89,5,0)</f>
        <v>-1.0729763744166122E-12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698.30188737818639</v>
      </c>
      <c r="EP180" s="60">
        <f t="shared" si="154"/>
        <v>329.77977151358482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396.99335548279453</v>
      </c>
      <c r="FK180" s="60">
        <f t="shared" si="156"/>
        <v>388.89849573746335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68.95788762772699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4.6150000000000002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16.921666666666667</v>
      </c>
      <c r="H181" s="68">
        <f t="shared" si="110"/>
        <v>188.98000000000002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5.1431925385259088E-14</v>
      </c>
      <c r="P181" s="14">
        <f t="shared" si="141"/>
        <v>8.3482866290946129E-13</v>
      </c>
      <c r="Q181" s="22">
        <f t="shared" si="162"/>
        <v>1.5435705246133045E-12</v>
      </c>
      <c r="R181" s="60">
        <f t="shared" si="109"/>
        <v>289.5785418077644</v>
      </c>
      <c r="S181" s="60">
        <f ca="1">AVERAGE(OFFSET($R$3,0,0,'Données projet'!$E$9+1,1))-AVERAGE(OFFSET($H$3,0,0,'Données projet'!$E$9+1,1))</f>
        <v>550.53475891182575</v>
      </c>
      <c r="T181" s="60">
        <f t="shared" si="142"/>
        <v>350.2500324347194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513.16577009788818</v>
      </c>
      <c r="AO181" s="60">
        <f t="shared" si="144"/>
        <v>289.37159333739146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-4.1677594708744434E-14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366.5170155168056</v>
      </c>
      <c r="BJ181" s="60">
        <f t="shared" si="146"/>
        <v>394.05057214541966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333.512642972663</v>
      </c>
      <c r="CE181" s="60">
        <f t="shared" si="148"/>
        <v>464.18634682168488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-1.0401663530501537E-12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539.76438066597848</v>
      </c>
      <c r="CZ181" s="60">
        <f t="shared" si="150"/>
        <v>303.47238367344937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-9.3464223027694966E-13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493.19478874005267</v>
      </c>
      <c r="DU181" s="60">
        <f t="shared" si="152"/>
        <v>278.78337903007821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-1.2505552149377763E-12</v>
      </c>
      <c r="EK181" s="18">
        <f>EJ181*VLOOKUP('Données projet'!$B$15,Paramètres!$A$1:$I$89,3,0)*VLOOKUP('Données projet'!$B$15,Paramètres!$A$1:$I$89,5,0)</f>
        <v>-1.0729763744166122E-12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698.30188737818639</v>
      </c>
      <c r="EP181" s="60">
        <f t="shared" si="154"/>
        <v>329.77977151358482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396.99335548279453</v>
      </c>
      <c r="FK181" s="60">
        <f t="shared" si="156"/>
        <v>388.89849573746335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68.975965947571694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4.6150000000000002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16.921666666666667</v>
      </c>
      <c r="H182" s="68">
        <f t="shared" si="110"/>
        <v>188.98000000000002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5.1431925385259088E-14</v>
      </c>
      <c r="P182" s="14">
        <f t="shared" si="141"/>
        <v>8.3482866290946129E-13</v>
      </c>
      <c r="Q182" s="22">
        <f t="shared" si="162"/>
        <v>1.5435705246133045E-12</v>
      </c>
      <c r="R182" s="60">
        <f t="shared" si="109"/>
        <v>289.64367904627676</v>
      </c>
      <c r="S182" s="60">
        <f ca="1">AVERAGE(OFFSET($R$3,0,0,'Données projet'!$E$9+1,1))-AVERAGE(OFFSET($H$3,0,0,'Données projet'!$E$9+1,1))</f>
        <v>550.53475891182575</v>
      </c>
      <c r="T182" s="60">
        <f t="shared" si="142"/>
        <v>350.2500324347194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513.16577009788818</v>
      </c>
      <c r="AO182" s="60">
        <f t="shared" si="144"/>
        <v>289.37159333739146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-4.1677594708744434E-14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366.5170155168056</v>
      </c>
      <c r="BJ182" s="60">
        <f t="shared" si="146"/>
        <v>394.05057214541966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333.512642972663</v>
      </c>
      <c r="CE182" s="60">
        <f t="shared" si="148"/>
        <v>464.18634682168488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-1.0401663530501537E-12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539.76438066597848</v>
      </c>
      <c r="CZ182" s="60">
        <f t="shared" si="150"/>
        <v>303.47238367344937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-9.3464223027694966E-13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493.19478874005267</v>
      </c>
      <c r="DU182" s="60">
        <f t="shared" si="152"/>
        <v>278.78337903007821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-1.2505552149377763E-12</v>
      </c>
      <c r="EK182" s="18">
        <f>EJ182*VLOOKUP('Données projet'!$B$15,Paramètres!$A$1:$I$89,3,0)*VLOOKUP('Données projet'!$B$15,Paramètres!$A$1:$I$89,5,0)</f>
        <v>-1.0729763744166122E-12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698.30188737818639</v>
      </c>
      <c r="EP182" s="60">
        <f t="shared" si="154"/>
        <v>329.77977151358482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396.99335548279453</v>
      </c>
      <c r="FK182" s="60">
        <f t="shared" si="156"/>
        <v>388.89849573746335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68.993730648984155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4.6150000000000002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16.921666666666667</v>
      </c>
      <c r="H183" s="68">
        <f t="shared" si="110"/>
        <v>188.98000000000002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5.1431925385259088E-14</v>
      </c>
      <c r="P183" s="14">
        <f t="shared" si="141"/>
        <v>8.3482866290946129E-13</v>
      </c>
      <c r="Q183" s="22">
        <f t="shared" si="162"/>
        <v>1.5435705246133045E-12</v>
      </c>
      <c r="R183" s="60">
        <f t="shared" si="109"/>
        <v>289.70768629932604</v>
      </c>
      <c r="S183" s="60">
        <f ca="1">AVERAGE(OFFSET($R$3,0,0,'Données projet'!$E$9+1,1))-AVERAGE(OFFSET($H$3,0,0,'Données projet'!$E$9+1,1))</f>
        <v>550.53475891182575</v>
      </c>
      <c r="T183" s="60">
        <f t="shared" si="142"/>
        <v>350.2500324347194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513.16577009788818</v>
      </c>
      <c r="AO183" s="60">
        <f t="shared" si="144"/>
        <v>289.37159333739146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-4.1677594708744434E-14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366.5170155168056</v>
      </c>
      <c r="BJ183" s="60">
        <f t="shared" si="146"/>
        <v>394.05057214541966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333.512642972663</v>
      </c>
      <c r="CE183" s="60">
        <f t="shared" si="148"/>
        <v>464.18634682168488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-1.0401663530501537E-12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539.76438066597848</v>
      </c>
      <c r="CZ183" s="60">
        <f t="shared" si="150"/>
        <v>303.47238367344937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-9.3464223027694966E-13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493.19478874005267</v>
      </c>
      <c r="DU183" s="60">
        <f t="shared" si="152"/>
        <v>278.78337903007821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-1.2505552149377763E-12</v>
      </c>
      <c r="EK183" s="18">
        <f>EJ183*VLOOKUP('Données projet'!$B$15,Paramètres!$A$1:$I$89,3,0)*VLOOKUP('Données projet'!$B$15,Paramètres!$A$1:$I$89,5,0)</f>
        <v>-1.0729763744166122E-12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698.30188737818639</v>
      </c>
      <c r="EP183" s="60">
        <f t="shared" si="154"/>
        <v>329.77977151358482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396.99335548279453</v>
      </c>
      <c r="FK183" s="60">
        <f t="shared" si="156"/>
        <v>388.89849573746335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69.011187172543046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4.6150000000000002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16.921666666666667</v>
      </c>
      <c r="H184" s="68">
        <f t="shared" si="110"/>
        <v>188.98000000000002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5.1431925385259088E-14</v>
      </c>
      <c r="P184" s="14">
        <f t="shared" si="141"/>
        <v>8.3482866290946129E-13</v>
      </c>
      <c r="Q184" s="22">
        <f t="shared" si="162"/>
        <v>1.5435705246133045E-12</v>
      </c>
      <c r="R184" s="60">
        <f t="shared" si="109"/>
        <v>289.7705831696336</v>
      </c>
      <c r="S184" s="60">
        <f ca="1">AVERAGE(OFFSET($R$3,0,0,'Données projet'!$E$9+1,1))-AVERAGE(OFFSET($H$3,0,0,'Données projet'!$E$9+1,1))</f>
        <v>550.53475891182575</v>
      </c>
      <c r="T184" s="60">
        <f t="shared" si="142"/>
        <v>350.2500324347194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513.16577009788818</v>
      </c>
      <c r="AO184" s="60">
        <f t="shared" si="144"/>
        <v>289.37159333739146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-4.1677594708744434E-14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366.5170155168056</v>
      </c>
      <c r="BJ184" s="60">
        <f t="shared" si="146"/>
        <v>394.05057214541966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333.512642972663</v>
      </c>
      <c r="CE184" s="60">
        <f t="shared" si="148"/>
        <v>464.18634682168488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-1.0401663530501537E-12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539.76438066597848</v>
      </c>
      <c r="CZ184" s="60">
        <f t="shared" si="150"/>
        <v>303.47238367344937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-9.3464223027694966E-13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493.19478874005267</v>
      </c>
      <c r="DU184" s="60">
        <f t="shared" si="152"/>
        <v>278.78337903007821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-1.2505552149377763E-12</v>
      </c>
      <c r="EK184" s="18">
        <f>EJ184*VLOOKUP('Données projet'!$B$15,Paramètres!$A$1:$I$89,3,0)*VLOOKUP('Données projet'!$B$15,Paramètres!$A$1:$I$89,5,0)</f>
        <v>-1.0729763744166122E-12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698.30188737818639</v>
      </c>
      <c r="EP184" s="60">
        <f t="shared" si="154"/>
        <v>329.77977151358482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396.99335548279453</v>
      </c>
      <c r="FK184" s="60">
        <f t="shared" si="156"/>
        <v>388.89849573746335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69.028340864445113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4.6150000000000002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16.921666666666667</v>
      </c>
      <c r="H185" s="68">
        <f t="shared" si="110"/>
        <v>188.98000000000002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5.1431925385259088E-14</v>
      </c>
      <c r="P185" s="14">
        <f t="shared" si="141"/>
        <v>8.3482866290946129E-13</v>
      </c>
      <c r="Q185" s="22">
        <f t="shared" si="162"/>
        <v>1.5435705246133045E-12</v>
      </c>
      <c r="R185" s="60">
        <f t="shared" si="109"/>
        <v>289.83238891985775</v>
      </c>
      <c r="S185" s="60">
        <f ca="1">AVERAGE(OFFSET($R$3,0,0,'Données projet'!$E$9+1,1))-AVERAGE(OFFSET($H$3,0,0,'Données projet'!$E$9+1,1))</f>
        <v>550.53475891182575</v>
      </c>
      <c r="T185" s="60">
        <f t="shared" si="142"/>
        <v>350.2500324347194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513.16577009788818</v>
      </c>
      <c r="AO185" s="60">
        <f t="shared" si="144"/>
        <v>289.37159333739146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-4.1677594708744434E-14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366.5170155168056</v>
      </c>
      <c r="BJ185" s="60">
        <f t="shared" si="146"/>
        <v>394.05057214541966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333.512642972663</v>
      </c>
      <c r="CE185" s="60">
        <f t="shared" si="148"/>
        <v>464.18634682168488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-1.0401663530501537E-12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539.76438066597848</v>
      </c>
      <c r="CZ185" s="60">
        <f t="shared" si="150"/>
        <v>303.47238367344937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-9.3464223027694966E-13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493.19478874005267</v>
      </c>
      <c r="DU185" s="60">
        <f t="shared" si="152"/>
        <v>278.78337903007821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-1.2505552149377763E-12</v>
      </c>
      <c r="EK185" s="18">
        <f>EJ185*VLOOKUP('Données projet'!$B$15,Paramètres!$A$1:$I$89,3,0)*VLOOKUP('Données projet'!$B$15,Paramètres!$A$1:$I$89,5,0)</f>
        <v>-1.0729763744166122E-12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698.30188737818639</v>
      </c>
      <c r="EP185" s="60">
        <f t="shared" si="154"/>
        <v>329.77977151358482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396.99335548279453</v>
      </c>
      <c r="FK185" s="60">
        <f t="shared" si="156"/>
        <v>388.89849573746335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69.045196978142613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4.6150000000000002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16.921666666666667</v>
      </c>
      <c r="H186" s="68">
        <f t="shared" si="110"/>
        <v>188.98000000000002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5.1431925385259088E-14</v>
      </c>
      <c r="P186" s="14">
        <f t="shared" si="141"/>
        <v>8.3482866290946129E-13</v>
      </c>
      <c r="Q186" s="22">
        <f t="shared" si="162"/>
        <v>1.5435705246133045E-12</v>
      </c>
      <c r="R186" s="60">
        <f t="shared" si="109"/>
        <v>289.8931224784925</v>
      </c>
      <c r="S186" s="60">
        <f ca="1">AVERAGE(OFFSET($R$3,0,0,'Données projet'!$E$9+1,1))-AVERAGE(OFFSET($H$3,0,0,'Données projet'!$E$9+1,1))</f>
        <v>550.53475891182575</v>
      </c>
      <c r="T186" s="60">
        <f t="shared" si="142"/>
        <v>350.2500324347194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513.16577009788818</v>
      </c>
      <c r="AO186" s="60">
        <f t="shared" si="144"/>
        <v>289.37159333739146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-4.1677594708744434E-14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366.5170155168056</v>
      </c>
      <c r="BJ186" s="60">
        <f t="shared" si="146"/>
        <v>394.05057214541966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333.512642972663</v>
      </c>
      <c r="CE186" s="60">
        <f t="shared" si="148"/>
        <v>464.18634682168488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-1.0401663530501537E-12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539.76438066597848</v>
      </c>
      <c r="CZ186" s="60">
        <f t="shared" si="150"/>
        <v>303.47238367344937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-9.3464223027694966E-13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493.19478874005267</v>
      </c>
      <c r="DU186" s="60">
        <f t="shared" si="152"/>
        <v>278.78337903007821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-1.2505552149377763E-12</v>
      </c>
      <c r="EK186" s="18">
        <f>EJ186*VLOOKUP('Données projet'!$B$15,Paramètres!$A$1:$I$89,3,0)*VLOOKUP('Données projet'!$B$15,Paramètres!$A$1:$I$89,5,0)</f>
        <v>-1.0729763744166122E-12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698.30188737818639</v>
      </c>
      <c r="EP186" s="60">
        <f t="shared" si="154"/>
        <v>329.77977151358482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396.99335548279453</v>
      </c>
      <c r="FK186" s="60">
        <f t="shared" si="156"/>
        <v>388.89849573746335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69.061760675952073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4.6150000000000002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16.921666666666667</v>
      </c>
      <c r="H187" s="68">
        <f t="shared" si="110"/>
        <v>188.98000000000002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5.1431925385259088E-14</v>
      </c>
      <c r="P187" s="14">
        <f t="shared" si="141"/>
        <v>8.3482866290946129E-13</v>
      </c>
      <c r="Q187" s="22">
        <f t="shared" si="162"/>
        <v>1.5435705246133045E-12</v>
      </c>
      <c r="R187" s="60">
        <f t="shared" si="109"/>
        <v>289.9528024456647</v>
      </c>
      <c r="S187" s="60">
        <f ca="1">AVERAGE(OFFSET($R$3,0,0,'Données projet'!$E$9+1,1))-AVERAGE(OFFSET($H$3,0,0,'Données projet'!$E$9+1,1))</f>
        <v>550.53475891182575</v>
      </c>
      <c r="T187" s="60">
        <f t="shared" si="142"/>
        <v>350.2500324347194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513.16577009788818</v>
      </c>
      <c r="AO187" s="60">
        <f t="shared" si="144"/>
        <v>289.37159333739146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-4.1677594708744434E-14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366.5170155168056</v>
      </c>
      <c r="BJ187" s="60">
        <f t="shared" si="146"/>
        <v>394.05057214541966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333.512642972663</v>
      </c>
      <c r="CE187" s="60">
        <f t="shared" si="148"/>
        <v>464.18634682168488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-1.0401663530501537E-12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539.76438066597848</v>
      </c>
      <c r="CZ187" s="60">
        <f t="shared" si="150"/>
        <v>303.47238367344937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-9.3464223027694966E-13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493.19478874005267</v>
      </c>
      <c r="DU187" s="60">
        <f t="shared" si="152"/>
        <v>278.78337903007821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-1.2505552149377763E-12</v>
      </c>
      <c r="EK187" s="18">
        <f>EJ187*VLOOKUP('Données projet'!$B$15,Paramètres!$A$1:$I$89,3,0)*VLOOKUP('Données projet'!$B$15,Paramètres!$A$1:$I$89,5,0)</f>
        <v>-1.0729763744166122E-12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698.30188737818639</v>
      </c>
      <c r="EP187" s="60">
        <f t="shared" si="154"/>
        <v>329.77977151358482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396.99335548279453</v>
      </c>
      <c r="FK187" s="60">
        <f t="shared" si="156"/>
        <v>388.89849573746335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69.078037030635414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4.6150000000000002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16.921666666666667</v>
      </c>
      <c r="H188" s="68">
        <f t="shared" si="110"/>
        <v>188.98000000000002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5.1431925385259088E-14</v>
      </c>
      <c r="P188" s="14">
        <f t="shared" si="141"/>
        <v>8.3482866290946129E-13</v>
      </c>
      <c r="Q188" s="22">
        <f t="shared" si="162"/>
        <v>1.5435705246133045E-12</v>
      </c>
      <c r="R188" s="60">
        <f t="shared" si="109"/>
        <v>290.01144709883101</v>
      </c>
      <c r="S188" s="60">
        <f ca="1">AVERAGE(OFFSET($R$3,0,0,'Données projet'!$E$9+1,1))-AVERAGE(OFFSET($H$3,0,0,'Données projet'!$E$9+1,1))</f>
        <v>550.53475891182575</v>
      </c>
      <c r="T188" s="60">
        <f t="shared" si="142"/>
        <v>350.2500324347194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513.16577009788818</v>
      </c>
      <c r="AO188" s="60">
        <f t="shared" si="144"/>
        <v>289.37159333739146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-4.1677594708744434E-14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366.5170155168056</v>
      </c>
      <c r="BJ188" s="60">
        <f t="shared" si="146"/>
        <v>394.05057214541966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333.512642972663</v>
      </c>
      <c r="CE188" s="60">
        <f t="shared" si="148"/>
        <v>464.18634682168488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-1.0401663530501537E-12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539.76438066597848</v>
      </c>
      <c r="CZ188" s="60">
        <f t="shared" si="150"/>
        <v>303.47238367344937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-9.3464223027694966E-13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493.19478874005267</v>
      </c>
      <c r="DU188" s="60">
        <f t="shared" si="152"/>
        <v>278.78337903007821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-1.2505552149377763E-12</v>
      </c>
      <c r="EK188" s="18">
        <f>EJ188*VLOOKUP('Données projet'!$B$15,Paramètres!$A$1:$I$89,3,0)*VLOOKUP('Données projet'!$B$15,Paramètres!$A$1:$I$89,5,0)</f>
        <v>-1.0729763744166122E-12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698.30188737818639</v>
      </c>
      <c r="EP188" s="60">
        <f t="shared" si="154"/>
        <v>329.77977151358482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396.99335548279453</v>
      </c>
      <c r="FK188" s="60">
        <f t="shared" si="156"/>
        <v>388.89849573746335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69.094031026953488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4.6150000000000002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16.921666666666667</v>
      </c>
      <c r="H189" s="68">
        <f t="shared" si="110"/>
        <v>188.98000000000002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5.1431925385259088E-14</v>
      </c>
      <c r="P189" s="14">
        <f t="shared" si="141"/>
        <v>8.3482866290946129E-13</v>
      </c>
      <c r="Q189" s="22">
        <f t="shared" si="162"/>
        <v>1.5435705246133045E-12</v>
      </c>
      <c r="R189" s="60">
        <f t="shared" si="109"/>
        <v>290.0690743983746</v>
      </c>
      <c r="S189" s="60">
        <f ca="1">AVERAGE(OFFSET($R$3,0,0,'Données projet'!$E$9+1,1))-AVERAGE(OFFSET($H$3,0,0,'Données projet'!$E$9+1,1))</f>
        <v>550.53475891182575</v>
      </c>
      <c r="T189" s="60">
        <f t="shared" si="142"/>
        <v>350.2500324347194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513.16577009788818</v>
      </c>
      <c r="AO189" s="60">
        <f t="shared" si="144"/>
        <v>289.37159333739146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-4.1677594708744434E-14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366.5170155168056</v>
      </c>
      <c r="BJ189" s="60">
        <f t="shared" si="146"/>
        <v>394.05057214541966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333.512642972663</v>
      </c>
      <c r="CE189" s="60">
        <f t="shared" si="148"/>
        <v>464.18634682168488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-1.0401663530501537E-12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539.76438066597848</v>
      </c>
      <c r="CZ189" s="60">
        <f t="shared" si="150"/>
        <v>303.47238367344937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-9.3464223027694966E-13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493.19478874005267</v>
      </c>
      <c r="DU189" s="60">
        <f t="shared" si="152"/>
        <v>278.78337903007821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-1.2505552149377763E-12</v>
      </c>
      <c r="EK189" s="18">
        <f>EJ189*VLOOKUP('Données projet'!$B$15,Paramètres!$A$1:$I$89,3,0)*VLOOKUP('Données projet'!$B$15,Paramètres!$A$1:$I$89,5,0)</f>
        <v>-1.0729763744166122E-12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698.30188737818639</v>
      </c>
      <c r="EP189" s="60">
        <f t="shared" si="154"/>
        <v>329.77977151358482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396.99335548279453</v>
      </c>
      <c r="FK189" s="60">
        <f t="shared" si="156"/>
        <v>388.89849573746335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69.109747563192656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4.6150000000000002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16.921666666666667</v>
      </c>
      <c r="H190" s="68">
        <f t="shared" si="110"/>
        <v>188.98000000000002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5.1431925385259088E-14</v>
      </c>
      <c r="P190" s="14">
        <f t="shared" si="141"/>
        <v>8.3482866290946129E-13</v>
      </c>
      <c r="Q190" s="22">
        <f t="shared" si="162"/>
        <v>1.5435705246133045E-12</v>
      </c>
      <c r="R190" s="60">
        <f t="shared" si="109"/>
        <v>290.12570199310647</v>
      </c>
      <c r="S190" s="60">
        <f ca="1">AVERAGE(OFFSET($R$3,0,0,'Données projet'!$E$9+1,1))-AVERAGE(OFFSET($H$3,0,0,'Données projet'!$E$9+1,1))</f>
        <v>550.53475891182575</v>
      </c>
      <c r="T190" s="60">
        <f t="shared" si="142"/>
        <v>350.2500324347194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513.16577009788818</v>
      </c>
      <c r="AO190" s="60">
        <f t="shared" si="144"/>
        <v>289.37159333739146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-4.1677594708744434E-14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366.5170155168056</v>
      </c>
      <c r="BJ190" s="60">
        <f t="shared" si="146"/>
        <v>394.05057214541966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333.512642972663</v>
      </c>
      <c r="CE190" s="60">
        <f t="shared" si="148"/>
        <v>464.18634682168488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-1.0401663530501537E-12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539.76438066597848</v>
      </c>
      <c r="CZ190" s="60">
        <f t="shared" si="150"/>
        <v>303.47238367344937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-9.3464223027694966E-13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493.19478874005267</v>
      </c>
      <c r="DU190" s="60">
        <f t="shared" si="152"/>
        <v>278.78337903007821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-1.2505552149377763E-12</v>
      </c>
      <c r="EK190" s="18">
        <f>EJ190*VLOOKUP('Données projet'!$B$15,Paramètres!$A$1:$I$89,3,0)*VLOOKUP('Données projet'!$B$15,Paramètres!$A$1:$I$89,5,0)</f>
        <v>-1.0729763744166122E-12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698.30188737818639</v>
      </c>
      <c r="EP190" s="60">
        <f t="shared" si="154"/>
        <v>329.77977151358482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396.99335548279453</v>
      </c>
      <c r="FK190" s="60">
        <f t="shared" si="156"/>
        <v>388.89849573746335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69.125191452664978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4.6150000000000002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16.921666666666667</v>
      </c>
      <c r="H191" s="68">
        <f t="shared" si="110"/>
        <v>188.98000000000002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5.1431925385259088E-14</v>
      </c>
      <c r="P191" s="14">
        <f t="shared" si="141"/>
        <v>8.3482866290946129E-13</v>
      </c>
      <c r="Q191" s="22">
        <f t="shared" si="162"/>
        <v>1.5435705246133045E-12</v>
      </c>
      <c r="R191" s="60">
        <f t="shared" si="109"/>
        <v>290.18134722567004</v>
      </c>
      <c r="S191" s="60">
        <f ca="1">AVERAGE(OFFSET($R$3,0,0,'Données projet'!$E$9+1,1))-AVERAGE(OFFSET($H$3,0,0,'Données projet'!$E$9+1,1))</f>
        <v>550.53475891182575</v>
      </c>
      <c r="T191" s="60">
        <f t="shared" si="142"/>
        <v>350.2500324347194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513.16577009788818</v>
      </c>
      <c r="AO191" s="60">
        <f t="shared" si="144"/>
        <v>289.37159333739146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-4.1677594708744434E-14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366.5170155168056</v>
      </c>
      <c r="BJ191" s="60">
        <f t="shared" si="146"/>
        <v>394.05057214541966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333.512642972663</v>
      </c>
      <c r="CE191" s="60">
        <f t="shared" si="148"/>
        <v>464.18634682168488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-1.0401663530501537E-12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539.76438066597848</v>
      </c>
      <c r="CZ191" s="60">
        <f t="shared" si="150"/>
        <v>303.47238367344937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-9.3464223027694966E-13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493.19478874005267</v>
      </c>
      <c r="DU191" s="60">
        <f t="shared" si="152"/>
        <v>278.78337903007821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-1.2505552149377763E-12</v>
      </c>
      <c r="EK191" s="18">
        <f>EJ191*VLOOKUP('Données projet'!$B$15,Paramètres!$A$1:$I$89,3,0)*VLOOKUP('Données projet'!$B$15,Paramètres!$A$1:$I$89,5,0)</f>
        <v>-1.0729763744166122E-12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698.30188737818639</v>
      </c>
      <c r="EP191" s="60">
        <f t="shared" si="154"/>
        <v>329.77977151358482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396.99335548279453</v>
      </c>
      <c r="FK191" s="60">
        <f t="shared" si="156"/>
        <v>388.89849573746335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69.140367425182319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4.6150000000000002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16.921666666666667</v>
      </c>
      <c r="H192" s="68">
        <f t="shared" si="110"/>
        <v>188.98000000000002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5.1431925385259088E-14</v>
      </c>
      <c r="P192" s="14">
        <f t="shared" si="141"/>
        <v>8.3482866290946129E-13</v>
      </c>
      <c r="Q192" s="22">
        <f t="shared" si="162"/>
        <v>1.5435705246133045E-12</v>
      </c>
      <c r="R192" s="60">
        <f t="shared" si="109"/>
        <v>290.23602713785277</v>
      </c>
      <c r="S192" s="60">
        <f ca="1">AVERAGE(OFFSET($R$3,0,0,'Données projet'!$E$9+1,1))-AVERAGE(OFFSET($H$3,0,0,'Données projet'!$E$9+1,1))</f>
        <v>550.53475891182575</v>
      </c>
      <c r="T192" s="60">
        <f t="shared" si="142"/>
        <v>350.2500324347194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513.16577009788818</v>
      </c>
      <c r="AO192" s="60">
        <f t="shared" si="144"/>
        <v>289.37159333739146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-4.1677594708744434E-14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366.5170155168056</v>
      </c>
      <c r="BJ192" s="60">
        <f t="shared" si="146"/>
        <v>394.05057214541966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333.512642972663</v>
      </c>
      <c r="CE192" s="60">
        <f t="shared" si="148"/>
        <v>464.18634682168488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-1.0401663530501537E-12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539.76438066597848</v>
      </c>
      <c r="CZ192" s="60">
        <f t="shared" si="150"/>
        <v>303.47238367344937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-9.3464223027694966E-13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493.19478874005267</v>
      </c>
      <c r="DU192" s="60">
        <f t="shared" si="152"/>
        <v>278.78337903007821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-1.2505552149377763E-12</v>
      </c>
      <c r="EK192" s="18">
        <f>EJ192*VLOOKUP('Données projet'!$B$15,Paramètres!$A$1:$I$89,3,0)*VLOOKUP('Données projet'!$B$15,Paramètres!$A$1:$I$89,5,0)</f>
        <v>-1.0729763744166122E-12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698.30188737818639</v>
      </c>
      <c r="EP192" s="60">
        <f t="shared" si="154"/>
        <v>329.77977151358482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396.99335548279453</v>
      </c>
      <c r="FK192" s="60">
        <f t="shared" si="156"/>
        <v>388.89849573746335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69.155280128504884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4.6150000000000002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16.921666666666667</v>
      </c>
      <c r="H193" s="68">
        <f t="shared" si="110"/>
        <v>188.98000000000002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5.1431925385259088E-14</v>
      </c>
      <c r="P193" s="14">
        <f t="shared" si="141"/>
        <v>8.3482866290946129E-13</v>
      </c>
      <c r="Q193" s="22">
        <f t="shared" si="162"/>
        <v>1.5435705246133045E-12</v>
      </c>
      <c r="R193" s="60">
        <f t="shared" si="109"/>
        <v>290.28975847580512</v>
      </c>
      <c r="S193" s="60">
        <f ca="1">AVERAGE(OFFSET($R$3,0,0,'Données projet'!$E$9+1,1))-AVERAGE(OFFSET($H$3,0,0,'Données projet'!$E$9+1,1))</f>
        <v>550.53475891182575</v>
      </c>
      <c r="T193" s="60">
        <f t="shared" si="142"/>
        <v>350.2500324347194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513.16577009788818</v>
      </c>
      <c r="AO193" s="60">
        <f t="shared" si="144"/>
        <v>289.37159333739146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-4.1677594708744434E-14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366.5170155168056</v>
      </c>
      <c r="BJ193" s="60">
        <f t="shared" si="146"/>
        <v>394.05057214541966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333.512642972663</v>
      </c>
      <c r="CE193" s="60">
        <f t="shared" si="148"/>
        <v>464.18634682168488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-1.0401663530501537E-12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539.76438066597848</v>
      </c>
      <c r="CZ193" s="60">
        <f t="shared" si="150"/>
        <v>303.47238367344937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-9.3464223027694966E-13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493.19478874005267</v>
      </c>
      <c r="DU193" s="60">
        <f t="shared" si="152"/>
        <v>278.78337903007821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-1.2505552149377763E-12</v>
      </c>
      <c r="EK193" s="18">
        <f>EJ193*VLOOKUP('Données projet'!$B$15,Paramètres!$A$1:$I$89,3,0)*VLOOKUP('Données projet'!$B$15,Paramètres!$A$1:$I$89,5,0)</f>
        <v>-1.0729763744166122E-12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698.30188737818639</v>
      </c>
      <c r="EP193" s="60">
        <f t="shared" si="154"/>
        <v>329.77977151358482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396.99335548279453</v>
      </c>
      <c r="FK193" s="60">
        <f t="shared" si="156"/>
        <v>388.89849573746335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69.169934129764613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4.6150000000000002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16.921666666666667</v>
      </c>
      <c r="H194" s="68">
        <f t="shared" si="110"/>
        <v>188.98000000000002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5.1431925385259088E-14</v>
      </c>
      <c r="P194" s="14">
        <f t="shared" si="141"/>
        <v>8.3482866290946129E-13</v>
      </c>
      <c r="Q194" s="22">
        <f t="shared" si="162"/>
        <v>1.5435705246133045E-12</v>
      </c>
      <c r="R194" s="60">
        <f t="shared" si="109"/>
        <v>290.34255769516926</v>
      </c>
      <c r="S194" s="60">
        <f ca="1">AVERAGE(OFFSET($R$3,0,0,'Données projet'!$E$9+1,1))-AVERAGE(OFFSET($H$3,0,0,'Données projet'!$E$9+1,1))</f>
        <v>550.53475891182575</v>
      </c>
      <c r="T194" s="60">
        <f t="shared" si="142"/>
        <v>350.2500324347194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513.16577009788818</v>
      </c>
      <c r="AO194" s="60">
        <f t="shared" si="144"/>
        <v>289.37159333739146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-4.1677594708744434E-14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366.5170155168056</v>
      </c>
      <c r="BJ194" s="60">
        <f t="shared" si="146"/>
        <v>394.05057214541966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333.512642972663</v>
      </c>
      <c r="CE194" s="60">
        <f t="shared" si="148"/>
        <v>464.18634682168488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-1.0401663530501537E-12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539.76438066597848</v>
      </c>
      <c r="CZ194" s="60">
        <f t="shared" si="150"/>
        <v>303.47238367344937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-9.3464223027694966E-13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493.19478874005267</v>
      </c>
      <c r="DU194" s="60">
        <f t="shared" si="152"/>
        <v>278.78337903007821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-1.2505552149377763E-12</v>
      </c>
      <c r="EK194" s="18">
        <f>EJ194*VLOOKUP('Données projet'!$B$15,Paramètres!$A$1:$I$89,3,0)*VLOOKUP('Données projet'!$B$15,Paramètres!$A$1:$I$89,5,0)</f>
        <v>-1.0729763744166122E-12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698.30188737818639</v>
      </c>
      <c r="EP194" s="60">
        <f t="shared" si="154"/>
        <v>329.77977151358482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396.99335548279453</v>
      </c>
      <c r="FK194" s="60">
        <f t="shared" si="156"/>
        <v>388.89849573746335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69.18433391686392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4.6150000000000002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16.921666666666667</v>
      </c>
      <c r="H195" s="68">
        <f t="shared" si="110"/>
        <v>188.98000000000002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5.1431925385259088E-14</v>
      </c>
      <c r="P195" s="14">
        <f t="shared" si="141"/>
        <v>8.3482866290946129E-13</v>
      </c>
      <c r="Q195" s="22">
        <f t="shared" si="162"/>
        <v>1.5435705246133045E-12</v>
      </c>
      <c r="R195" s="60">
        <f t="shared" ref="R195:R203" si="191">Q195+(I195+J195)*44/12</f>
        <v>290.39444096611879</v>
      </c>
      <c r="S195" s="60">
        <f ca="1">AVERAGE(OFFSET($R$3,0,0,'Données projet'!$E$9+1,1))-AVERAGE(OFFSET($H$3,0,0,'Données projet'!$E$9+1,1))</f>
        <v>550.53475891182575</v>
      </c>
      <c r="T195" s="60">
        <f t="shared" si="142"/>
        <v>350.2500324347194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513.16577009788818</v>
      </c>
      <c r="AO195" s="60">
        <f t="shared" si="144"/>
        <v>289.37159333739146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-4.1677594708744434E-14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366.5170155168056</v>
      </c>
      <c r="BJ195" s="60">
        <f t="shared" si="146"/>
        <v>394.05057214541966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333.512642972663</v>
      </c>
      <c r="CE195" s="60">
        <f t="shared" si="148"/>
        <v>464.18634682168488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-1.0401663530501537E-12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539.76438066597848</v>
      </c>
      <c r="CZ195" s="60">
        <f t="shared" si="150"/>
        <v>303.47238367344937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-9.3464223027694966E-13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493.19478874005267</v>
      </c>
      <c r="DU195" s="60">
        <f t="shared" si="152"/>
        <v>278.78337903007821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-1.2505552149377763E-12</v>
      </c>
      <c r="EK195" s="18">
        <f>EJ195*VLOOKUP('Données projet'!$B$15,Paramètres!$A$1:$I$89,3,0)*VLOOKUP('Données projet'!$B$15,Paramètres!$A$1:$I$89,5,0)</f>
        <v>-1.0729763744166122E-12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698.30188737818639</v>
      </c>
      <c r="EP195" s="60">
        <f t="shared" si="154"/>
        <v>329.77977151358482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396.99335548279453</v>
      </c>
      <c r="FK195" s="60">
        <f t="shared" si="156"/>
        <v>388.89849573746335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69.19848389985016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4.6150000000000002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16.921666666666667</v>
      </c>
      <c r="H196" s="68">
        <f t="shared" ref="H196:H203" si="192">(B196+E196+F196)*44/12+(C196+D196)*0.475*44/12</f>
        <v>188.98000000000002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5.1431925385259088E-14</v>
      </c>
      <c r="P196" s="14">
        <f t="shared" si="141"/>
        <v>8.3482866290946129E-13</v>
      </c>
      <c r="Q196" s="22">
        <f t="shared" si="162"/>
        <v>1.5435705246133045E-12</v>
      </c>
      <c r="R196" s="60">
        <f t="shared" si="191"/>
        <v>290.44542417831099</v>
      </c>
      <c r="S196" s="60">
        <f ca="1">AVERAGE(OFFSET($R$3,0,0,'Données projet'!$E$9+1,1))-AVERAGE(OFFSET($H$3,0,0,'Données projet'!$E$9+1,1))</f>
        <v>550.53475891182575</v>
      </c>
      <c r="T196" s="60">
        <f t="shared" si="142"/>
        <v>350.2500324347194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513.16577009788818</v>
      </c>
      <c r="AO196" s="60">
        <f t="shared" si="144"/>
        <v>289.37159333739146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-4.1677594708744434E-14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366.5170155168056</v>
      </c>
      <c r="BJ196" s="60">
        <f t="shared" si="146"/>
        <v>394.05057214541966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333.512642972663</v>
      </c>
      <c r="CE196" s="60">
        <f t="shared" si="148"/>
        <v>464.18634682168488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-1.0401663530501537E-12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539.76438066597848</v>
      </c>
      <c r="CZ196" s="60">
        <f t="shared" si="150"/>
        <v>303.47238367344937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-9.3464223027694966E-13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493.19478874005267</v>
      </c>
      <c r="DU196" s="60">
        <f t="shared" si="152"/>
        <v>278.78337903007821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-1.2505552149377763E-12</v>
      </c>
      <c r="EK196" s="18">
        <f>EJ196*VLOOKUP('Données projet'!$B$15,Paramètres!$A$1:$I$89,3,0)*VLOOKUP('Données projet'!$B$15,Paramètres!$A$1:$I$89,5,0)</f>
        <v>-1.0729763744166122E-12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698.30188737818639</v>
      </c>
      <c r="EP196" s="60">
        <f t="shared" si="154"/>
        <v>329.77977151358482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396.99335548279453</v>
      </c>
      <c r="FK196" s="60">
        <f t="shared" si="156"/>
        <v>388.89849573746335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69.212388412266208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4.6150000000000002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16.921666666666667</v>
      </c>
      <c r="H197" s="68">
        <f t="shared" si="192"/>
        <v>188.98000000000002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5.1431925385259088E-14</v>
      </c>
      <c r="P197" s="14">
        <f t="shared" ref="P197:P203" si="203">EXP(-1.0587+0.8836*LN(O197)+0.284)</f>
        <v>8.3482866290946129E-13</v>
      </c>
      <c r="Q197" s="22">
        <f t="shared" si="162"/>
        <v>1.5435705246133045E-12</v>
      </c>
      <c r="R197" s="60">
        <f t="shared" si="191"/>
        <v>290.49552294575301</v>
      </c>
      <c r="S197" s="60">
        <f ca="1">AVERAGE(OFFSET($R$3,0,0,'Données projet'!$E$9+1,1))-AVERAGE(OFFSET($H$3,0,0,'Données projet'!$E$9+1,1))</f>
        <v>550.53475891182575</v>
      </c>
      <c r="T197" s="60">
        <f t="shared" ref="T197:T203" si="204">$T$3</f>
        <v>350.2500324347194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513.16577009788818</v>
      </c>
      <c r="AO197" s="60">
        <f t="shared" ref="AO197:AO203" si="205">$AO$3</f>
        <v>289.37159333739146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-4.1677594708744434E-14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366.5170155168056</v>
      </c>
      <c r="BJ197" s="60">
        <f t="shared" ref="BJ197:BJ203" si="206">$BJ$3</f>
        <v>394.05057214541966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333.512642972663</v>
      </c>
      <c r="CE197" s="60">
        <f t="shared" ref="CE197:CE203" si="207">$CE$3</f>
        <v>464.18634682168488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-1.0401663530501537E-12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539.76438066597848</v>
      </c>
      <c r="CZ197" s="60">
        <f t="shared" ref="CZ197:CZ203" si="208">$CZ$3</f>
        <v>303.47238367344937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-9.3464223027694966E-13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493.19478874005267</v>
      </c>
      <c r="DU197" s="60">
        <f t="shared" ref="DU197:DU203" si="209">$DU$3</f>
        <v>278.78337903007821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-1.2505552149377763E-12</v>
      </c>
      <c r="EK197" s="18">
        <f>EJ197*VLOOKUP('Données projet'!$B$15,Paramètres!$A$1:$I$89,3,0)*VLOOKUP('Données projet'!$B$15,Paramètres!$A$1:$I$89,5,0)</f>
        <v>-1.0729763744166122E-12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698.30188737818639</v>
      </c>
      <c r="EP197" s="60">
        <f t="shared" ref="EP197:EP203" si="210">$EP$3</f>
        <v>329.77977151358482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396.99335548279453</v>
      </c>
      <c r="FK197" s="60">
        <f t="shared" ref="FK197:FK203" si="211">$FK$3</f>
        <v>388.89849573746335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69.22605171247767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4.6150000000000002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16.921666666666667</v>
      </c>
      <c r="H198" s="68">
        <f t="shared" si="192"/>
        <v>188.98000000000002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5.1431925385259088E-14</v>
      </c>
      <c r="P198" s="14">
        <f t="shared" si="203"/>
        <v>8.3482866290946129E-13</v>
      </c>
      <c r="Q198" s="22">
        <f t="shared" si="162"/>
        <v>1.5435705246133045E-12</v>
      </c>
      <c r="R198" s="60">
        <f t="shared" si="191"/>
        <v>290.54475261158399</v>
      </c>
      <c r="S198" s="60">
        <f ca="1">AVERAGE(OFFSET($R$3,0,0,'Données projet'!$E$9+1,1))-AVERAGE(OFFSET($H$3,0,0,'Données projet'!$E$9+1,1))</f>
        <v>550.53475891182575</v>
      </c>
      <c r="T198" s="60">
        <f t="shared" si="204"/>
        <v>350.2500324347194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513.16577009788818</v>
      </c>
      <c r="AO198" s="60">
        <f t="shared" si="205"/>
        <v>289.37159333739146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-4.1677594708744434E-14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366.5170155168056</v>
      </c>
      <c r="BJ198" s="60">
        <f t="shared" si="206"/>
        <v>394.05057214541966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333.512642972663</v>
      </c>
      <c r="CE198" s="60">
        <f t="shared" si="207"/>
        <v>464.18634682168488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-1.0401663530501537E-12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539.76438066597848</v>
      </c>
      <c r="CZ198" s="60">
        <f t="shared" si="208"/>
        <v>303.47238367344937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-9.3464223027694966E-13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493.19478874005267</v>
      </c>
      <c r="DU198" s="60">
        <f t="shared" si="209"/>
        <v>278.78337903007821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-1.2505552149377763E-12</v>
      </c>
      <c r="EK198" s="18">
        <f>EJ198*VLOOKUP('Données projet'!$B$15,Paramètres!$A$1:$I$89,3,0)*VLOOKUP('Données projet'!$B$15,Paramètres!$A$1:$I$89,5,0)</f>
        <v>-1.0729763744166122E-12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698.30188737818639</v>
      </c>
      <c r="EP198" s="60">
        <f t="shared" si="210"/>
        <v>329.77977151358482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396.99335548279453</v>
      </c>
      <c r="FK198" s="60">
        <f t="shared" si="211"/>
        <v>388.89849573746335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69.239477984977029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4.6150000000000002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16.921666666666667</v>
      </c>
      <c r="H199" s="68">
        <f t="shared" si="192"/>
        <v>188.98000000000002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5.1431925385259088E-14</v>
      </c>
      <c r="P199" s="14">
        <f t="shared" si="203"/>
        <v>8.3482866290946129E-13</v>
      </c>
      <c r="Q199" s="22">
        <f t="shared" si="162"/>
        <v>1.5435705246133045E-12</v>
      </c>
      <c r="R199" s="60">
        <f t="shared" si="191"/>
        <v>290.59312825277385</v>
      </c>
      <c r="S199" s="60">
        <f ca="1">AVERAGE(OFFSET($R$3,0,0,'Données projet'!$E$9+1,1))-AVERAGE(OFFSET($H$3,0,0,'Données projet'!$E$9+1,1))</f>
        <v>550.53475891182575</v>
      </c>
      <c r="T199" s="60">
        <f t="shared" si="204"/>
        <v>350.2500324347194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513.16577009788818</v>
      </c>
      <c r="AO199" s="60">
        <f t="shared" si="205"/>
        <v>289.37159333739146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-4.1677594708744434E-14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366.5170155168056</v>
      </c>
      <c r="BJ199" s="60">
        <f t="shared" si="206"/>
        <v>394.05057214541966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333.512642972663</v>
      </c>
      <c r="CE199" s="60">
        <f t="shared" si="207"/>
        <v>464.18634682168488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-1.0401663530501537E-12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539.76438066597848</v>
      </c>
      <c r="CZ199" s="60">
        <f t="shared" si="208"/>
        <v>303.47238367344937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-9.3464223027694966E-13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493.19478874005267</v>
      </c>
      <c r="DU199" s="60">
        <f t="shared" si="209"/>
        <v>278.78337903007821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-1.2505552149377763E-12</v>
      </c>
      <c r="EK199" s="18">
        <f>EJ199*VLOOKUP('Données projet'!$B$15,Paramètres!$A$1:$I$89,3,0)*VLOOKUP('Données projet'!$B$15,Paramètres!$A$1:$I$89,5,0)</f>
        <v>-1.0729763744166122E-12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698.30188737818639</v>
      </c>
      <c r="EP199" s="60">
        <f t="shared" si="210"/>
        <v>329.77977151358482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396.99335548279453</v>
      </c>
      <c r="FK199" s="60">
        <f t="shared" si="211"/>
        <v>388.89849573746335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69.252671341665177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4.6150000000000002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16.921666666666667</v>
      </c>
      <c r="H200" s="68">
        <f t="shared" si="192"/>
        <v>188.98000000000002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5.1431925385259088E-14</v>
      </c>
      <c r="P200" s="14">
        <f t="shared" si="203"/>
        <v>8.3482866290946129E-13</v>
      </c>
      <c r="Q200" s="22">
        <f t="shared" si="162"/>
        <v>1.5435705246133045E-12</v>
      </c>
      <c r="R200" s="60">
        <f t="shared" si="191"/>
        <v>290.64066468474073</v>
      </c>
      <c r="S200" s="60">
        <f ca="1">AVERAGE(OFFSET($R$3,0,0,'Données projet'!$E$9+1,1))-AVERAGE(OFFSET($H$3,0,0,'Données projet'!$E$9+1,1))</f>
        <v>550.53475891182575</v>
      </c>
      <c r="T200" s="60">
        <f t="shared" si="204"/>
        <v>350.2500324347194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513.16577009788818</v>
      </c>
      <c r="AO200" s="60">
        <f t="shared" si="205"/>
        <v>289.37159333739146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-4.1677594708744434E-14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366.5170155168056</v>
      </c>
      <c r="BJ200" s="60">
        <f t="shared" si="206"/>
        <v>394.05057214541966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333.512642972663</v>
      </c>
      <c r="CE200" s="60">
        <f t="shared" si="207"/>
        <v>464.18634682168488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-1.0401663530501537E-12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539.76438066597848</v>
      </c>
      <c r="CZ200" s="60">
        <f t="shared" si="208"/>
        <v>303.47238367344937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-9.3464223027694966E-13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493.19478874005267</v>
      </c>
      <c r="DU200" s="60">
        <f t="shared" si="209"/>
        <v>278.78337903007821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-1.2505552149377763E-12</v>
      </c>
      <c r="EK200" s="18">
        <f>EJ200*VLOOKUP('Données projet'!$B$15,Paramètres!$A$1:$I$89,3,0)*VLOOKUP('Données projet'!$B$15,Paramètres!$A$1:$I$89,5,0)</f>
        <v>-1.0729763744166122E-12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698.30188737818639</v>
      </c>
      <c r="EP200" s="60">
        <f t="shared" si="210"/>
        <v>329.77977151358482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396.99335548279453</v>
      </c>
      <c r="FK200" s="60">
        <f t="shared" si="211"/>
        <v>388.89849573746335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69.265635823110685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4.6150000000000002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16.921666666666667</v>
      </c>
      <c r="H201" s="68">
        <f t="shared" si="192"/>
        <v>188.98000000000002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5.1431925385259088E-14</v>
      </c>
      <c r="P201" s="14">
        <f t="shared" si="203"/>
        <v>8.3482866290946129E-13</v>
      </c>
      <c r="Q201" s="22">
        <f t="shared" si="162"/>
        <v>1.5435705246133045E-12</v>
      </c>
      <c r="R201" s="60">
        <f t="shared" si="191"/>
        <v>290.68737646588863</v>
      </c>
      <c r="S201" s="60">
        <f ca="1">AVERAGE(OFFSET($R$3,0,0,'Données projet'!$E$9+1,1))-AVERAGE(OFFSET($H$3,0,0,'Données projet'!$E$9+1,1))</f>
        <v>550.53475891182575</v>
      </c>
      <c r="T201" s="60">
        <f t="shared" si="204"/>
        <v>350.2500324347194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513.16577009788818</v>
      </c>
      <c r="AO201" s="60">
        <f t="shared" si="205"/>
        <v>289.37159333739146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-4.1677594708744434E-14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366.5170155168056</v>
      </c>
      <c r="BJ201" s="60">
        <f t="shared" si="206"/>
        <v>394.05057214541966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333.512642972663</v>
      </c>
      <c r="CE201" s="60">
        <f t="shared" si="207"/>
        <v>464.18634682168488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-1.0401663530501537E-12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539.76438066597848</v>
      </c>
      <c r="CZ201" s="60">
        <f t="shared" si="208"/>
        <v>303.47238367344937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-9.3464223027694966E-13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493.19478874005267</v>
      </c>
      <c r="DU201" s="60">
        <f t="shared" si="209"/>
        <v>278.78337903007821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-1.2505552149377763E-12</v>
      </c>
      <c r="EK201" s="18">
        <f>EJ201*VLOOKUP('Données projet'!$B$15,Paramètres!$A$1:$I$89,3,0)*VLOOKUP('Données projet'!$B$15,Paramètres!$A$1:$I$89,5,0)</f>
        <v>-1.0729763744166122E-12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698.30188737818639</v>
      </c>
      <c r="EP201" s="60">
        <f t="shared" si="210"/>
        <v>329.77977151358482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396.99335548279453</v>
      </c>
      <c r="FK201" s="60">
        <f t="shared" si="211"/>
        <v>388.89849573746335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69.278375399787393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4.6150000000000002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16.921666666666667</v>
      </c>
      <c r="H202" s="68">
        <f t="shared" si="192"/>
        <v>188.98000000000002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5.1431925385259088E-14</v>
      </c>
      <c r="P202" s="14">
        <f t="shared" si="203"/>
        <v>8.3482866290946129E-13</v>
      </c>
      <c r="Q202" s="22">
        <f t="shared" si="162"/>
        <v>1.5435705246133045E-12</v>
      </c>
      <c r="R202" s="60">
        <f t="shared" si="191"/>
        <v>290.73327790206542</v>
      </c>
      <c r="S202" s="60">
        <f ca="1">AVERAGE(OFFSET($R$3,0,0,'Données projet'!$E$9+1,1))-AVERAGE(OFFSET($H$3,0,0,'Données projet'!$E$9+1,1))</f>
        <v>550.53475891182575</v>
      </c>
      <c r="T202" s="60">
        <f t="shared" si="204"/>
        <v>350.2500324347194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513.16577009788818</v>
      </c>
      <c r="AO202" s="60">
        <f t="shared" si="205"/>
        <v>289.37159333739146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-4.1677594708744434E-14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366.5170155168056</v>
      </c>
      <c r="BJ202" s="60">
        <f t="shared" si="206"/>
        <v>394.05057214541966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333.512642972663</v>
      </c>
      <c r="CE202" s="60">
        <f t="shared" si="207"/>
        <v>464.18634682168488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-1.0401663530501537E-12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539.76438066597848</v>
      </c>
      <c r="CZ202" s="60">
        <f t="shared" si="208"/>
        <v>303.47238367344937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-9.3464223027694966E-13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493.19478874005267</v>
      </c>
      <c r="DU202" s="60">
        <f t="shared" si="209"/>
        <v>278.78337903007821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-1.2505552149377763E-12</v>
      </c>
      <c r="EK202" s="18">
        <f>EJ202*VLOOKUP('Données projet'!$B$15,Paramètres!$A$1:$I$89,3,0)*VLOOKUP('Données projet'!$B$15,Paramètres!$A$1:$I$89,5,0)</f>
        <v>-1.0729763744166122E-12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698.30188737818639</v>
      </c>
      <c r="EP202" s="60">
        <f t="shared" si="210"/>
        <v>329.77977151358482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396.99335548279453</v>
      </c>
      <c r="FK202" s="60">
        <f t="shared" si="211"/>
        <v>388.89849573746335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69.290893973290153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4.6150000000000002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46.925000000000004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16.921666666666667</v>
      </c>
      <c r="H203" s="68">
        <f t="shared" si="192"/>
        <v>188.98000000000002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5.1431925385259088E-14</v>
      </c>
      <c r="P203" s="14">
        <f t="shared" si="203"/>
        <v>8.3482866290946129E-13</v>
      </c>
      <c r="Q203" s="22">
        <f t="shared" si="162"/>
        <v>1.5435705246133045E-12</v>
      </c>
      <c r="R203" s="60">
        <f t="shared" si="191"/>
        <v>290.77838305094485</v>
      </c>
      <c r="S203" s="60">
        <f ca="1">AVERAGE(OFFSET($R$3,0,0,'Données projet'!$E$9+1,1))-AVERAGE(OFFSET($H$3,0,0,'Données projet'!$E$9+1,1))</f>
        <v>550.53475891182575</v>
      </c>
      <c r="T203" s="60">
        <f t="shared" si="204"/>
        <v>350.2500324347194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513.16577009788818</v>
      </c>
      <c r="AO203" s="60">
        <f t="shared" si="205"/>
        <v>289.37159333739146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-4.1677594708744434E-14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366.5170155168056</v>
      </c>
      <c r="BJ203" s="60">
        <f t="shared" si="206"/>
        <v>394.05057214541966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333.512642972663</v>
      </c>
      <c r="CE203" s="60">
        <f t="shared" si="207"/>
        <v>464.18634682168488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-1.0401663530501537E-12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539.76438066597848</v>
      </c>
      <c r="CZ203" s="60">
        <f t="shared" si="208"/>
        <v>303.47238367344937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-9.3464223027694966E-13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493.19478874005267</v>
      </c>
      <c r="DU203" s="60">
        <f t="shared" si="209"/>
        <v>278.78337903007821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-1.2505552149377763E-12</v>
      </c>
      <c r="EK203" s="18">
        <f>EJ203*VLOOKUP('Données projet'!$B$15,Paramètres!$A$1:$I$89,3,0)*VLOOKUP('Données projet'!$B$15,Paramètres!$A$1:$I$89,5,0)</f>
        <v>-1.0729763744166122E-12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698.30188737818639</v>
      </c>
      <c r="EP203" s="60">
        <f t="shared" si="210"/>
        <v>329.77977151358482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396.99335548279453</v>
      </c>
      <c r="FK203" s="60">
        <f t="shared" si="211"/>
        <v>388.89849573746335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69.303195377530002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1.2392705892426346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1.2721323532877689</v>
      </c>
      <c r="BV205" s="86">
        <f>EXP(LN('Données projet'!B114)/'Données projet'!A114)</f>
        <v>1.9472943612303364</v>
      </c>
      <c r="CQ205" s="86">
        <f>EXP(LN('Données projet'!B140)/'Données projet'!A140)</f>
        <v>1.2054868146447177</v>
      </c>
      <c r="DL205" s="86">
        <f>EXP(LN('Données projet'!B166)/'Données projet'!A166)</f>
        <v>1.2054868146447177</v>
      </c>
      <c r="EG205" s="86">
        <f>EXP(LN('Données projet'!B192)/'Données projet'!A192)</f>
        <v>1.2229519710813024</v>
      </c>
      <c r="FB205" s="86">
        <f>EXP(LN('Données projet'!B218)/'Données projet'!A218)</f>
        <v>1.4003603312913959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45" zoomScale="90" zoomScaleNormal="90" workbookViewId="0">
      <selection activeCell="N18" sqref="N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0.42510000000000003</v>
      </c>
      <c r="C6" s="154">
        <f ca="1">IF(OR('Données projet'!B9="",'Données projet'!C9="",'Données projet'!C9=0%),0,Calculateur!S3)</f>
        <v>550.53475891182575</v>
      </c>
      <c r="D6" s="154">
        <f>IF(OR('Données projet'!B9="",'Données projet'!C9="",'Données projet'!C9=0%),0,Calculateur!T3)</f>
        <v>350.2500324347194</v>
      </c>
      <c r="E6" s="154">
        <f ca="1">MIN(C6,D6)</f>
        <v>350.2500324347194</v>
      </c>
      <c r="F6" s="154">
        <f ca="1">E6*B6</f>
        <v>148.89128878799923</v>
      </c>
      <c r="G6" s="154">
        <f ca="1">F6*(100%-'Données projet'!$C$24)*(100%-'Données projet'!$C$25)*(100%-'Données projet'!$C$26)*(100%-'Données projet'!$C$27)</f>
        <v>134.00215990919932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6.5890500000000003</v>
      </c>
      <c r="K6" s="158">
        <f>J6*(100%-'Données projet'!$C$24)*(100%-'Données projet'!$C$25)*(100%-'Données projet'!$C$26)*(100%-'Données projet'!$C$27)</f>
        <v>5.9301450000000004</v>
      </c>
      <c r="L6" s="159">
        <f ca="1">G6+I6+K6</f>
        <v>139.93230490919933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0.27039999999999997</v>
      </c>
      <c r="C7" s="154">
        <f ca="1">IF(OR('Données projet'!B10="",'Données projet'!C10="",'Données projet'!C10=0%),0,Calculateur!AN3)</f>
        <v>513.16577009788818</v>
      </c>
      <c r="D7" s="154">
        <f>IF(OR('Données projet'!B10="",'Données projet'!C10="",'Données projet'!C10=0%),0,Calculateur!AO3)</f>
        <v>289.37159333739146</v>
      </c>
      <c r="E7" s="154">
        <f t="shared" ref="E7:E15" ca="1" si="0">MIN(C7,D7)</f>
        <v>289.37159333739146</v>
      </c>
      <c r="F7" s="154">
        <f t="shared" ref="F7:F15" ca="1" si="1">E7*B7</f>
        <v>78.246078838430648</v>
      </c>
      <c r="G7" s="154">
        <f ca="1">F7*(100%-'Données projet'!$C$24)*(100%-'Données projet'!$C$25)*(100%-'Données projet'!$C$26)*(100%-'Données projet'!$C$27)</f>
        <v>70.421470954587591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1.9603999999999999</v>
      </c>
      <c r="K7" s="158">
        <f>J7*(100%-'Données projet'!$C$24)*(100%-'Données projet'!$C$25)*(100%-'Données projet'!$C$26)*(100%-'Données projet'!$C$27)</f>
        <v>1.7643599999999999</v>
      </c>
      <c r="L7" s="159">
        <f t="shared" ref="L7:L15" ca="1" si="2">G7+I7+K7</f>
        <v>72.185830954587587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Châtaignier</v>
      </c>
      <c r="B8" s="161">
        <f>'Données projet'!D11</f>
        <v>0.17030000000000001</v>
      </c>
      <c r="C8" s="154">
        <f ca="1">IF(OR('Données projet'!B11="",'Données projet'!C11="",'Données projet'!C11=0%),0,Calculateur!BI3)</f>
        <v>366.5170155168056</v>
      </c>
      <c r="D8" s="154">
        <f>IF(OR('Données projet'!B11="",'Données projet'!C11="",'Données projet'!C11=0%),0,Calculateur!BJ3)</f>
        <v>394.05057214541966</v>
      </c>
      <c r="E8" s="154">
        <f t="shared" ca="1" si="0"/>
        <v>366.5170155168056</v>
      </c>
      <c r="F8" s="154">
        <f t="shared" ca="1" si="1"/>
        <v>62.417847742511995</v>
      </c>
      <c r="G8" s="154">
        <f ca="1">F8*(100%-'Données projet'!$C$24)*(100%-'Données projet'!$C$25)*(100%-'Données projet'!$C$26)*(100%-'Données projet'!$C$27)</f>
        <v>56.176062968260794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5.8114875000000001</v>
      </c>
      <c r="K8" s="158">
        <f>J8*(100%-'Données projet'!$C$24)*(100%-'Données projet'!$C$25)*(100%-'Données projet'!$C$26)*(100%-'Données projet'!$C$27)</f>
        <v>5.2303387500000005</v>
      </c>
      <c r="L8" s="159">
        <f t="shared" ca="1" si="2"/>
        <v>61.406401718260796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Robinier faux-acacia</v>
      </c>
      <c r="B9" s="161">
        <f>'Données projet'!D12</f>
        <v>8.9700000000000016E-2</v>
      </c>
      <c r="C9" s="154">
        <f ca="1">IF(OR('Données projet'!B12="",'Données projet'!C12="",'Données projet'!C12=0%),0,Calculateur!CD3)</f>
        <v>333.512642972663</v>
      </c>
      <c r="D9" s="154">
        <f>IF(OR('Données projet'!B12="",'Données projet'!C12="",'Données projet'!C12=0%),0,Calculateur!CE3)</f>
        <v>464.18634682168488</v>
      </c>
      <c r="E9" s="154">
        <f t="shared" ca="1" si="0"/>
        <v>333.512642972663</v>
      </c>
      <c r="F9" s="154">
        <f t="shared" ca="1" si="1"/>
        <v>29.916084074647877</v>
      </c>
      <c r="G9" s="154">
        <f ca="1">F9*(100%-'Données projet'!$C$24)*(100%-'Données projet'!$C$25)*(100%-'Données projet'!$C$26)*(100%-'Données projet'!$C$27)</f>
        <v>26.924475667183088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1.7043000000000004</v>
      </c>
      <c r="K9" s="158">
        <f>J9*(100%-'Données projet'!$C$24)*(100%-'Données projet'!$C$25)*(100%-'Données projet'!$C$26)*(100%-'Données projet'!$C$27)</f>
        <v>1.5338700000000003</v>
      </c>
      <c r="L9" s="159">
        <f t="shared" ca="1" si="2"/>
        <v>28.458345667183089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Cormier</v>
      </c>
      <c r="B10" s="161">
        <f>'Données projet'!D13</f>
        <v>8.7100000000000011E-2</v>
      </c>
      <c r="C10" s="154">
        <f ca="1">IF(OR('Données projet'!B13="",'Données projet'!C13="",'Données projet'!C13=0%),0,Calculateur!CY3)</f>
        <v>539.76438066597848</v>
      </c>
      <c r="D10" s="154">
        <f>IF(OR('Données projet'!B13="",'Données projet'!C13="",'Données projet'!C13=0%),0,Calculateur!CZ3)</f>
        <v>303.47238367344937</v>
      </c>
      <c r="E10" s="154">
        <f t="shared" ca="1" si="0"/>
        <v>303.47238367344937</v>
      </c>
      <c r="F10" s="154">
        <f t="shared" ca="1" si="1"/>
        <v>26.432444617957444</v>
      </c>
      <c r="G10" s="154">
        <f ca="1">F10*(100%-'Données projet'!$C$24)*(100%-'Données projet'!$C$25)*(100%-'Données projet'!$C$26)*(100%-'Données projet'!$C$27)</f>
        <v>23.789200156161701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0.63147500000000012</v>
      </c>
      <c r="K10" s="158">
        <f>J10*(100%-'Données projet'!$C$24)*(100%-'Données projet'!$C$25)*(100%-'Données projet'!$C$26)*(100%-'Données projet'!$C$27)</f>
        <v>0.5683275000000001</v>
      </c>
      <c r="L10" s="159">
        <f t="shared" ca="1" si="2"/>
        <v>24.3575276561617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Alisier torminal</v>
      </c>
      <c r="B11" s="161">
        <f>'Données projet'!D14</f>
        <v>8.7100000000000011E-2</v>
      </c>
      <c r="C11" s="154">
        <f ca="1">IF(OR('Données projet'!B14="",'Données projet'!C14="",'Données projet'!C14=0%),0,Calculateur!DT3)</f>
        <v>493.19478874005267</v>
      </c>
      <c r="D11" s="154">
        <f>IF(OR('Données projet'!B14="",'Données projet'!C14="",'Données projet'!C14=0%),0,Calculateur!DU3)</f>
        <v>278.78337903007821</v>
      </c>
      <c r="E11" s="154">
        <f t="shared" ca="1" si="0"/>
        <v>278.78337903007821</v>
      </c>
      <c r="F11" s="154">
        <f t="shared" ca="1" si="1"/>
        <v>24.282032313519814</v>
      </c>
      <c r="G11" s="154">
        <f ca="1">F11*(100%-'Données projet'!$C$24)*(100%-'Données projet'!$C$25)*(100%-'Données projet'!$C$26)*(100%-'Données projet'!$C$27)</f>
        <v>21.853829082167834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0.63147500000000012</v>
      </c>
      <c r="K11" s="158">
        <f>J11*(100%-'Données projet'!$C$24)*(100%-'Données projet'!$C$25)*(100%-'Données projet'!$C$26)*(100%-'Données projet'!$C$27)</f>
        <v>0.5683275000000001</v>
      </c>
      <c r="L11" s="159">
        <f t="shared" ca="1" si="2"/>
        <v>22.422156582167833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Hêtre</v>
      </c>
      <c r="B12" s="161">
        <f>'Données projet'!D15</f>
        <v>8.4500000000000006E-2</v>
      </c>
      <c r="C12" s="154">
        <f ca="1">IF(OR('Données projet'!B15="",'Données projet'!C15="",'Données projet'!C15=0%),0,Calculateur!EO3)</f>
        <v>698.30188737818639</v>
      </c>
      <c r="D12" s="154">
        <f>IF(OR('Données projet'!B15="",'Données projet'!C15="",'Données projet'!C15=0%),0,Calculateur!EP3)</f>
        <v>329.77977151358482</v>
      </c>
      <c r="E12" s="154">
        <f t="shared" ca="1" si="0"/>
        <v>329.77977151358482</v>
      </c>
      <c r="F12" s="154">
        <f t="shared" ca="1" si="1"/>
        <v>27.866390692897919</v>
      </c>
      <c r="G12" s="154">
        <f ca="1">F12*(100%-'Données projet'!$C$24)*(100%-'Données projet'!$C$25)*(100%-'Données projet'!$C$26)*(100%-'Données projet'!$C$27)</f>
        <v>25.079751623608129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0.54925000000000002</v>
      </c>
      <c r="K12" s="158">
        <f>J12*(100%-'Données projet'!$C$24)*(100%-'Données projet'!$C$25)*(100%-'Données projet'!$C$26)*(100%-'Données projet'!$C$27)</f>
        <v>0.49432500000000001</v>
      </c>
      <c r="L12" s="159">
        <f t="shared" ca="1" si="2"/>
        <v>25.574076623608129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Chêne rouge d'Amérique</v>
      </c>
      <c r="B13" s="161">
        <f>'Données projet'!D16</f>
        <v>8.4500000000000006E-2</v>
      </c>
      <c r="C13" s="154">
        <f ca="1">IF(OR('Données projet'!B16="",'Données projet'!C16="",'Données projet'!C16=0%),0,Calculateur!FJ3)</f>
        <v>396.99335548279453</v>
      </c>
      <c r="D13" s="154">
        <f>IF(OR('Données projet'!B16="",'Données projet'!C16="",'Données projet'!C16=0%),0,Calculateur!FK3)</f>
        <v>388.89849573746335</v>
      </c>
      <c r="E13" s="154">
        <f t="shared" ca="1" si="0"/>
        <v>388.89849573746335</v>
      </c>
      <c r="F13" s="154">
        <f t="shared" ca="1" si="1"/>
        <v>32.861922889815652</v>
      </c>
      <c r="G13" s="154">
        <f ca="1">F13*(100%-'Données projet'!$C$24)*(100%-'Données projet'!$C$25)*(100%-'Données projet'!$C$26)*(100%-'Données projet'!$C$27)</f>
        <v>29.575730600834088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2.2603750000000002</v>
      </c>
      <c r="K13" s="158">
        <f>J13*(100%-'Données projet'!$C$24)*(100%-'Données projet'!$C$25)*(100%-'Données projet'!$C$26)*(100%-'Données projet'!$C$27)</f>
        <v>2.0343375000000004</v>
      </c>
      <c r="L13" s="159">
        <f t="shared" ca="1" si="2"/>
        <v>31.610068100834088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430.91408995778062</v>
      </c>
      <c r="G16" s="173">
        <f t="shared" ca="1" si="3"/>
        <v>387.82268096200249</v>
      </c>
      <c r="H16" s="174">
        <f t="shared" si="3"/>
        <v>0</v>
      </c>
      <c r="I16" s="174">
        <f t="shared" si="3"/>
        <v>0</v>
      </c>
      <c r="J16" s="175">
        <f t="shared" si="3"/>
        <v>20.137812500000006</v>
      </c>
      <c r="K16" s="175">
        <f t="shared" si="3"/>
        <v>18.124031250000002</v>
      </c>
      <c r="L16" s="176">
        <f t="shared" ca="1" si="3"/>
        <v>405.94671221200252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Châtaignier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Robinier faux-acacia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Cormier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Alisier torminal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Hêtre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Chêne rouge d'Amérique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J4" zoomScale="80" zoomScaleNormal="80" workbookViewId="0">
      <selection activeCell="I22" sqref="I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1029.8386908750992</v>
      </c>
      <c r="U10" s="188">
        <f>'Données projet'!D9</f>
        <v>0.42510000000000003</v>
      </c>
      <c r="V10" s="187">
        <f>U10*T10</f>
        <v>437.78442749100475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Chêne pubescent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663.20320739521912</v>
      </c>
      <c r="U11" s="188">
        <f>'Données projet'!D10</f>
        <v>0.27039999999999997</v>
      </c>
      <c r="V11" s="187">
        <f t="shared" ref="V11" si="0">U11*T11</f>
        <v>179.33014727966724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Châtaignier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1892.5913240334041</v>
      </c>
      <c r="U12" s="188">
        <f>'Données projet'!D11</f>
        <v>0.17030000000000001</v>
      </c>
      <c r="V12" s="187">
        <f t="shared" ref="V12:V19" si="1">U12*T12</f>
        <v>322.30830248288873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Robinier faux-acacia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1780.2408614975245</v>
      </c>
      <c r="U13" s="188">
        <f>'Données projet'!D12</f>
        <v>8.9700000000000016E-2</v>
      </c>
      <c r="V13" s="187">
        <f t="shared" si="1"/>
        <v>159.68760527632799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Cormier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663.20320739521912</v>
      </c>
      <c r="U14" s="188">
        <f>'Données projet'!D13</f>
        <v>8.7100000000000011E-2</v>
      </c>
      <c r="V14" s="187">
        <f t="shared" si="1"/>
        <v>57.764999364123589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Alisier torminal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663.20320739521912</v>
      </c>
      <c r="U15" s="188">
        <f>'Données projet'!D14</f>
        <v>8.7100000000000011E-2</v>
      </c>
      <c r="V15" s="187">
        <f t="shared" si="1"/>
        <v>57.764999364123589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/>
      <c r="O16" s="25"/>
      <c r="P16" s="25"/>
      <c r="Q16" s="263"/>
      <c r="R16" s="25"/>
      <c r="S16" s="183" t="str">
        <f>B200</f>
        <v>Hêtre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1105.2939127556724</v>
      </c>
      <c r="U16" s="188">
        <f>'Données projet'!D15</f>
        <v>8.4500000000000006E-2</v>
      </c>
      <c r="V16" s="187">
        <f t="shared" si="1"/>
        <v>93.397335627854318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Chêne rouge d'Amérique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1182.0285101804398</v>
      </c>
      <c r="U17" s="188">
        <f>'Données projet'!D16</f>
        <v>8.4500000000000006E-2</v>
      </c>
      <c r="V17" s="187">
        <f t="shared" si="1"/>
        <v>99.881409110247162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9000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6</v>
      </c>
      <c r="C23" s="204">
        <v>10</v>
      </c>
      <c r="D23" s="192">
        <f>B23*C23</f>
        <v>60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-10292.080774003762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56</v>
      </c>
      <c r="C25" s="204">
        <v>10</v>
      </c>
      <c r="D25" s="192">
        <f t="shared" si="2"/>
        <v>560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4">
        <f ca="1">T23-T24</f>
        <v>-10292.080774003762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4"/>
      <c r="D26" s="192">
        <f t="shared" si="2"/>
        <v>0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56</v>
      </c>
      <c r="C27" s="204">
        <v>15</v>
      </c>
      <c r="D27" s="192">
        <f t="shared" si="2"/>
        <v>840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4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56</v>
      </c>
      <c r="C29" s="204">
        <v>20</v>
      </c>
      <c r="D29" s="192">
        <f t="shared" si="2"/>
        <v>1120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56</v>
      </c>
      <c r="C31" s="204">
        <v>30</v>
      </c>
      <c r="D31" s="192">
        <f t="shared" si="2"/>
        <v>1680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56</v>
      </c>
      <c r="C33" s="204">
        <v>40</v>
      </c>
      <c r="D33" s="192">
        <f t="shared" si="2"/>
        <v>2240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56</v>
      </c>
      <c r="C35" s="204">
        <v>50</v>
      </c>
      <c r="D35" s="192">
        <f t="shared" si="2"/>
        <v>2800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56</v>
      </c>
      <c r="C36" s="204">
        <v>60</v>
      </c>
      <c r="D36" s="192">
        <f t="shared" si="2"/>
        <v>3360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55</v>
      </c>
      <c r="C37" s="204">
        <v>70</v>
      </c>
      <c r="D37" s="192">
        <f t="shared" si="2"/>
        <v>3850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51</v>
      </c>
      <c r="C38" s="204">
        <v>80</v>
      </c>
      <c r="D38" s="192">
        <f t="shared" si="2"/>
        <v>4080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47</v>
      </c>
      <c r="C39" s="204">
        <v>90</v>
      </c>
      <c r="D39" s="192">
        <f t="shared" si="2"/>
        <v>4230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135</v>
      </c>
      <c r="B40" s="191">
        <f>'Données projet'!D53</f>
        <v>65</v>
      </c>
      <c r="C40" s="204">
        <v>120</v>
      </c>
      <c r="D40" s="192">
        <f t="shared" si="2"/>
        <v>7800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150</v>
      </c>
      <c r="B41" s="191">
        <f>'Données projet'!D54</f>
        <v>355</v>
      </c>
      <c r="C41" s="204">
        <v>200</v>
      </c>
      <c r="D41" s="192">
        <f t="shared" si="2"/>
        <v>71000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/>
      <c r="D55" s="189">
        <f t="shared" ref="D55:D73" si="4">B55*C55</f>
        <v>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/>
      <c r="D57" s="189">
        <f t="shared" si="4"/>
        <v>0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15</v>
      </c>
      <c r="D58" s="189">
        <f t="shared" si="4"/>
        <v>630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20</v>
      </c>
      <c r="D60" s="189">
        <f t="shared" si="4"/>
        <v>840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25</v>
      </c>
      <c r="D62" s="189">
        <f t="shared" si="4"/>
        <v>1050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30</v>
      </c>
      <c r="D64" s="189">
        <f t="shared" si="4"/>
        <v>1260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40</v>
      </c>
      <c r="D66" s="189">
        <f t="shared" si="4"/>
        <v>1680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50</v>
      </c>
      <c r="D67" s="189">
        <f t="shared" si="4"/>
        <v>2100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60</v>
      </c>
      <c r="D68" s="189">
        <f t="shared" si="4"/>
        <v>2520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70</v>
      </c>
      <c r="D69" s="189">
        <f t="shared" si="4"/>
        <v>2730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80</v>
      </c>
      <c r="D70" s="189">
        <f t="shared" si="4"/>
        <v>2800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90</v>
      </c>
      <c r="D71" s="189">
        <f t="shared" si="4"/>
        <v>2790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120</v>
      </c>
      <c r="D72" s="189">
        <f t="shared" si="4"/>
        <v>3240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Châtaignier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str">
        <f>IF(O78+1&lt;=MIN('Données projet'!$E$9:$E$18),O78+1,"STOP")</f>
        <v>STOP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15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20</v>
      </c>
      <c r="B87" s="191">
        <f>'Données projet'!D90</f>
        <v>66.5</v>
      </c>
      <c r="C87" s="202">
        <v>10</v>
      </c>
      <c r="D87" s="189">
        <f t="shared" si="6"/>
        <v>665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25</v>
      </c>
      <c r="B88" s="191">
        <f>'Données projet'!D91</f>
        <v>0</v>
      </c>
      <c r="C88" s="202"/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30</v>
      </c>
      <c r="B89" s="191">
        <f>'Données projet'!D92</f>
        <v>70</v>
      </c>
      <c r="C89" s="202">
        <v>15</v>
      </c>
      <c r="D89" s="189">
        <f t="shared" si="6"/>
        <v>1050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35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40</v>
      </c>
      <c r="B91" s="191">
        <f>'Données projet'!D94</f>
        <v>70</v>
      </c>
      <c r="C91" s="202">
        <v>20</v>
      </c>
      <c r="D91" s="189">
        <f t="shared" si="6"/>
        <v>1400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45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50</v>
      </c>
      <c r="B93" s="191">
        <f>'Données projet'!D96</f>
        <v>43.099999999999994</v>
      </c>
      <c r="C93" s="202">
        <v>30</v>
      </c>
      <c r="D93" s="189">
        <f t="shared" si="6"/>
        <v>1292.9999999999998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55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60</v>
      </c>
      <c r="B95" s="191">
        <f>'Données projet'!D98</f>
        <v>30.2</v>
      </c>
      <c r="C95" s="202">
        <v>40</v>
      </c>
      <c r="D95" s="189">
        <f t="shared" si="6"/>
        <v>1208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65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70</v>
      </c>
      <c r="B97" s="191">
        <f>'Données projet'!D100</f>
        <v>25.9</v>
      </c>
      <c r="C97" s="202">
        <v>50</v>
      </c>
      <c r="D97" s="189">
        <f t="shared" si="6"/>
        <v>1295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75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80</v>
      </c>
      <c r="B99" s="191">
        <f>'Données projet'!D102</f>
        <v>341.3</v>
      </c>
      <c r="C99" s="202">
        <v>80</v>
      </c>
      <c r="D99" s="189">
        <f t="shared" si="6"/>
        <v>27304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Robinier faux-acacia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5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10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15</v>
      </c>
      <c r="B118" s="191">
        <f>'Données projet'!D116</f>
        <v>0</v>
      </c>
      <c r="C118" s="202"/>
      <c r="D118" s="189">
        <f t="shared" si="8"/>
        <v>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20</v>
      </c>
      <c r="B119" s="191">
        <f>'Données projet'!D117</f>
        <v>56</v>
      </c>
      <c r="C119" s="202">
        <v>10</v>
      </c>
      <c r="D119" s="189">
        <f t="shared" si="8"/>
        <v>560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25</v>
      </c>
      <c r="B120" s="191">
        <f>'Données projet'!D118</f>
        <v>0</v>
      </c>
      <c r="C120" s="202"/>
      <c r="D120" s="189">
        <f t="shared" si="8"/>
        <v>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30</v>
      </c>
      <c r="B121" s="191">
        <f>'Données projet'!D119</f>
        <v>20</v>
      </c>
      <c r="C121" s="202">
        <v>15</v>
      </c>
      <c r="D121" s="189">
        <f t="shared" si="8"/>
        <v>300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35</v>
      </c>
      <c r="B122" s="191">
        <f>'Données projet'!D120</f>
        <v>0</v>
      </c>
      <c r="C122" s="202"/>
      <c r="D122" s="189">
        <f t="shared" si="8"/>
        <v>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40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45</v>
      </c>
      <c r="B124" s="191">
        <f>'Données projet'!D122</f>
        <v>266</v>
      </c>
      <c r="C124" s="202">
        <v>40</v>
      </c>
      <c r="D124" s="189">
        <f t="shared" si="8"/>
        <v>10640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8"/>
        <v>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8"/>
        <v>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8"/>
        <v>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8"/>
        <v>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8"/>
        <v>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8"/>
        <v>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8"/>
        <v>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8"/>
        <v>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8"/>
        <v>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Cormier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29</v>
      </c>
      <c r="C149" s="204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0</v>
      </c>
      <c r="C150" s="204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42</v>
      </c>
      <c r="C151" s="204">
        <v>15</v>
      </c>
      <c r="D151" s="192">
        <f t="shared" si="10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0</v>
      </c>
      <c r="C152" s="204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42</v>
      </c>
      <c r="C153" s="204">
        <v>20</v>
      </c>
      <c r="D153" s="192">
        <f t="shared" si="10"/>
        <v>840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0</v>
      </c>
      <c r="C154" s="204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42</v>
      </c>
      <c r="C155" s="204">
        <v>25</v>
      </c>
      <c r="D155" s="192">
        <f t="shared" si="10"/>
        <v>1050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0</v>
      </c>
      <c r="C156" s="204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42</v>
      </c>
      <c r="C157" s="204">
        <v>30</v>
      </c>
      <c r="D157" s="192">
        <f t="shared" si="10"/>
        <v>1260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0</v>
      </c>
      <c r="C158" s="204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42</v>
      </c>
      <c r="C159" s="204">
        <v>40</v>
      </c>
      <c r="D159" s="192">
        <f t="shared" si="10"/>
        <v>1680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5">
        <f>'Données projet'!D153</f>
        <v>42</v>
      </c>
      <c r="C160" s="204">
        <v>50</v>
      </c>
      <c r="D160" s="192">
        <f t="shared" si="10"/>
        <v>2100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5">
        <f>'Données projet'!D154</f>
        <v>42</v>
      </c>
      <c r="C161" s="204">
        <v>60</v>
      </c>
      <c r="D161" s="192">
        <f t="shared" si="10"/>
        <v>2520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5">
        <f>'Données projet'!D155</f>
        <v>39</v>
      </c>
      <c r="C162" s="204">
        <v>70</v>
      </c>
      <c r="D162" s="192">
        <f t="shared" si="10"/>
        <v>2730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5">
        <f>'Données projet'!D156</f>
        <v>35</v>
      </c>
      <c r="C163" s="204">
        <v>80</v>
      </c>
      <c r="D163" s="192">
        <f t="shared" si="10"/>
        <v>2800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5">
        <f>'Données projet'!D157</f>
        <v>31</v>
      </c>
      <c r="C164" s="204">
        <v>90</v>
      </c>
      <c r="D164" s="192">
        <f t="shared" si="10"/>
        <v>2790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5">
        <f>'Données projet'!D158</f>
        <v>27</v>
      </c>
      <c r="C165" s="204">
        <v>120</v>
      </c>
      <c r="D165" s="192">
        <f t="shared" si="10"/>
        <v>3240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293</v>
      </c>
      <c r="C166" s="204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Alisier torminal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29</v>
      </c>
      <c r="C180" s="204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0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42</v>
      </c>
      <c r="C182" s="204">
        <v>15</v>
      </c>
      <c r="D182" s="189">
        <f t="shared" si="11"/>
        <v>630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0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42</v>
      </c>
      <c r="C184" s="204">
        <v>20</v>
      </c>
      <c r="D184" s="189">
        <f t="shared" si="11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0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42</v>
      </c>
      <c r="C186" s="204">
        <v>25</v>
      </c>
      <c r="D186" s="189">
        <f t="shared" si="11"/>
        <v>1050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0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42</v>
      </c>
      <c r="C188" s="204">
        <v>30</v>
      </c>
      <c r="D188" s="189">
        <f t="shared" si="11"/>
        <v>1260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80</v>
      </c>
      <c r="B190" s="191">
        <f>'Données projet'!D178</f>
        <v>42</v>
      </c>
      <c r="C190" s="204">
        <v>40</v>
      </c>
      <c r="D190" s="189">
        <f t="shared" si="11"/>
        <v>1680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90</v>
      </c>
      <c r="B191" s="191">
        <f>'Données projet'!D179</f>
        <v>42</v>
      </c>
      <c r="C191" s="204">
        <v>50</v>
      </c>
      <c r="D191" s="189">
        <f t="shared" si="11"/>
        <v>2100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100</v>
      </c>
      <c r="B192" s="191">
        <f>'Données projet'!D180</f>
        <v>42</v>
      </c>
      <c r="C192" s="204">
        <v>60</v>
      </c>
      <c r="D192" s="189">
        <f t="shared" si="11"/>
        <v>2520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110</v>
      </c>
      <c r="B193" s="191">
        <f>'Données projet'!D181</f>
        <v>39</v>
      </c>
      <c r="C193" s="204">
        <v>70</v>
      </c>
      <c r="D193" s="189">
        <f t="shared" si="11"/>
        <v>2730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120</v>
      </c>
      <c r="B194" s="191">
        <f>'Données projet'!D182</f>
        <v>35</v>
      </c>
      <c r="C194" s="204">
        <v>80</v>
      </c>
      <c r="D194" s="189">
        <f t="shared" si="11"/>
        <v>2800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130</v>
      </c>
      <c r="B195" s="191">
        <f>'Données projet'!D183</f>
        <v>31</v>
      </c>
      <c r="C195" s="204">
        <v>90</v>
      </c>
      <c r="D195" s="189">
        <f t="shared" si="11"/>
        <v>2790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140</v>
      </c>
      <c r="B196" s="191">
        <f>'Données projet'!D184</f>
        <v>27</v>
      </c>
      <c r="C196" s="204">
        <v>120</v>
      </c>
      <c r="D196" s="189">
        <f t="shared" si="11"/>
        <v>3240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4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Hêtre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26</v>
      </c>
      <c r="C210" s="202">
        <v>10</v>
      </c>
      <c r="D210" s="189">
        <f t="shared" ref="D210:D228" si="12">B210*C210</f>
        <v>260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0</v>
      </c>
      <c r="C211" s="202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70</v>
      </c>
      <c r="C212" s="202">
        <v>15</v>
      </c>
      <c r="D212" s="189">
        <f t="shared" si="12"/>
        <v>1050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0</v>
      </c>
      <c r="C213" s="202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70</v>
      </c>
      <c r="C214" s="202">
        <v>20</v>
      </c>
      <c r="D214" s="189">
        <f t="shared" si="12"/>
        <v>1400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0</v>
      </c>
      <c r="C215" s="202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70</v>
      </c>
      <c r="C216" s="202">
        <v>25</v>
      </c>
      <c r="D216" s="189">
        <f t="shared" si="12"/>
        <v>1750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0</v>
      </c>
      <c r="C217" s="202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70</v>
      </c>
      <c r="C218" s="202">
        <v>30</v>
      </c>
      <c r="D218" s="189">
        <f t="shared" si="12"/>
        <v>2100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0</v>
      </c>
      <c r="C219" s="202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70</v>
      </c>
      <c r="C220" s="202">
        <v>35</v>
      </c>
      <c r="D220" s="189">
        <f t="shared" si="12"/>
        <v>2450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0</v>
      </c>
      <c r="C221" s="202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85</v>
      </c>
      <c r="B222" s="191">
        <f>'Données projet'!D205</f>
        <v>67</v>
      </c>
      <c r="C222" s="202">
        <v>40</v>
      </c>
      <c r="D222" s="189">
        <f t="shared" si="12"/>
        <v>2680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95</v>
      </c>
      <c r="B223" s="191">
        <f>'Données projet'!D206</f>
        <v>61</v>
      </c>
      <c r="C223" s="202">
        <v>45</v>
      </c>
      <c r="D223" s="189">
        <f t="shared" si="12"/>
        <v>2745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105</v>
      </c>
      <c r="B224" s="191">
        <f>'Données projet'!D207</f>
        <v>57</v>
      </c>
      <c r="C224" s="202">
        <v>50</v>
      </c>
      <c r="D224" s="189">
        <f t="shared" si="12"/>
        <v>2850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115</v>
      </c>
      <c r="B225" s="191">
        <f>'Données projet'!D208</f>
        <v>53</v>
      </c>
      <c r="C225" s="202">
        <v>55</v>
      </c>
      <c r="D225" s="189">
        <f t="shared" si="12"/>
        <v>2915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125</v>
      </c>
      <c r="B226" s="191">
        <f>'Données projet'!D209</f>
        <v>51</v>
      </c>
      <c r="C226" s="202">
        <v>60</v>
      </c>
      <c r="D226" s="189">
        <f t="shared" si="12"/>
        <v>3060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135</v>
      </c>
      <c r="B227" s="191">
        <f>'Données projet'!D210</f>
        <v>49</v>
      </c>
      <c r="C227" s="202">
        <v>65</v>
      </c>
      <c r="D227" s="189">
        <f t="shared" si="12"/>
        <v>3185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150</v>
      </c>
      <c r="B228" s="191">
        <f>'Données projet'!D211</f>
        <v>571</v>
      </c>
      <c r="C228" s="202">
        <v>80</v>
      </c>
      <c r="D228" s="189">
        <f t="shared" si="12"/>
        <v>45680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Chêne rouge d'Amérique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15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20</v>
      </c>
      <c r="B242" s="191">
        <f>'Données projet'!D220</f>
        <v>54</v>
      </c>
      <c r="C242" s="204">
        <v>10</v>
      </c>
      <c r="D242" s="189">
        <f t="shared" si="13"/>
        <v>540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25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30</v>
      </c>
      <c r="B244" s="191">
        <f>'Données projet'!D222</f>
        <v>53</v>
      </c>
      <c r="C244" s="204">
        <v>10</v>
      </c>
      <c r="D244" s="189">
        <f t="shared" si="13"/>
        <v>530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35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40</v>
      </c>
      <c r="B246" s="191">
        <f>'Données projet'!D224</f>
        <v>54</v>
      </c>
      <c r="C246" s="204">
        <v>15</v>
      </c>
      <c r="D246" s="189">
        <f t="shared" si="13"/>
        <v>810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45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50</v>
      </c>
      <c r="B248" s="191">
        <f>'Données projet'!D226</f>
        <v>50</v>
      </c>
      <c r="C248" s="204">
        <v>20</v>
      </c>
      <c r="D248" s="189">
        <f t="shared" si="13"/>
        <v>1000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55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60</v>
      </c>
      <c r="B250" s="191">
        <f>'Données projet'!D228</f>
        <v>44</v>
      </c>
      <c r="C250" s="204">
        <v>30</v>
      </c>
      <c r="D250" s="189">
        <f t="shared" si="13"/>
        <v>1320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65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70</v>
      </c>
      <c r="B252" s="191">
        <f>'Données projet'!D230</f>
        <v>38</v>
      </c>
      <c r="C252" s="204">
        <v>40</v>
      </c>
      <c r="D252" s="189">
        <f t="shared" si="13"/>
        <v>1520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75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80</v>
      </c>
      <c r="B254" s="191">
        <f>'Données projet'!D232</f>
        <v>31</v>
      </c>
      <c r="C254" s="204">
        <v>50</v>
      </c>
      <c r="D254" s="189">
        <f t="shared" si="13"/>
        <v>1550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85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90</v>
      </c>
      <c r="B256" s="191">
        <f>'Données projet'!D234</f>
        <v>26</v>
      </c>
      <c r="C256" s="204">
        <v>60</v>
      </c>
      <c r="D256" s="189">
        <f t="shared" si="13"/>
        <v>1560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95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100</v>
      </c>
      <c r="B258" s="191">
        <f>'Données projet'!D236</f>
        <v>267</v>
      </c>
      <c r="C258" s="204">
        <v>100</v>
      </c>
      <c r="D258" s="189">
        <f t="shared" si="13"/>
        <v>26700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2025-05-28T06:39:42Z</dcterms:modified>
</cp:coreProperties>
</file>