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DOYEN David/51_Marne_Vienne-le-Château_(David DOYEN)/2.Dossier_LBC_déposé/"/>
    </mc:Choice>
  </mc:AlternateContent>
  <xr:revisionPtr revIDLastSave="70" documentId="14_{6B30D8BA-F70C-4B3B-806D-ADCA2808C4F5}" xr6:coauthVersionLast="47" xr6:coauthVersionMax="47" xr10:uidLastSave="{DB070F3E-8CE9-4022-B36F-E4B87F84400E}"/>
  <bookViews>
    <workbookView xWindow="-110" yWindow="-110" windowWidth="19420" windowHeight="11500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EA4" i="2"/>
  <c r="FQ4" i="2"/>
  <c r="FR4" i="2"/>
  <c r="BQ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EX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I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W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A33" i="2"/>
  <c r="HG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W38" i="2"/>
  <c r="HH38" i="2"/>
  <c r="HG38" i="2"/>
  <c r="HI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H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G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C78" i="2"/>
  <c r="EW78" i="2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I85" i="2"/>
  <c r="EV85" i="2"/>
  <c r="HH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W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FS128" i="2"/>
  <c r="EB128" i="2"/>
  <c r="EX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H130" i="2"/>
  <c r="HG130" i="2"/>
  <c r="EB130" i="2"/>
  <c r="HI130" i="2"/>
  <c r="FS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HH139" i="2"/>
  <c r="FS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H140" i="2"/>
  <c r="HG140" i="2"/>
  <c r="EB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FS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H144" i="2"/>
  <c r="FR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HG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EV150" i="2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AC154" i="2"/>
  <c r="EW155" i="2"/>
  <c r="EX155" i="2"/>
  <c r="EA155" i="2"/>
  <c r="HG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AB156" i="2"/>
  <c r="DH156" i="2"/>
  <c r="EB156" i="2"/>
  <c r="EX156" i="2"/>
  <c r="HH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X157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W158" i="2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EY159" i="2"/>
  <c r="DG160" i="2"/>
  <c r="HH160" i="2"/>
  <c r="FS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EA161" i="2"/>
  <c r="HG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B162" i="2" l="1"/>
  <c r="EY161" i="2"/>
  <c r="ED161" i="2"/>
  <c r="DI161" i="2"/>
  <c r="EW162" i="2"/>
  <c r="HH162" i="2"/>
  <c r="HG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Y162" i="2"/>
  <c r="EV163" i="2"/>
  <c r="EA163" i="2"/>
  <c r="HG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Y163" i="2"/>
  <c r="EX164" i="2"/>
  <c r="DH164" i="2"/>
  <c r="DI163" i="2"/>
  <c r="EA164" i="2"/>
  <c r="HH164" i="2"/>
  <c r="HG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A167" i="2"/>
  <c r="EC167" i="2"/>
  <c r="EX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C168" i="2"/>
  <c r="EW168" i="2"/>
  <c r="DI167" i="2"/>
  <c r="EB168" i="2"/>
  <c r="DG168" i="2"/>
  <c r="HI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EA169" i="2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D171" i="2"/>
  <c r="EY171" i="2"/>
  <c r="EV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EB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A175" i="2" l="1"/>
  <c r="ED174" i="2"/>
  <c r="EW175" i="2"/>
  <c r="EB175" i="2"/>
  <c r="A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A178" i="2"/>
  <c r="EB178" i="2"/>
  <c r="ED177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D178" i="2"/>
  <c r="EB179" i="2"/>
  <c r="DF179" i="2"/>
  <c r="HI179" i="2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B183" i="2"/>
  <c r="ED182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HI185" i="2"/>
  <c r="EV185" i="2"/>
  <c r="EB185" i="2"/>
  <c r="EW185" i="2"/>
  <c r="HG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B186" i="2"/>
  <c r="ED185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H187" i="2"/>
  <c r="EC187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V189" i="2"/>
  <c r="EB189" i="2"/>
  <c r="HH189" i="2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W190" i="2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I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V192" i="2"/>
  <c r="EC192" i="2"/>
  <c r="EA192" i="2"/>
  <c r="ED192" i="2" s="1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B193" i="2"/>
  <c r="DI192" i="2"/>
  <c r="EX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A195" i="2"/>
  <c r="EX195" i="2"/>
  <c r="EY194" i="2"/>
  <c r="DH195" i="2"/>
  <c r="HI195" i="2"/>
  <c r="EB195" i="2"/>
  <c r="FQ195" i="2"/>
  <c r="AA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AA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EV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EA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DI200" i="2"/>
  <c r="EA201" i="2"/>
  <c r="ED201" i="2" s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X202" i="2" l="1"/>
  <c r="EW202" i="2"/>
  <c r="EY201" i="2"/>
  <c r="FZ6" i="2"/>
  <c r="HI202" i="2"/>
  <c r="FR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6" i="2" a="1"/>
  <c r="DN6" i="2" s="1"/>
  <c r="DO6" i="2" s="1"/>
  <c r="DN45" i="2" a="1"/>
  <c r="DN45" i="2" s="1"/>
  <c r="BX107" i="2" a="1"/>
  <c r="BX107" i="2" s="1"/>
  <c r="FD82" i="2" a="1"/>
  <c r="FD82" i="2" s="1"/>
  <c r="HJ202" i="2"/>
  <c r="AX200" i="2"/>
  <c r="CS72" i="2" l="1" a="1"/>
  <c r="CS72" i="2" s="1"/>
  <c r="CS161" i="2" a="1"/>
  <c r="CS161" i="2" s="1"/>
  <c r="CS134" i="2" a="1"/>
  <c r="CS134" i="2" s="1"/>
  <c r="CS105" i="2" a="1"/>
  <c r="CS105" i="2" s="1"/>
  <c r="CS114" i="2" a="1"/>
  <c r="CS114" i="2" s="1"/>
  <c r="DN190" i="2" a="1"/>
  <c r="DN190" i="2" s="1"/>
  <c r="DN55" i="2" a="1"/>
  <c r="DN55" i="2" s="1"/>
  <c r="DN31" i="2" a="1"/>
  <c r="DN31" i="2" s="1"/>
  <c r="EI142" i="2" a="1"/>
  <c r="EI142" i="2" s="1"/>
  <c r="EI150" i="2" a="1"/>
  <c r="EI150" i="2" s="1"/>
  <c r="EI67" i="2" a="1"/>
  <c r="EI67" i="2" s="1"/>
  <c r="EI165" i="2" a="1"/>
  <c r="EI165" i="2" s="1"/>
  <c r="EI29" i="2" a="1"/>
  <c r="EI29" i="2" s="1"/>
  <c r="EI71" i="2" a="1"/>
  <c r="EI71" i="2" s="1"/>
  <c r="EI109" i="2" a="1"/>
  <c r="EI109" i="2" s="1"/>
  <c r="EI153" i="2" a="1"/>
  <c r="EI153" i="2" s="1"/>
  <c r="EI106" i="2" a="1"/>
  <c r="EI106" i="2" s="1"/>
  <c r="EI166" i="2" a="1"/>
  <c r="EI166" i="2" s="1"/>
  <c r="EI20" i="2" a="1"/>
  <c r="EI20" i="2" s="1"/>
  <c r="EI128" i="2" a="1"/>
  <c r="EI128" i="2" s="1"/>
  <c r="EI34" i="2" a="1"/>
  <c r="EI34" i="2" s="1"/>
  <c r="EI57" i="2" a="1"/>
  <c r="EI57" i="2" s="1"/>
  <c r="EI35" i="2" a="1"/>
  <c r="EI35" i="2" s="1"/>
  <c r="EI36" i="2" a="1"/>
  <c r="EI36" i="2" s="1"/>
  <c r="EI37" i="2" a="1"/>
  <c r="EI37" i="2" s="1"/>
  <c r="EI198" i="2" a="1"/>
  <c r="EI198" i="2" s="1"/>
  <c r="EI139" i="2" a="1"/>
  <c r="EI139" i="2" s="1"/>
  <c r="EI87" i="2" a="1"/>
  <c r="EI87" i="2" s="1"/>
  <c r="EI195" i="2" a="1"/>
  <c r="EI195" i="2" s="1"/>
  <c r="EI170" i="2" a="1"/>
  <c r="EI170" i="2" s="1"/>
  <c r="EI178" i="2" a="1"/>
  <c r="EI178" i="2" s="1"/>
  <c r="EI16" i="2" a="1"/>
  <c r="EI16" i="2" s="1"/>
  <c r="EI145" i="2" a="1"/>
  <c r="EI145" i="2" s="1"/>
  <c r="EI38" i="2" a="1"/>
  <c r="EI38" i="2" s="1"/>
  <c r="EI113" i="2" a="1"/>
  <c r="EI113" i="2" s="1"/>
  <c r="EI162" i="2" a="1"/>
  <c r="EI162" i="2" s="1"/>
  <c r="BC68" i="2" a="1"/>
  <c r="BC68" i="2" s="1"/>
  <c r="BC58" i="2" a="1"/>
  <c r="BC58" i="2" s="1"/>
  <c r="BC34" i="2" a="1"/>
  <c r="BC34" i="2" s="1"/>
  <c r="AH62" i="2" a="1"/>
  <c r="AH62" i="2" s="1"/>
  <c r="AH19" i="2" a="1"/>
  <c r="AH19" i="2" s="1"/>
  <c r="AH90" i="2" a="1"/>
  <c r="AH90" i="2" s="1"/>
  <c r="AH151" i="2" a="1"/>
  <c r="AH151" i="2" s="1"/>
  <c r="AH163" i="2" a="1"/>
  <c r="AH163" i="2" s="1"/>
  <c r="AH92" i="2" a="1"/>
  <c r="AH92" i="2" s="1"/>
  <c r="AH199" i="2" a="1"/>
  <c r="AH199" i="2" s="1"/>
  <c r="AH166" i="2" a="1"/>
  <c r="AH166" i="2" s="1"/>
  <c r="BC82" i="2" a="1"/>
  <c r="BC82" i="2" s="1"/>
  <c r="BC126" i="2" a="1"/>
  <c r="BC126" i="2" s="1"/>
  <c r="BC47" i="2" a="1"/>
  <c r="BC47" i="2" s="1"/>
  <c r="BC143" i="2" a="1"/>
  <c r="BC143" i="2" s="1"/>
  <c r="BC31" i="2" a="1"/>
  <c r="BC31" i="2" s="1"/>
  <c r="BC84" i="2" a="1"/>
  <c r="BC84" i="2" s="1"/>
  <c r="BC192" i="2" a="1"/>
  <c r="BC192" i="2" s="1"/>
  <c r="BC164" i="2" a="1"/>
  <c r="BC164" i="2" s="1"/>
  <c r="BC32" i="2" a="1"/>
  <c r="BC32" i="2" s="1"/>
  <c r="BC18" i="2" a="1"/>
  <c r="BC18" i="2" s="1"/>
  <c r="BC130" i="2" a="1"/>
  <c r="BC130" i="2" s="1"/>
  <c r="BC83" i="2" a="1"/>
  <c r="BC83" i="2" s="1"/>
  <c r="BC151" i="2" a="1"/>
  <c r="BC151" i="2" s="1"/>
  <c r="BC38" i="2" a="1"/>
  <c r="BC38" i="2" s="1"/>
  <c r="BC7" i="2" a="1"/>
  <c r="BC7" i="2" s="1"/>
  <c r="BD7" i="2" s="1"/>
  <c r="BC65" i="2" a="1"/>
  <c r="BC65" i="2" s="1"/>
  <c r="BC55" i="2" a="1"/>
  <c r="BC55" i="2" s="1"/>
  <c r="BC185" i="2" a="1"/>
  <c r="BC185" i="2" s="1"/>
  <c r="BC114" i="2" a="1"/>
  <c r="BC114" i="2" s="1"/>
  <c r="BC117" i="2" a="1"/>
  <c r="BC117" i="2" s="1"/>
  <c r="BC181" i="2" a="1"/>
  <c r="BC181" i="2" s="1"/>
  <c r="DN132" i="2" a="1"/>
  <c r="DN132" i="2" s="1"/>
  <c r="DN167" i="2" a="1"/>
  <c r="DN167" i="2" s="1"/>
  <c r="DN123" i="2" a="1"/>
  <c r="DN123" i="2" s="1"/>
  <c r="DN30" i="2" a="1"/>
  <c r="DN30" i="2" s="1"/>
  <c r="DN16" i="2" a="1"/>
  <c r="DN16" i="2" s="1"/>
  <c r="DN46" i="2" a="1"/>
  <c r="DN46" i="2" s="1"/>
  <c r="DN162" i="2" a="1"/>
  <c r="DN162" i="2" s="1"/>
  <c r="DN150" i="2" a="1"/>
  <c r="DN150" i="2" s="1"/>
  <c r="DN49" i="2" a="1"/>
  <c r="DN49" i="2" s="1"/>
  <c r="DN192" i="2" a="1"/>
  <c r="DN192" i="2" s="1"/>
  <c r="DN176" i="2" a="1"/>
  <c r="DN176" i="2" s="1"/>
  <c r="DN164" i="2" a="1"/>
  <c r="DN164" i="2" s="1"/>
  <c r="DN66" i="2" a="1"/>
  <c r="DN66" i="2" s="1"/>
  <c r="DN135" i="2" a="1"/>
  <c r="DN135" i="2" s="1"/>
  <c r="DN63" i="2" a="1"/>
  <c r="DN63" i="2" s="1"/>
  <c r="DN188" i="2" a="1"/>
  <c r="DN188" i="2" s="1"/>
  <c r="DN187" i="2" a="1"/>
  <c r="DN187" i="2" s="1"/>
  <c r="DN38" i="2" a="1"/>
  <c r="DN38" i="2" s="1"/>
  <c r="DN86" i="2" a="1"/>
  <c r="DN86" i="2" s="1"/>
  <c r="DN133" i="2" a="1"/>
  <c r="DN133" i="2" s="1"/>
  <c r="DN65" i="2" a="1"/>
  <c r="DN65" i="2" s="1"/>
  <c r="DN115" i="2" a="1"/>
  <c r="DN115" i="2" s="1"/>
  <c r="DN70" i="2" a="1"/>
  <c r="DN70" i="2" s="1"/>
  <c r="DN80" i="2" a="1"/>
  <c r="DN80" i="2" s="1"/>
  <c r="DN153" i="2" a="1"/>
  <c r="DN153" i="2" s="1"/>
  <c r="DN168" i="2" a="1"/>
  <c r="DN168" i="2" s="1"/>
  <c r="DN114" i="2" a="1"/>
  <c r="DN114" i="2" s="1"/>
  <c r="DN113" i="2" a="1"/>
  <c r="DN113" i="2" s="1"/>
  <c r="DN110" i="2" a="1"/>
  <c r="DN110" i="2" s="1"/>
  <c r="DN103" i="2" a="1"/>
  <c r="DN103" i="2" s="1"/>
  <c r="DN43" i="2" a="1"/>
  <c r="DN43" i="2" s="1"/>
  <c r="DN177" i="2" a="1"/>
  <c r="DN177" i="2" s="1"/>
  <c r="DN170" i="2" a="1"/>
  <c r="DN170" i="2" s="1"/>
  <c r="DN129" i="2" a="1"/>
  <c r="DN129" i="2" s="1"/>
  <c r="DN50" i="2" a="1"/>
  <c r="DN50" i="2" s="1"/>
  <c r="DN25" i="2" a="1"/>
  <c r="DN25" i="2" s="1"/>
  <c r="DN29" i="2" a="1"/>
  <c r="DN29" i="2" s="1"/>
  <c r="DN41" i="2" a="1"/>
  <c r="DN41" i="2" s="1"/>
  <c r="DN184" i="2" a="1"/>
  <c r="DN184" i="2" s="1"/>
  <c r="DN152" i="2" a="1"/>
  <c r="DN152" i="2" s="1"/>
  <c r="DN186" i="2" a="1"/>
  <c r="DN186" i="2" s="1"/>
  <c r="DN137" i="2" a="1"/>
  <c r="DN137" i="2" s="1"/>
  <c r="DN124" i="2" a="1"/>
  <c r="DN124" i="2" s="1"/>
  <c r="DN155" i="2" a="1"/>
  <c r="DN155" i="2" s="1"/>
  <c r="CS77" i="2" a="1"/>
  <c r="CS77" i="2" s="1"/>
  <c r="CS137" i="2" a="1"/>
  <c r="CS137" i="2" s="1"/>
  <c r="CS185" i="2" a="1"/>
  <c r="CS185" i="2" s="1"/>
  <c r="CS24" i="2" a="1"/>
  <c r="CS24" i="2" s="1"/>
  <c r="CS38" i="2" a="1"/>
  <c r="CS38" i="2" s="1"/>
  <c r="CS129" i="2" a="1"/>
  <c r="CS129" i="2" s="1"/>
  <c r="CS52" i="2" a="1"/>
  <c r="CS52" i="2" s="1"/>
  <c r="CS120" i="2" a="1"/>
  <c r="CS120" i="2" s="1"/>
  <c r="CS56" i="2" a="1"/>
  <c r="CS56" i="2" s="1"/>
  <c r="CS66" i="2" a="1"/>
  <c r="CS66" i="2" s="1"/>
  <c r="CS116" i="2" a="1"/>
  <c r="CS116" i="2" s="1"/>
  <c r="BP203" i="2"/>
  <c r="FS203" i="2"/>
  <c r="DN56" i="2" a="1"/>
  <c r="DN5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EY203" i="2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AN110" i="2" l="1"/>
  <c r="AN163" i="2"/>
  <c r="AN60" i="2"/>
  <c r="AN90" i="2"/>
  <c r="AN154" i="2"/>
  <c r="AN63" i="2"/>
  <c r="AN134" i="2"/>
  <c r="AN62" i="2"/>
  <c r="AN119" i="2"/>
  <c r="AN194" i="2"/>
  <c r="AN38" i="2"/>
  <c r="AN164" i="2"/>
  <c r="AN185" i="2"/>
  <c r="AN143" i="2"/>
  <c r="AN98" i="2"/>
  <c r="AN15" i="2"/>
  <c r="AN59" i="2"/>
  <c r="AN141" i="2"/>
  <c r="AN151" i="2"/>
  <c r="AN115" i="2"/>
  <c r="AN19" i="2"/>
  <c r="AN5" i="2"/>
  <c r="AN26" i="2"/>
  <c r="AN168" i="2"/>
  <c r="AN39" i="2"/>
  <c r="AN25" i="2"/>
  <c r="AN146" i="2"/>
  <c r="AN132" i="2"/>
  <c r="AN175" i="2"/>
  <c r="AN116" i="2"/>
  <c r="AN32" i="2"/>
  <c r="AN48" i="2"/>
  <c r="AN67" i="2"/>
  <c r="AN196" i="2"/>
  <c r="AN108" i="2"/>
  <c r="AN104" i="2"/>
  <c r="AN31" i="2"/>
  <c r="AN145" i="2"/>
  <c r="AN129" i="2"/>
  <c r="AN28" i="2"/>
  <c r="AN17" i="2"/>
  <c r="AN198" i="2"/>
  <c r="AN127" i="2"/>
  <c r="AN155" i="2"/>
  <c r="AN54" i="2"/>
  <c r="AN102" i="2"/>
  <c r="AN157" i="2"/>
  <c r="AN109" i="2"/>
  <c r="AN99" i="2"/>
  <c r="AN144" i="2"/>
  <c r="AN7" i="2"/>
  <c r="AN82" i="2"/>
  <c r="AN49" i="2"/>
  <c r="AN6" i="2"/>
  <c r="AN87" i="2"/>
  <c r="AN46" i="2"/>
  <c r="AN202" i="2"/>
  <c r="AN193" i="2"/>
  <c r="AN169" i="2"/>
  <c r="AN182" i="2"/>
  <c r="AN10" i="2"/>
  <c r="AN92" i="2"/>
  <c r="AN71" i="2"/>
  <c r="AN85" i="2"/>
  <c r="AN187" i="2"/>
  <c r="AN95" i="2"/>
  <c r="AN72" i="2"/>
  <c r="AN111" i="2"/>
  <c r="AN58" i="2"/>
  <c r="AN150" i="2"/>
  <c r="AN64" i="2"/>
  <c r="AN73" i="2"/>
  <c r="AN183" i="2"/>
  <c r="AN8" i="2"/>
  <c r="AN112" i="2"/>
  <c r="AN172" i="2"/>
  <c r="AN84" i="2"/>
  <c r="AN78" i="2"/>
  <c r="AN186" i="2"/>
  <c r="AN30" i="2"/>
  <c r="AN122" i="2"/>
  <c r="AN105" i="2"/>
  <c r="AN52" i="2"/>
  <c r="AN135" i="2"/>
  <c r="AN65" i="2"/>
  <c r="AN89" i="2"/>
  <c r="AN197" i="2"/>
  <c r="AN21" i="2"/>
  <c r="AN35" i="2"/>
  <c r="AN118" i="2"/>
  <c r="AN124" i="2"/>
  <c r="AN179" i="2"/>
  <c r="AN192" i="2"/>
  <c r="AN123" i="2"/>
  <c r="AN125" i="2"/>
  <c r="AN12" i="2"/>
  <c r="AN114" i="2"/>
  <c r="AN45" i="2"/>
  <c r="AN191" i="2"/>
  <c r="AN190" i="2"/>
  <c r="AN40" i="2"/>
  <c r="AN200" i="2"/>
  <c r="AN174" i="2"/>
  <c r="AN131" i="2"/>
  <c r="AN133" i="2"/>
  <c r="AN50" i="2"/>
  <c r="AN138" i="2"/>
  <c r="AN176" i="2"/>
  <c r="AN51" i="2"/>
  <c r="AN184" i="2"/>
  <c r="AN117" i="2"/>
  <c r="AN126" i="2"/>
  <c r="AN167" i="2"/>
  <c r="AN43" i="2"/>
  <c r="AN166" i="2"/>
  <c r="AN178" i="2"/>
  <c r="AN93" i="2"/>
  <c r="AN170" i="2"/>
  <c r="AN81" i="2"/>
  <c r="AN180" i="2"/>
  <c r="AN22" i="2"/>
  <c r="AN34" i="2"/>
  <c r="AN55" i="2"/>
  <c r="AN158" i="2"/>
  <c r="AN121" i="2"/>
  <c r="AN76" i="2"/>
  <c r="AN44" i="2"/>
  <c r="AN18" i="2"/>
  <c r="AN96" i="2"/>
  <c r="AN173" i="2"/>
  <c r="AN36" i="2"/>
  <c r="AN100" i="2"/>
  <c r="AN137" i="2"/>
  <c r="AN77" i="2"/>
  <c r="AN107" i="2"/>
  <c r="AN74" i="2"/>
  <c r="AN148" i="2"/>
  <c r="AN69" i="2"/>
  <c r="AN162" i="2"/>
  <c r="AN16" i="2"/>
  <c r="AN149" i="2"/>
  <c r="AN101" i="2"/>
  <c r="AN80" i="2"/>
  <c r="AN120" i="2"/>
  <c r="AN53" i="2"/>
  <c r="AN142" i="2"/>
  <c r="AN13" i="2"/>
  <c r="AN156" i="2"/>
  <c r="AN24" i="2"/>
  <c r="AN4" i="2"/>
  <c r="AN147" i="2"/>
  <c r="AN42" i="2"/>
  <c r="AN70" i="2"/>
  <c r="AN11" i="2"/>
  <c r="AN79" i="2"/>
  <c r="AN189" i="2"/>
  <c r="AN14" i="2"/>
  <c r="AN9" i="2"/>
  <c r="AN165" i="2"/>
  <c r="AN159" i="2"/>
  <c r="AN75" i="2"/>
  <c r="AN20" i="2"/>
  <c r="AN160" i="2"/>
  <c r="AN113" i="2"/>
  <c r="AN3" i="2"/>
  <c r="C7" i="4" s="1"/>
  <c r="E7" i="4" s="1"/>
  <c r="F7" i="4" s="1"/>
  <c r="G7" i="4" s="1"/>
  <c r="L7" i="4" s="1"/>
  <c r="AN56" i="2"/>
  <c r="AN68" i="2"/>
  <c r="AN140" i="2"/>
  <c r="AN88" i="2"/>
  <c r="AN201" i="2"/>
  <c r="AN94" i="2"/>
  <c r="AN23" i="2"/>
  <c r="AN29" i="2"/>
  <c r="AN181" i="2"/>
  <c r="AN128" i="2"/>
  <c r="AN106" i="2"/>
  <c r="AN97" i="2"/>
  <c r="AN27" i="2"/>
  <c r="AN66" i="2"/>
  <c r="AN139" i="2"/>
  <c r="AN188" i="2"/>
  <c r="AN91" i="2"/>
  <c r="AN177" i="2"/>
  <c r="AN37" i="2"/>
  <c r="AN136" i="2"/>
  <c r="AN152" i="2"/>
  <c r="AN33" i="2"/>
  <c r="AN86" i="2"/>
  <c r="AN153" i="2"/>
  <c r="AN47" i="2"/>
  <c r="AN41" i="2"/>
  <c r="AN61" i="2"/>
  <c r="AN203" i="2"/>
  <c r="AN199" i="2"/>
  <c r="AN195" i="2"/>
  <c r="AN130" i="2"/>
  <c r="AN171" i="2"/>
  <c r="AN57" i="2"/>
  <c r="AN161" i="2"/>
  <c r="AN103" i="2"/>
  <c r="AN83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200" i="2" l="1"/>
  <c r="BI79" i="2"/>
  <c r="BI81" i="2"/>
  <c r="BI115" i="2"/>
  <c r="BI31" i="2"/>
  <c r="BI45" i="2"/>
  <c r="BI194" i="2"/>
  <c r="BI23" i="2"/>
  <c r="BI47" i="2"/>
  <c r="BI201" i="2"/>
  <c r="BI120" i="2"/>
  <c r="BI179" i="2"/>
  <c r="BI76" i="2"/>
  <c r="BI124" i="2"/>
  <c r="BI187" i="2"/>
  <c r="BI88" i="2"/>
  <c r="BI186" i="2"/>
  <c r="BI65" i="2"/>
  <c r="BI9" i="2"/>
  <c r="BI163" i="2"/>
  <c r="BI141" i="2"/>
  <c r="BI42" i="2"/>
  <c r="BI155" i="2"/>
  <c r="BI84" i="2"/>
  <c r="BI91" i="2"/>
  <c r="BI7" i="2"/>
  <c r="BI41" i="2"/>
  <c r="BI116" i="2"/>
  <c r="BI199" i="2"/>
  <c r="BI170" i="2"/>
  <c r="BI151" i="2"/>
  <c r="BI28" i="2"/>
  <c r="BI180" i="2"/>
  <c r="BI22" i="2"/>
  <c r="BI8" i="2"/>
  <c r="BI174" i="2"/>
  <c r="BI114" i="2"/>
  <c r="BI61" i="2"/>
  <c r="BI75" i="2"/>
  <c r="BI103" i="2"/>
  <c r="BI36" i="2"/>
  <c r="BI202" i="2"/>
  <c r="BI52" i="2"/>
  <c r="BI100" i="2"/>
  <c r="BI96" i="2"/>
  <c r="BI181" i="2"/>
  <c r="BI37" i="2"/>
  <c r="BI135" i="2"/>
  <c r="BI166" i="2"/>
  <c r="BI80" i="2"/>
  <c r="BI150" i="2"/>
  <c r="BI92" i="2"/>
  <c r="BI183" i="2"/>
  <c r="BI137" i="2"/>
  <c r="BI94" i="2"/>
  <c r="BI168" i="2"/>
  <c r="BI129" i="2"/>
  <c r="BI144" i="2"/>
  <c r="BI39" i="2"/>
  <c r="BI125" i="2"/>
  <c r="BI60" i="2"/>
  <c r="BI147" i="2"/>
  <c r="BI13" i="2"/>
  <c r="BI86" i="2"/>
  <c r="BI189" i="2"/>
  <c r="BI175" i="2"/>
  <c r="BI108" i="2"/>
  <c r="BI78" i="2"/>
  <c r="BI112" i="2"/>
  <c r="BI118" i="2"/>
  <c r="BI26" i="2"/>
  <c r="BI134" i="2"/>
  <c r="BI133" i="2"/>
  <c r="BI162" i="2"/>
  <c r="BI24" i="2"/>
  <c r="BI177" i="2"/>
  <c r="BI48" i="2"/>
  <c r="BI32" i="2"/>
  <c r="BI198" i="2"/>
  <c r="BI142" i="2"/>
  <c r="BI203" i="2"/>
  <c r="BI110" i="2"/>
  <c r="BI178" i="2"/>
  <c r="BI184" i="2"/>
  <c r="BI171" i="2"/>
  <c r="BI29" i="2"/>
  <c r="BI87" i="2"/>
  <c r="BI27" i="2"/>
  <c r="BI130" i="2"/>
  <c r="BI35" i="2"/>
  <c r="BI107" i="2"/>
  <c r="BI152" i="2"/>
  <c r="BI11" i="2"/>
  <c r="BI20" i="2"/>
  <c r="BI192" i="2"/>
  <c r="BI63" i="2"/>
  <c r="BI157" i="2"/>
  <c r="BI136" i="2"/>
  <c r="BI56" i="2"/>
  <c r="BI99" i="2"/>
  <c r="BI14" i="2"/>
  <c r="BI51" i="2"/>
  <c r="BI101" i="2"/>
  <c r="BI121" i="2"/>
  <c r="BI43" i="2"/>
  <c r="BI148" i="2"/>
  <c r="BI93" i="2"/>
  <c r="BI97" i="2"/>
  <c r="BI167" i="2"/>
  <c r="BI117" i="2"/>
  <c r="BI197" i="2"/>
  <c r="BI15" i="2"/>
  <c r="BI85" i="2"/>
  <c r="BI25" i="2"/>
  <c r="BI140" i="2"/>
  <c r="BI72" i="2"/>
  <c r="BI191" i="2"/>
  <c r="BI159" i="2"/>
  <c r="BI123" i="2"/>
  <c r="BI127" i="2"/>
  <c r="BI21" i="2"/>
  <c r="BI16" i="2"/>
  <c r="BI131" i="2"/>
  <c r="BI62" i="2"/>
  <c r="BI4" i="2"/>
  <c r="BI193" i="2"/>
  <c r="BI17" i="2"/>
  <c r="BI57" i="2"/>
  <c r="BI138" i="2"/>
  <c r="BI160" i="2"/>
  <c r="BI195" i="2"/>
  <c r="BI83" i="2"/>
  <c r="BI169" i="2"/>
  <c r="BI95" i="2"/>
  <c r="BI44" i="2"/>
  <c r="BI40" i="2"/>
  <c r="BI182" i="2"/>
  <c r="BI145" i="2"/>
  <c r="BI74" i="2"/>
  <c r="BI132" i="2"/>
  <c r="BI90" i="2"/>
  <c r="BI156" i="2"/>
  <c r="BI139" i="2"/>
  <c r="BI109" i="2"/>
  <c r="BI66" i="2"/>
  <c r="BI146" i="2"/>
  <c r="BI128" i="2"/>
  <c r="BI5" i="2"/>
  <c r="BI64" i="2"/>
  <c r="BI34" i="2"/>
  <c r="BI58" i="2"/>
  <c r="BI126" i="2"/>
  <c r="BI77" i="2"/>
  <c r="BI119" i="2"/>
  <c r="BI3" i="2"/>
  <c r="C8" i="4" s="1"/>
  <c r="E8" i="4" s="1"/>
  <c r="F8" i="4" s="1"/>
  <c r="G8" i="4" s="1"/>
  <c r="L8" i="4" s="1"/>
  <c r="BI113" i="2"/>
  <c r="BI173" i="2"/>
  <c r="BI149" i="2"/>
  <c r="BI70" i="2"/>
  <c r="BI111" i="2"/>
  <c r="BI104" i="2"/>
  <c r="BI190" i="2"/>
  <c r="BI106" i="2"/>
  <c r="BI59" i="2"/>
  <c r="BI172" i="2"/>
  <c r="BI161" i="2"/>
  <c r="BI55" i="2"/>
  <c r="BI67" i="2"/>
  <c r="BI71" i="2"/>
  <c r="BI143" i="2"/>
  <c r="BI82" i="2"/>
  <c r="BI102" i="2"/>
  <c r="BI89" i="2"/>
  <c r="BI49" i="2"/>
  <c r="BI196" i="2"/>
  <c r="BI176" i="2"/>
  <c r="BI153" i="2"/>
  <c r="BI10" i="2"/>
  <c r="BI12" i="2"/>
  <c r="BI53" i="2"/>
  <c r="BI73" i="2"/>
  <c r="BI122" i="2"/>
  <c r="BI38" i="2"/>
  <c r="BI98" i="2"/>
  <c r="BI165" i="2"/>
  <c r="BI50" i="2"/>
  <c r="BI188" i="2"/>
  <c r="BI30" i="2"/>
  <c r="BI164" i="2"/>
  <c r="BI6" i="2"/>
  <c r="BI33" i="2"/>
  <c r="BI105" i="2"/>
  <c r="BI154" i="2"/>
  <c r="BI18" i="2"/>
  <c r="BI46" i="2"/>
  <c r="BI19" i="2"/>
  <c r="BI158" i="2"/>
  <c r="BI68" i="2"/>
  <c r="BI185" i="2"/>
  <c r="BI69" i="2"/>
  <c r="BI54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<sst xmlns="http://schemas.openxmlformats.org/spreadsheetml/2006/main" count="1168" uniqueCount="324">
  <si>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</si>
  <si>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</si>
  <si>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</si>
  <si>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</si>
  <si>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</si>
  <si>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</si>
  <si>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</si>
  <si>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</si>
  <si>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</si>
  <si>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</si>
  <si>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</si>
  <si>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</si>
  <si>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</si>
  <si>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</si>
  <si>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</si>
  <si>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</si>
  <si>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</si>
  <si>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</si>
  <si>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</si>
  <si>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</si>
  <si>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</si>
  <si>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</si>
  <si>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</si>
  <si>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</si>
  <si>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</si>
  <si>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</si>
  <si>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</si>
  <si>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</si>
  <si>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</si>
  <si>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</si>
  <si>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</si>
  <si>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</si>
  <si>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</si>
  <si>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</si>
  <si>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</si>
  <si>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</si>
  <si>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</si>
  <si>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</si>
  <si>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</si>
  <si>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</si>
  <si>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</si>
  <si>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</si>
  <si>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</si>
  <si>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</si>
  <si>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</si>
  <si>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</si>
  <si>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</si>
  <si>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</si>
  <si>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</si>
  <si>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</si>
  <si>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</si>
  <si>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</si>
  <si>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</si>
  <si>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</si>
  <si>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</si>
  <si>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</si>
  <si>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</si>
  <si>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</si>
  <si>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</si>
  <si>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</si>
  <si>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</si>
  <si>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</si>
  <si>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</si>
  <si>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</si>
  <si>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</si>
  <si>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</si>
  <si>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</si>
  <si>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</si>
  <si>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</si>
  <si>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commun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</si>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</sst>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F5" zoomScale="64" zoomScaleNormal="80" workbookViewId="0">
      <selection activeCell="N67" sqref="N67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17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0.8</v>
      </c>
      <c r="D9" s="33">
        <f t="shared" ref="D9:D18" si="0">C9*$C$5</f>
        <v>13.600000000000001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0.2</v>
      </c>
      <c r="D10" s="33">
        <f t="shared" si="0"/>
        <v>3.4000000000000004</v>
      </c>
      <c r="E10" s="34">
        <v>76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21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22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23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24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25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26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27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28</v>
      </c>
      <c r="C19" s="37">
        <f>SUM(C9:C18)</f>
        <v>1</v>
      </c>
      <c r="D19" s="38">
        <f>SUM(D9:D18)</f>
        <v>17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29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30</v>
      </c>
      <c r="B24" s="42" t="s">
        <v>31</v>
      </c>
      <c r="C24" s="43">
        <v>0</v>
      </c>
      <c r="D24" s="44" t="s">
        <v>32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33</v>
      </c>
      <c r="B25" s="42" t="s">
        <v>34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35</v>
      </c>
      <c r="B26" s="42" t="s">
        <v>36</v>
      </c>
      <c r="C26" s="43">
        <v>0</v>
      </c>
      <c r="D26" s="44" t="s">
        <v>37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38</v>
      </c>
      <c r="B27" s="42" t="s">
        <v>39</v>
      </c>
      <c r="C27" s="43">
        <v>0</v>
      </c>
      <c r="D27" s="44" t="s">
        <v>40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41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Douglas</v>
      </c>
      <c r="D32" s="229" t="s">
        <v>42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43</v>
      </c>
      <c r="C34" s="258" t="s">
        <v>44</v>
      </c>
      <c r="D34" s="258"/>
      <c r="E34" s="259" t="s">
        <v>45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46</v>
      </c>
      <c r="B35" s="36" t="s">
        <v>47</v>
      </c>
      <c r="C35" s="48" t="s">
        <v>48</v>
      </c>
      <c r="D35" s="48" t="s">
        <v>49</v>
      </c>
      <c r="E35" s="36" t="s">
        <v>50</v>
      </c>
      <c r="F35" s="36" t="s">
        <v>51</v>
      </c>
      <c r="G35" s="36" t="s">
        <v>52</v>
      </c>
      <c r="H35" s="36" t="s">
        <v>53</v>
      </c>
      <c r="I35" s="48" t="s">
        <v>54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18</v>
      </c>
      <c r="B36" s="60">
        <v>182.89230769230767</v>
      </c>
      <c r="C36" s="60">
        <v>1</v>
      </c>
      <c r="D36" s="60">
        <v>69.284615384615378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10.16068376068376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24</v>
      </c>
      <c r="B37" s="60">
        <v>237.56153846153845</v>
      </c>
      <c r="C37" s="60">
        <v>2</v>
      </c>
      <c r="D37" s="60">
        <v>42.661538461538463</v>
      </c>
      <c r="E37" s="51">
        <v>0.7</v>
      </c>
      <c r="F37" s="51">
        <v>0.16800000000000001</v>
      </c>
      <c r="G37" s="51">
        <v>0.13200000000000001</v>
      </c>
      <c r="H37" s="51">
        <v>0</v>
      </c>
      <c r="I37" s="53">
        <f t="shared" ref="I37:I55" si="1">IF(A37&lt;&gt;0,(B37-(B36-D36))/(A37-A36),"")</f>
        <v>20.658974358974358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30</v>
      </c>
      <c r="B38" s="60">
        <v>331.86923076923074</v>
      </c>
      <c r="C38" s="60">
        <v>3</v>
      </c>
      <c r="D38" s="60">
        <v>65.669230769230765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22.828205128205127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36</v>
      </c>
      <c r="B39" s="60">
        <v>403.50769230769237</v>
      </c>
      <c r="C39" s="60">
        <v>4</v>
      </c>
      <c r="D39" s="60">
        <v>69.3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22.884615384615397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42</v>
      </c>
      <c r="B40" s="60">
        <v>468.72307692307686</v>
      </c>
      <c r="C40" s="60">
        <v>5</v>
      </c>
      <c r="D40" s="60">
        <v>73.392307692307682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22.419230769230751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525.0846153846154</v>
      </c>
      <c r="C41" s="60">
        <v>6</v>
      </c>
      <c r="D41" s="60">
        <v>81.330769230769235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21.625641025641034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54</v>
      </c>
      <c r="B42" s="60">
        <v>566.79999999999995</v>
      </c>
      <c r="C42" s="60">
        <v>7</v>
      </c>
      <c r="D42" s="60">
        <v>566.79999999999995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20.507692307692299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Pin laricio</v>
      </c>
      <c r="D58" s="229" t="s">
        <v>42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43</v>
      </c>
      <c r="C60" s="258" t="s">
        <v>44</v>
      </c>
      <c r="D60" s="258"/>
      <c r="E60" s="259" t="s">
        <v>45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46</v>
      </c>
      <c r="B61" s="36" t="s">
        <v>47</v>
      </c>
      <c r="C61" s="48" t="s">
        <v>48</v>
      </c>
      <c r="D61" s="48" t="s">
        <v>49</v>
      </c>
      <c r="E61" s="36" t="s">
        <v>50</v>
      </c>
      <c r="F61" s="36" t="s">
        <v>51</v>
      </c>
      <c r="G61" s="36" t="s">
        <v>52</v>
      </c>
      <c r="H61" s="36" t="s">
        <v>53</v>
      </c>
      <c r="I61" s="48" t="s">
        <v>54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19</v>
      </c>
      <c r="B62" s="60">
        <v>127.98461538461538</v>
      </c>
      <c r="C62" s="60">
        <v>1</v>
      </c>
      <c r="D62" s="60">
        <v>46.53846153846154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6.7360323886639675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24</v>
      </c>
      <c r="B63" s="60">
        <v>159.94615384615383</v>
      </c>
      <c r="C63" s="60">
        <v>2</v>
      </c>
      <c r="D63" s="60">
        <v>40.41538461538461</v>
      </c>
      <c r="E63" s="51">
        <v>0.7</v>
      </c>
      <c r="F63" s="51">
        <v>0.16800000000000001</v>
      </c>
      <c r="G63" s="51">
        <v>0.13200000000000001</v>
      </c>
      <c r="H63" s="51">
        <v>0</v>
      </c>
      <c r="I63" s="49">
        <f>IF(A63&lt;&gt;0,(B63-(B62-D62))/(A63-A62),"")</f>
        <v>15.7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30</v>
      </c>
      <c r="B64" s="60">
        <v>215.65384615384616</v>
      </c>
      <c r="C64" s="60">
        <v>3</v>
      </c>
      <c r="D64" s="60">
        <v>55.869230769230761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16.020512820512824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37</v>
      </c>
      <c r="B65" s="60">
        <v>268.16923076923075</v>
      </c>
      <c r="C65" s="60">
        <v>4</v>
      </c>
      <c r="D65" s="60">
        <v>43.623076923076923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15.48351648351648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46</v>
      </c>
      <c r="B66" s="60">
        <v>362.82307692307688</v>
      </c>
      <c r="C66" s="60">
        <v>5</v>
      </c>
      <c r="D66" s="60">
        <v>72.561538461538461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15.364102564102561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56</v>
      </c>
      <c r="B67" s="60">
        <v>428.20000000000005</v>
      </c>
      <c r="C67" s="60">
        <v>6</v>
      </c>
      <c r="D67" s="60">
        <v>60.092307692307692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13.793846153846165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66</v>
      </c>
      <c r="B68" s="60">
        <v>488.65384615384613</v>
      </c>
      <c r="C68" s="60">
        <v>7</v>
      </c>
      <c r="D68" s="60">
        <v>68.146153846153851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12.05461538461538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76</v>
      </c>
      <c r="B69" s="50">
        <v>520.22307692307686</v>
      </c>
      <c r="C69" s="50">
        <v>8</v>
      </c>
      <c r="D69" s="50">
        <v>520.22307692307686</v>
      </c>
      <c r="E69" s="51">
        <v>0.7</v>
      </c>
      <c r="F69" s="51">
        <v>0.16800000000000001</v>
      </c>
      <c r="G69" s="51">
        <v>0.13200000000000001</v>
      </c>
      <c r="H69" s="51">
        <v>0</v>
      </c>
      <c r="I69" s="49">
        <f t="shared" si="2"/>
        <v>9.9715384615384544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/>
      </c>
      <c r="D84" s="229" t="s">
        <v>42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43</v>
      </c>
      <c r="C86" s="258" t="s">
        <v>44</v>
      </c>
      <c r="D86" s="258"/>
      <c r="E86" s="259" t="s">
        <v>45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46</v>
      </c>
      <c r="B87" s="36" t="s">
        <v>47</v>
      </c>
      <c r="C87" s="48" t="s">
        <v>48</v>
      </c>
      <c r="D87" s="48" t="s">
        <v>49</v>
      </c>
      <c r="E87" s="36" t="s">
        <v>50</v>
      </c>
      <c r="F87" s="36" t="s">
        <v>51</v>
      </c>
      <c r="G87" s="36" t="s">
        <v>52</v>
      </c>
      <c r="H87" s="36" t="s">
        <v>53</v>
      </c>
      <c r="I87" s="48" t="s">
        <v>54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21</v>
      </c>
      <c r="B110" s="52" t="str">
        <f>IF(B12="","",B12)</f>
        <v/>
      </c>
      <c r="D110" s="229" t="s">
        <v>42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43</v>
      </c>
      <c r="C112" s="258" t="s">
        <v>44</v>
      </c>
      <c r="D112" s="258"/>
      <c r="E112" s="259" t="s">
        <v>45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46</v>
      </c>
      <c r="B113" s="36" t="s">
        <v>47</v>
      </c>
      <c r="C113" s="48" t="s">
        <v>48</v>
      </c>
      <c r="D113" s="48" t="s">
        <v>49</v>
      </c>
      <c r="E113" s="36" t="s">
        <v>50</v>
      </c>
      <c r="F113" s="36" t="s">
        <v>51</v>
      </c>
      <c r="G113" s="36" t="s">
        <v>52</v>
      </c>
      <c r="H113" s="36" t="s">
        <v>53</v>
      </c>
      <c r="I113" s="48" t="s">
        <v>54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22</v>
      </c>
      <c r="B136" s="52" t="str">
        <f>IF(B13="","",B13)</f>
        <v/>
      </c>
      <c r="D136" s="229" t="s">
        <v>42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43</v>
      </c>
      <c r="C138" s="258" t="s">
        <v>44</v>
      </c>
      <c r="D138" s="258"/>
      <c r="E138" s="259" t="s">
        <v>45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46</v>
      </c>
      <c r="B139" s="36" t="s">
        <v>47</v>
      </c>
      <c r="C139" s="48" t="s">
        <v>48</v>
      </c>
      <c r="D139" s="48" t="s">
        <v>49</v>
      </c>
      <c r="E139" s="36" t="s">
        <v>50</v>
      </c>
      <c r="F139" s="36" t="s">
        <v>51</v>
      </c>
      <c r="G139" s="36" t="s">
        <v>52</v>
      </c>
      <c r="H139" s="36" t="s">
        <v>53</v>
      </c>
      <c r="I139" s="48" t="s">
        <v>54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23</v>
      </c>
      <c r="B162" s="52" t="str">
        <f>IF(B14="","",B14)</f>
        <v/>
      </c>
      <c r="D162" s="229" t="s">
        <v>42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43</v>
      </c>
      <c r="C164" s="258" t="s">
        <v>44</v>
      </c>
      <c r="D164" s="258"/>
      <c r="E164" s="259" t="s">
        <v>45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46</v>
      </c>
      <c r="B165" s="36" t="s">
        <v>47</v>
      </c>
      <c r="C165" s="48" t="s">
        <v>48</v>
      </c>
      <c r="D165" s="48" t="s">
        <v>49</v>
      </c>
      <c r="E165" s="36" t="s">
        <v>50</v>
      </c>
      <c r="F165" s="36" t="s">
        <v>51</v>
      </c>
      <c r="G165" s="36" t="s">
        <v>52</v>
      </c>
      <c r="H165" s="36" t="s">
        <v>53</v>
      </c>
      <c r="I165" s="48" t="s">
        <v>54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24</v>
      </c>
      <c r="B188" s="52" t="str">
        <f>IF(B15="","",B15)</f>
        <v/>
      </c>
      <c r="D188" s="229" t="s">
        <v>42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43</v>
      </c>
      <c r="C190" s="258" t="s">
        <v>44</v>
      </c>
      <c r="D190" s="258"/>
      <c r="E190" s="259" t="s">
        <v>45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46</v>
      </c>
      <c r="B191" s="36" t="s">
        <v>47</v>
      </c>
      <c r="C191" s="48" t="s">
        <v>48</v>
      </c>
      <c r="D191" s="48" t="s">
        <v>49</v>
      </c>
      <c r="E191" s="36" t="s">
        <v>50</v>
      </c>
      <c r="F191" s="36" t="s">
        <v>51</v>
      </c>
      <c r="G191" s="36" t="s">
        <v>52</v>
      </c>
      <c r="H191" s="36" t="s">
        <v>53</v>
      </c>
      <c r="I191" s="48" t="s">
        <v>54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25</v>
      </c>
      <c r="B214" s="52" t="str">
        <f>IF(B16="","",B16)</f>
        <v/>
      </c>
      <c r="D214" s="229" t="s">
        <v>42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43</v>
      </c>
      <c r="C216" s="258" t="s">
        <v>44</v>
      </c>
      <c r="D216" s="258"/>
      <c r="E216" s="259" t="s">
        <v>45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46</v>
      </c>
      <c r="B217" s="36" t="s">
        <v>47</v>
      </c>
      <c r="C217" s="48" t="s">
        <v>48</v>
      </c>
      <c r="D217" s="48" t="s">
        <v>49</v>
      </c>
      <c r="E217" s="36" t="s">
        <v>50</v>
      </c>
      <c r="F217" s="36" t="s">
        <v>51</v>
      </c>
      <c r="G217" s="36" t="s">
        <v>52</v>
      </c>
      <c r="H217" s="36" t="s">
        <v>53</v>
      </c>
      <c r="I217" s="48" t="s">
        <v>54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26</v>
      </c>
      <c r="B240" s="52" t="str">
        <f>IF(B17="","",B17)</f>
        <v/>
      </c>
      <c r="D240" s="229" t="s">
        <v>42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43</v>
      </c>
      <c r="C242" s="258" t="s">
        <v>44</v>
      </c>
      <c r="D242" s="258"/>
      <c r="E242" s="259" t="s">
        <v>45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46</v>
      </c>
      <c r="B243" s="36" t="s">
        <v>47</v>
      </c>
      <c r="C243" s="48" t="s">
        <v>48</v>
      </c>
      <c r="D243" s="48" t="s">
        <v>49</v>
      </c>
      <c r="E243" s="36" t="s">
        <v>50</v>
      </c>
      <c r="F243" s="36" t="s">
        <v>51</v>
      </c>
      <c r="G243" s="36" t="s">
        <v>52</v>
      </c>
      <c r="H243" s="36" t="s">
        <v>53</v>
      </c>
      <c r="I243" s="48" t="s">
        <v>54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27</v>
      </c>
      <c r="B266" s="52" t="str">
        <f>IF(B18="","",B18)</f>
        <v/>
      </c>
      <c r="D266" s="229" t="s">
        <v>42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43</v>
      </c>
      <c r="C268" s="258" t="s">
        <v>44</v>
      </c>
      <c r="D268" s="258"/>
      <c r="E268" s="259" t="s">
        <v>45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46</v>
      </c>
      <c r="B269" s="36" t="s">
        <v>47</v>
      </c>
      <c r="C269" s="48" t="s">
        <v>48</v>
      </c>
      <c r="D269" s="48" t="s">
        <v>49</v>
      </c>
      <c r="E269" s="36" t="s">
        <v>50</v>
      </c>
      <c r="F269" s="36" t="s">
        <v>51</v>
      </c>
      <c r="G269" s="36" t="s">
        <v>52</v>
      </c>
      <c r="H269" s="36" t="s">
        <v>53</v>
      </c>
      <c r="I269" s="48" t="s">
        <v>54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="65" zoomScaleNormal="100" workbookViewId="0">
      <selection activeCell="G20" sqref="G20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55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57</v>
      </c>
      <c r="C7" s="100" t="s">
        <v>58</v>
      </c>
      <c r="D7" s="215"/>
      <c r="E7" s="101"/>
      <c r="F7" s="26" t="s">
        <v>57</v>
      </c>
      <c r="G7" s="100" t="s">
        <v>59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60</v>
      </c>
      <c r="D8" s="23"/>
      <c r="E8" s="105">
        <v>4</v>
      </c>
      <c r="F8" s="61">
        <v>1</v>
      </c>
      <c r="G8" s="102" t="s">
        <v>61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62</v>
      </c>
      <c r="D9" s="23"/>
      <c r="E9" s="105">
        <v>5</v>
      </c>
      <c r="F9" s="61">
        <v>0</v>
      </c>
      <c r="G9" s="103" t="s">
        <v>63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64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65</v>
      </c>
      <c r="D13" s="216"/>
      <c r="E13" s="99"/>
      <c r="F13" s="107"/>
      <c r="G13" s="98" t="s">
        <v>66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67</v>
      </c>
      <c r="D14" s="216"/>
      <c r="E14" s="99"/>
      <c r="F14" s="107"/>
      <c r="G14" s="98" t="s">
        <v>68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57</v>
      </c>
      <c r="C15" s="4"/>
      <c r="D15" s="23"/>
      <c r="E15" s="4"/>
      <c r="F15" s="4"/>
      <c r="G15" s="2" t="s">
        <v>69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70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71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72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73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74</v>
      </c>
      <c r="B2" s="72" t="s">
        <v>75</v>
      </c>
      <c r="C2" s="5" t="s">
        <v>76</v>
      </c>
      <c r="D2" s="5" t="s">
        <v>77</v>
      </c>
      <c r="E2" s="5" t="s">
        <v>78</v>
      </c>
      <c r="F2" s="5" t="s">
        <v>79</v>
      </c>
      <c r="G2" s="5" t="s">
        <v>80</v>
      </c>
      <c r="H2" s="66" t="s">
        <v>81</v>
      </c>
      <c r="I2" s="68" t="s">
        <v>78</v>
      </c>
      <c r="J2" s="69" t="s">
        <v>79</v>
      </c>
      <c r="K2" s="6" t="s">
        <v>82</v>
      </c>
      <c r="L2" s="6" t="s">
        <v>83</v>
      </c>
      <c r="M2" s="6" t="s">
        <v>83</v>
      </c>
      <c r="N2" s="6" t="s">
        <v>84</v>
      </c>
      <c r="O2" s="6" t="s">
        <v>85</v>
      </c>
      <c r="P2" s="6" t="s">
        <v>86</v>
      </c>
      <c r="Q2" s="6" t="s">
        <v>80</v>
      </c>
      <c r="R2" s="6" t="s">
        <v>87</v>
      </c>
      <c r="S2" s="6" t="s">
        <v>88</v>
      </c>
      <c r="T2" s="6" t="s">
        <v>89</v>
      </c>
      <c r="U2" s="7" t="s">
        <v>90</v>
      </c>
      <c r="V2" s="8" t="s">
        <v>91</v>
      </c>
      <c r="W2" s="7" t="s">
        <v>50</v>
      </c>
      <c r="X2" s="7" t="s">
        <v>51</v>
      </c>
      <c r="Y2" s="7" t="s">
        <v>92</v>
      </c>
      <c r="Z2" s="8" t="s">
        <v>93</v>
      </c>
      <c r="AA2" s="8" t="s">
        <v>94</v>
      </c>
      <c r="AB2" s="8" t="s">
        <v>95</v>
      </c>
      <c r="AC2" s="9" t="s">
        <v>96</v>
      </c>
      <c r="AD2" s="69" t="s">
        <v>78</v>
      </c>
      <c r="AE2" s="69" t="s">
        <v>79</v>
      </c>
      <c r="AF2" s="6" t="s">
        <v>82</v>
      </c>
      <c r="AG2" s="6" t="s">
        <v>83</v>
      </c>
      <c r="AH2" s="6" t="s">
        <v>83</v>
      </c>
      <c r="AI2" s="6" t="s">
        <v>84</v>
      </c>
      <c r="AJ2" s="6" t="s">
        <v>85</v>
      </c>
      <c r="AK2" s="6" t="s">
        <v>86</v>
      </c>
      <c r="AL2" s="6" t="s">
        <v>80</v>
      </c>
      <c r="AM2" s="6" t="s">
        <v>87</v>
      </c>
      <c r="AN2" s="6" t="s">
        <v>88</v>
      </c>
      <c r="AO2" s="6" t="s">
        <v>89</v>
      </c>
      <c r="AP2" s="7" t="s">
        <v>90</v>
      </c>
      <c r="AQ2" s="8" t="s">
        <v>91</v>
      </c>
      <c r="AR2" s="7" t="s">
        <v>50</v>
      </c>
      <c r="AS2" s="7" t="s">
        <v>51</v>
      </c>
      <c r="AT2" s="8" t="s">
        <v>97</v>
      </c>
      <c r="AU2" s="8" t="s">
        <v>93</v>
      </c>
      <c r="AV2" s="8" t="s">
        <v>94</v>
      </c>
      <c r="AW2" s="8" t="s">
        <v>95</v>
      </c>
      <c r="AX2" s="8" t="s">
        <v>96</v>
      </c>
      <c r="AY2" s="68" t="s">
        <v>78</v>
      </c>
      <c r="AZ2" s="69" t="s">
        <v>79</v>
      </c>
      <c r="BA2" s="6" t="s">
        <v>82</v>
      </c>
      <c r="BB2" s="6" t="s">
        <v>83</v>
      </c>
      <c r="BC2" s="6" t="s">
        <v>83</v>
      </c>
      <c r="BD2" s="6" t="s">
        <v>84</v>
      </c>
      <c r="BE2" s="6" t="s">
        <v>85</v>
      </c>
      <c r="BF2" s="6" t="s">
        <v>86</v>
      </c>
      <c r="BG2" s="6" t="s">
        <v>80</v>
      </c>
      <c r="BH2" s="6" t="s">
        <v>87</v>
      </c>
      <c r="BI2" s="6" t="s">
        <v>88</v>
      </c>
      <c r="BJ2" s="6" t="s">
        <v>89</v>
      </c>
      <c r="BK2" s="7" t="s">
        <v>90</v>
      </c>
      <c r="BL2" s="8" t="s">
        <v>91</v>
      </c>
      <c r="BM2" s="7" t="s">
        <v>50</v>
      </c>
      <c r="BN2" s="7" t="s">
        <v>51</v>
      </c>
      <c r="BO2" s="8" t="s">
        <v>97</v>
      </c>
      <c r="BP2" s="8" t="s">
        <v>93</v>
      </c>
      <c r="BQ2" s="8" t="s">
        <v>94</v>
      </c>
      <c r="BR2" s="8" t="s">
        <v>95</v>
      </c>
      <c r="BS2" s="9" t="s">
        <v>96</v>
      </c>
      <c r="BT2" s="68" t="s">
        <v>78</v>
      </c>
      <c r="BU2" s="69" t="s">
        <v>79</v>
      </c>
      <c r="BV2" s="6" t="s">
        <v>82</v>
      </c>
      <c r="BW2" s="6" t="s">
        <v>83</v>
      </c>
      <c r="BX2" s="6" t="s">
        <v>83</v>
      </c>
      <c r="BY2" s="6" t="s">
        <v>84</v>
      </c>
      <c r="BZ2" s="6" t="s">
        <v>85</v>
      </c>
      <c r="CA2" s="6" t="s">
        <v>86</v>
      </c>
      <c r="CB2" s="6" t="s">
        <v>80</v>
      </c>
      <c r="CC2" s="6" t="s">
        <v>87</v>
      </c>
      <c r="CD2" s="6" t="s">
        <v>88</v>
      </c>
      <c r="CE2" s="6" t="s">
        <v>89</v>
      </c>
      <c r="CF2" s="7" t="s">
        <v>90</v>
      </c>
      <c r="CG2" s="8" t="s">
        <v>91</v>
      </c>
      <c r="CH2" s="7" t="s">
        <v>50</v>
      </c>
      <c r="CI2" s="7" t="s">
        <v>51</v>
      </c>
      <c r="CJ2" s="8" t="s">
        <v>97</v>
      </c>
      <c r="CK2" s="8" t="s">
        <v>93</v>
      </c>
      <c r="CL2" s="8" t="s">
        <v>94</v>
      </c>
      <c r="CM2" s="8" t="s">
        <v>95</v>
      </c>
      <c r="CN2" s="9" t="s">
        <v>96</v>
      </c>
      <c r="CO2" s="68" t="s">
        <v>78</v>
      </c>
      <c r="CP2" s="69" t="s">
        <v>79</v>
      </c>
      <c r="CQ2" s="6" t="s">
        <v>82</v>
      </c>
      <c r="CR2" s="6" t="s">
        <v>83</v>
      </c>
      <c r="CS2" s="6" t="s">
        <v>83</v>
      </c>
      <c r="CT2" s="6" t="s">
        <v>84</v>
      </c>
      <c r="CU2" s="6" t="s">
        <v>85</v>
      </c>
      <c r="CV2" s="6" t="s">
        <v>86</v>
      </c>
      <c r="CW2" s="6" t="s">
        <v>80</v>
      </c>
      <c r="CX2" s="6" t="s">
        <v>87</v>
      </c>
      <c r="CY2" s="6" t="s">
        <v>88</v>
      </c>
      <c r="CZ2" s="6" t="s">
        <v>89</v>
      </c>
      <c r="DA2" s="7" t="s">
        <v>90</v>
      </c>
      <c r="DB2" s="8" t="s">
        <v>91</v>
      </c>
      <c r="DC2" s="7" t="s">
        <v>50</v>
      </c>
      <c r="DD2" s="7" t="s">
        <v>51</v>
      </c>
      <c r="DE2" s="8" t="s">
        <v>97</v>
      </c>
      <c r="DF2" s="8" t="s">
        <v>93</v>
      </c>
      <c r="DG2" s="8" t="s">
        <v>94</v>
      </c>
      <c r="DH2" s="8" t="s">
        <v>95</v>
      </c>
      <c r="DI2" s="9" t="s">
        <v>96</v>
      </c>
      <c r="DJ2" s="68" t="s">
        <v>78</v>
      </c>
      <c r="DK2" s="69" t="s">
        <v>79</v>
      </c>
      <c r="DL2" s="6" t="s">
        <v>82</v>
      </c>
      <c r="DM2" s="6" t="s">
        <v>83</v>
      </c>
      <c r="DN2" s="6" t="s">
        <v>83</v>
      </c>
      <c r="DO2" s="6" t="s">
        <v>84</v>
      </c>
      <c r="DP2" s="6" t="s">
        <v>85</v>
      </c>
      <c r="DQ2" s="6" t="s">
        <v>86</v>
      </c>
      <c r="DR2" s="6" t="s">
        <v>80</v>
      </c>
      <c r="DS2" s="6" t="s">
        <v>87</v>
      </c>
      <c r="DT2" s="6" t="s">
        <v>88</v>
      </c>
      <c r="DU2" s="6" t="s">
        <v>89</v>
      </c>
      <c r="DV2" s="7" t="s">
        <v>90</v>
      </c>
      <c r="DW2" s="8" t="s">
        <v>91</v>
      </c>
      <c r="DX2" s="7" t="s">
        <v>50</v>
      </c>
      <c r="DY2" s="7" t="s">
        <v>51</v>
      </c>
      <c r="DZ2" s="8" t="s">
        <v>97</v>
      </c>
      <c r="EA2" s="8" t="s">
        <v>93</v>
      </c>
      <c r="EB2" s="8" t="s">
        <v>94</v>
      </c>
      <c r="EC2" s="8" t="s">
        <v>95</v>
      </c>
      <c r="ED2" s="9" t="s">
        <v>96</v>
      </c>
      <c r="EE2" s="68" t="s">
        <v>78</v>
      </c>
      <c r="EF2" s="69" t="s">
        <v>79</v>
      </c>
      <c r="EG2" s="6" t="s">
        <v>82</v>
      </c>
      <c r="EH2" s="6" t="s">
        <v>83</v>
      </c>
      <c r="EI2" s="6" t="s">
        <v>83</v>
      </c>
      <c r="EJ2" s="6" t="s">
        <v>84</v>
      </c>
      <c r="EK2" s="6" t="s">
        <v>85</v>
      </c>
      <c r="EL2" s="6" t="s">
        <v>86</v>
      </c>
      <c r="EM2" s="6" t="s">
        <v>80</v>
      </c>
      <c r="EN2" s="6" t="s">
        <v>87</v>
      </c>
      <c r="EO2" s="6" t="s">
        <v>88</v>
      </c>
      <c r="EP2" s="6" t="s">
        <v>89</v>
      </c>
      <c r="EQ2" s="7" t="s">
        <v>90</v>
      </c>
      <c r="ER2" s="8" t="s">
        <v>91</v>
      </c>
      <c r="ES2" s="7" t="s">
        <v>50</v>
      </c>
      <c r="ET2" s="7" t="s">
        <v>51</v>
      </c>
      <c r="EU2" s="8" t="s">
        <v>97</v>
      </c>
      <c r="EV2" s="8" t="s">
        <v>93</v>
      </c>
      <c r="EW2" s="8" t="s">
        <v>94</v>
      </c>
      <c r="EX2" s="8" t="s">
        <v>95</v>
      </c>
      <c r="EY2" s="9" t="s">
        <v>96</v>
      </c>
      <c r="EZ2" s="68" t="s">
        <v>78</v>
      </c>
      <c r="FA2" s="69" t="s">
        <v>79</v>
      </c>
      <c r="FB2" s="6" t="s">
        <v>82</v>
      </c>
      <c r="FC2" s="6" t="s">
        <v>83</v>
      </c>
      <c r="FD2" s="6" t="s">
        <v>83</v>
      </c>
      <c r="FE2" s="6" t="s">
        <v>84</v>
      </c>
      <c r="FF2" s="6" t="s">
        <v>85</v>
      </c>
      <c r="FG2" s="6" t="s">
        <v>86</v>
      </c>
      <c r="FH2" s="6" t="s">
        <v>80</v>
      </c>
      <c r="FI2" s="6" t="s">
        <v>87</v>
      </c>
      <c r="FJ2" s="6" t="s">
        <v>88</v>
      </c>
      <c r="FK2" s="6" t="s">
        <v>89</v>
      </c>
      <c r="FL2" s="7" t="s">
        <v>90</v>
      </c>
      <c r="FM2" s="8" t="s">
        <v>91</v>
      </c>
      <c r="FN2" s="7" t="s">
        <v>50</v>
      </c>
      <c r="FO2" s="7" t="s">
        <v>51</v>
      </c>
      <c r="FP2" s="8" t="s">
        <v>98</v>
      </c>
      <c r="FQ2" s="8" t="s">
        <v>93</v>
      </c>
      <c r="FR2" s="8" t="s">
        <v>94</v>
      </c>
      <c r="FS2" s="8" t="s">
        <v>95</v>
      </c>
      <c r="FT2" s="9" t="s">
        <v>96</v>
      </c>
      <c r="FU2" s="68" t="s">
        <v>78</v>
      </c>
      <c r="FV2" s="69" t="s">
        <v>79</v>
      </c>
      <c r="FW2" s="6" t="s">
        <v>82</v>
      </c>
      <c r="FX2" s="6" t="s">
        <v>83</v>
      </c>
      <c r="FY2" s="6" t="s">
        <v>83</v>
      </c>
      <c r="FZ2" s="6" t="s">
        <v>84</v>
      </c>
      <c r="GA2" s="6" t="s">
        <v>85</v>
      </c>
      <c r="GB2" s="6" t="s">
        <v>86</v>
      </c>
      <c r="GC2" s="6" t="s">
        <v>80</v>
      </c>
      <c r="GD2" s="6" t="s">
        <v>87</v>
      </c>
      <c r="GE2" s="6" t="s">
        <v>88</v>
      </c>
      <c r="GF2" s="6" t="s">
        <v>89</v>
      </c>
      <c r="GG2" s="7" t="s">
        <v>90</v>
      </c>
      <c r="GH2" s="8" t="s">
        <v>91</v>
      </c>
      <c r="GI2" s="7" t="s">
        <v>50</v>
      </c>
      <c r="GJ2" s="7" t="s">
        <v>51</v>
      </c>
      <c r="GK2" s="8" t="s">
        <v>97</v>
      </c>
      <c r="GL2" s="8" t="s">
        <v>93</v>
      </c>
      <c r="GM2" s="8" t="s">
        <v>94</v>
      </c>
      <c r="GN2" s="8" t="s">
        <v>95</v>
      </c>
      <c r="GO2" s="8" t="s">
        <v>96</v>
      </c>
      <c r="GP2" s="68" t="s">
        <v>78</v>
      </c>
      <c r="GQ2" s="69" t="s">
        <v>79</v>
      </c>
      <c r="GR2" s="6" t="s">
        <v>82</v>
      </c>
      <c r="GS2" s="6" t="s">
        <v>83</v>
      </c>
      <c r="GT2" s="6" t="s">
        <v>83</v>
      </c>
      <c r="GU2" s="6" t="s">
        <v>84</v>
      </c>
      <c r="GV2" s="6" t="s">
        <v>85</v>
      </c>
      <c r="GW2" s="6" t="s">
        <v>86</v>
      </c>
      <c r="GX2" s="6" t="s">
        <v>80</v>
      </c>
      <c r="GY2" s="6" t="s">
        <v>87</v>
      </c>
      <c r="GZ2" s="6" t="s">
        <v>88</v>
      </c>
      <c r="HA2" s="6" t="s">
        <v>89</v>
      </c>
      <c r="HB2" s="7" t="s">
        <v>90</v>
      </c>
      <c r="HC2" s="8" t="s">
        <v>91</v>
      </c>
      <c r="HD2" s="7" t="s">
        <v>50</v>
      </c>
      <c r="HE2" s="7" t="s">
        <v>51</v>
      </c>
      <c r="HF2" s="8" t="s">
        <v>97</v>
      </c>
      <c r="HG2" s="8" t="s">
        <v>93</v>
      </c>
      <c r="HH2" s="8" t="s">
        <v>94</v>
      </c>
      <c r="HI2" s="8" t="s">
        <v>95</v>
      </c>
      <c r="HJ2" s="9" t="s">
        <v>96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278.5296012747549</v>
      </c>
      <c r="T3" s="59">
        <f>IF('Données projet'!E9&gt;30,$R$33-$H$33,LOOKUP('Données projet'!$E$9,$A$3:$A$203,R3:R203)-LOOKUP('Données projet'!$E$9,$A$3:$A$203,$H$3:$H$203))</f>
        <v>370.55343097937077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283.73369613548124</v>
      </c>
      <c r="AO3" s="59">
        <f>IF('Données projet'!E10&gt;30,$AM$33-$H$33,LOOKUP('Données projet'!$E$10,$A$3:$A$203,AM3:AM203)-LOOKUP('Données projet'!$E$10,$A$3:$A$203,$H$3:$H$203))</f>
        <v>249.77804091581208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10.16068376068376</v>
      </c>
      <c r="N4" s="13">
        <f>IF('Données projet'!$A$36&gt;35,N3+M4-V3,IF(A4&lt;'Données projet'!$A$36,$K$205^A4,IF(A4='Données projet'!$A$36,'Données projet'!$B$36,N3+M4-V3)))</f>
        <v>1.3356034260773062</v>
      </c>
      <c r="O4" s="13">
        <f>N4*VLOOKUP('Données projet'!$B$9,Paramètres!$A$1:$I$89,3,0)*VLOOKUP('Données projet'!$B$9,Paramètres!$A$1:$I$89,5,0)</f>
        <v>0.7466023151772142</v>
      </c>
      <c r="P4" s="13">
        <f>EXP(-1.0587+0.8836*LN(O4)+0.284)</f>
        <v>0.35597032812689977</v>
      </c>
      <c r="Q4" s="20">
        <f t="shared" ref="Q4:Q34" si="2">(O4+P4)*0.475*44/12</f>
        <v>1.9203140204213316</v>
      </c>
      <c r="R4" s="59">
        <f t="shared" si="0"/>
        <v>295.25364735375467</v>
      </c>
      <c r="S4" s="59">
        <f ca="1">AVERAGE(OFFSET($R$3,0,0,'Données projet'!$E$9+1,1))-AVERAGE(OFFSET($H$3,0,0,'Données projet'!$E$9+1,1))</f>
        <v>278.5296012747549</v>
      </c>
      <c r="T4" s="59">
        <f>$T$3</f>
        <v>370.55343097937077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6.7360323886639675</v>
      </c>
      <c r="AI4" s="13">
        <f>IF('Données projet'!$A$62&gt;35,AI3+AH4-AQ3,IF(A4&lt;'Données projet'!$A$62,$AF$205^A4,IF(A4='Données projet'!$A$62,'Données projet'!$B$62,AI3+AH4-AQ3)))</f>
        <v>1.2909310311160476</v>
      </c>
      <c r="AJ4" s="13">
        <f>AI4*VLOOKUP('Données projet'!$B$10,Paramètres!$A$1:$I$89,3,0)*VLOOKUP('Données projet'!$B$10,Paramètres!$A$1:$I$89,5,0)</f>
        <v>0.77197675660739651</v>
      </c>
      <c r="AK4" s="13">
        <f>EXP(-1.0587+0.8836*LN(AJ4)+0.284)</f>
        <v>0.36663942027891244</v>
      </c>
      <c r="AL4" s="20">
        <f t="shared" ref="AL4:AL67" si="4">(AJ4+AK4)*0.475*44/12</f>
        <v>1.9830898414103215</v>
      </c>
      <c r="AM4" s="59">
        <f t="shared" ref="AM4:AM67" si="5">AL4+(AD4+AE4)*44/12</f>
        <v>295.31642317474365</v>
      </c>
      <c r="AN4" s="59">
        <f ca="1">AVERAGE(OFFSET($AM$3,0,0,'Données projet'!$E$10+1,1))-AVERAGE(OFFSET($H$3,0,0,'Données projet'!$E$10+1,1))</f>
        <v>283.73369613548124</v>
      </c>
      <c r="AO4" s="59">
        <f>$AO$3</f>
        <v>249.77804091581208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10.16068376068376</v>
      </c>
      <c r="N5" s="13">
        <f>IF('Données projet'!$A$36&gt;35,N4+M5-V4,IF(A5&lt;'Données projet'!$A$36,$K$205^A5,IF(A5='Données projet'!$A$36,'Données projet'!$B$36,N4+M5-V4)))</f>
        <v>1.7838365117494384</v>
      </c>
      <c r="O5" s="13">
        <f>N5*VLOOKUP('Données projet'!$B$9,Paramètres!$A$1:$I$89,3,0)*VLOOKUP('Données projet'!$B$9,Paramètres!$A$1:$I$89,5,0)</f>
        <v>0.99716461006793611</v>
      </c>
      <c r="P5" s="13">
        <f t="shared" ref="P5:P68" si="33">EXP(-1.0587+0.8836*LN(O5)+0.284)</f>
        <v>0.4596872513511342</v>
      </c>
      <c r="Q5" s="20">
        <f t="shared" si="2"/>
        <v>2.5373503253048804</v>
      </c>
      <c r="R5" s="59">
        <f t="shared" si="0"/>
        <v>295.8706836586382</v>
      </c>
      <c r="S5" s="59">
        <f ca="1">AVERAGE(OFFSET($R$3,0,0,'Données projet'!$E$9+1,1))-AVERAGE(OFFSET($H$3,0,0,'Données projet'!$E$9+1,1))</f>
        <v>278.5296012747549</v>
      </c>
      <c r="T5" s="59">
        <f t="shared" ref="T5:T68" si="34">$T$3</f>
        <v>370.55343097937077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6.7360323886639675</v>
      </c>
      <c r="AI5" s="13">
        <f>IF('Données projet'!$A$62&gt;35,AI4+AH5-AQ4,IF(A5&lt;'Données projet'!$A$62,$AF$205^A5,IF(A5='Données projet'!$A$62,'Données projet'!$B$62,AI4+AH5-AQ4)))</f>
        <v>1.6665029270983418</v>
      </c>
      <c r="AJ5" s="13">
        <f>AI5*VLOOKUP('Données projet'!$B$10,Paramètres!$A$1:$I$89,3,0)*VLOOKUP('Données projet'!$B$10,Paramètres!$A$1:$I$89,5,0)</f>
        <v>0.99656875040480852</v>
      </c>
      <c r="AK5" s="13">
        <f t="shared" ref="AK5:AK68" si="35">EXP(-1.0587+0.8836*LN(AJ5)+0.284)</f>
        <v>0.45944452864607926</v>
      </c>
      <c r="AL5" s="20">
        <f t="shared" si="4"/>
        <v>2.5358897943469625</v>
      </c>
      <c r="AM5" s="59">
        <f t="shared" si="5"/>
        <v>295.8692231276803</v>
      </c>
      <c r="AN5" s="59">
        <f ca="1">AVERAGE(OFFSET($AM$3,0,0,'Données projet'!$E$10+1,1))-AVERAGE(OFFSET($H$3,0,0,'Données projet'!$E$10+1,1))</f>
        <v>283.73369613548124</v>
      </c>
      <c r="AO5" s="59">
        <f t="shared" ref="AO5:AO68" si="36">$AO$3</f>
        <v>249.77804091581208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10.16068376068376</v>
      </c>
      <c r="N6" s="13">
        <f>IF('Données projet'!$A$36&gt;35,N5+M6-V5,IF(A6&lt;'Données projet'!$A$36,$K$205^A6,IF(A6='Données projet'!$A$36,'Données projet'!$B$36,N5+M6-V5)))</f>
        <v>2.3824981566543406</v>
      </c>
      <c r="O6" s="13">
        <f>N6*VLOOKUP('Données projet'!$B$9,Paramètres!$A$1:$I$89,3,0)*VLOOKUP('Données projet'!$B$9,Paramètres!$A$1:$I$89,5,0)</f>
        <v>1.3318164695697763</v>
      </c>
      <c r="P6" s="13">
        <f t="shared" si="33"/>
        <v>0.59362354768914927</v>
      </c>
      <c r="Q6" s="20">
        <f t="shared" si="2"/>
        <v>3.3534746967259621</v>
      </c>
      <c r="R6" s="59">
        <f t="shared" si="0"/>
        <v>296.6868080300593</v>
      </c>
      <c r="S6" s="59">
        <f ca="1">AVERAGE(OFFSET($R$3,0,0,'Données projet'!$E$9+1,1))-AVERAGE(OFFSET($H$3,0,0,'Données projet'!$E$9+1,1))</f>
        <v>278.5296012747549</v>
      </c>
      <c r="T6" s="59">
        <f t="shared" si="34"/>
        <v>370.55343097937077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6.7360323886639675</v>
      </c>
      <c r="AI6" s="13">
        <f>IF('Données projet'!$A$62&gt;35,AI5+AH6-AQ5,IF(A6&lt;'Données projet'!$A$62,$AF$205^A6,IF(A6='Données projet'!$A$62,'Données projet'!$B$62,AI5+AH6-AQ5)))</f>
        <v>2.1513403420369737</v>
      </c>
      <c r="AJ6" s="13">
        <f>AI6*VLOOKUP('Données projet'!$B$10,Paramètres!$A$1:$I$89,3,0)*VLOOKUP('Données projet'!$B$10,Paramètres!$A$1:$I$89,5,0)</f>
        <v>1.2865015245381104</v>
      </c>
      <c r="AK6" s="13">
        <f t="shared" si="35"/>
        <v>0.57574080480008571</v>
      </c>
      <c r="AL6" s="20">
        <f t="shared" si="4"/>
        <v>3.2434053902640243</v>
      </c>
      <c r="AM6" s="59">
        <f t="shared" si="5"/>
        <v>296.57673872359732</v>
      </c>
      <c r="AN6" s="59">
        <f ca="1">AVERAGE(OFFSET($AM$3,0,0,'Données projet'!$E$10+1,1))-AVERAGE(OFFSET($H$3,0,0,'Données projet'!$E$10+1,1))</f>
        <v>283.73369613548124</v>
      </c>
      <c r="AO6" s="59">
        <f t="shared" si="36"/>
        <v>249.77804091581208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10.16068376068376</v>
      </c>
      <c r="N7" s="13">
        <f>IF('Données projet'!$A$36&gt;35,N6+M7-V6,IF(A7&lt;'Données projet'!$A$36,$K$205^A7,IF(A7='Données projet'!$A$36,'Données projet'!$B$36,N6+M7-V6)))</f>
        <v>3.1820727006504042</v>
      </c>
      <c r="O7" s="13">
        <f>N7*VLOOKUP('Données projet'!$B$9,Paramètres!$A$1:$I$89,3,0)*VLOOKUP('Données projet'!$B$9,Paramètres!$A$1:$I$89,5,0)</f>
        <v>1.7787786396635761</v>
      </c>
      <c r="P7" s="13">
        <f t="shared" si="33"/>
        <v>0.76658405325641277</v>
      </c>
      <c r="Q7" s="20">
        <f t="shared" si="2"/>
        <v>4.4331733568356464</v>
      </c>
      <c r="R7" s="59">
        <f t="shared" si="0"/>
        <v>297.76650669016897</v>
      </c>
      <c r="S7" s="59">
        <f ca="1">AVERAGE(OFFSET($R$3,0,0,'Données projet'!$E$9+1,1))-AVERAGE(OFFSET($H$3,0,0,'Données projet'!$E$9+1,1))</f>
        <v>278.5296012747549</v>
      </c>
      <c r="T7" s="59">
        <f t="shared" si="34"/>
        <v>370.55343097937077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6.7360323886639675</v>
      </c>
      <c r="AI7" s="13">
        <f>IF('Données projet'!$A$62&gt;35,AI6+AH7-AQ6,IF(A7&lt;'Données projet'!$A$62,$AF$205^A7,IF(A7='Données projet'!$A$62,'Données projet'!$B$62,AI6+AH7-AQ6)))</f>
        <v>2.777232006027341</v>
      </c>
      <c r="AJ7" s="13">
        <f>AI7*VLOOKUP('Données projet'!$B$10,Paramètres!$A$1:$I$89,3,0)*VLOOKUP('Données projet'!$B$10,Paramètres!$A$1:$I$89,5,0)</f>
        <v>1.66078473960435</v>
      </c>
      <c r="AK7" s="13">
        <f t="shared" si="35"/>
        <v>0.7214744188785307</v>
      </c>
      <c r="AL7" s="20">
        <f t="shared" si="4"/>
        <v>4.1491013676910162</v>
      </c>
      <c r="AM7" s="59">
        <f t="shared" si="5"/>
        <v>297.48243470102432</v>
      </c>
      <c r="AN7" s="59">
        <f ca="1">AVERAGE(OFFSET($AM$3,0,0,'Données projet'!$E$10+1,1))-AVERAGE(OFFSET($H$3,0,0,'Données projet'!$E$10+1,1))</f>
        <v>283.73369613548124</v>
      </c>
      <c r="AO7" s="59">
        <f t="shared" si="36"/>
        <v>249.77804091581208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10.16068376068376</v>
      </c>
      <c r="N8" s="13">
        <f>IF('Données projet'!$A$36&gt;35,N7+M8-V7,IF(A8&lt;'Données projet'!$A$36,$K$205^A8,IF(A8='Données projet'!$A$36,'Données projet'!$B$36,N7+M8-V7)))</f>
        <v>4.2499872010157462</v>
      </c>
      <c r="O8" s="13">
        <f>N8*VLOOKUP('Données projet'!$B$9,Paramètres!$A$1:$I$89,3,0)*VLOOKUP('Données projet'!$B$9,Paramètres!$A$1:$I$89,5,0)</f>
        <v>2.3757428453678022</v>
      </c>
      <c r="P8" s="13">
        <f t="shared" si="33"/>
        <v>0.98993901605593615</v>
      </c>
      <c r="Q8" s="20">
        <f t="shared" si="2"/>
        <v>5.8618959086463436</v>
      </c>
      <c r="R8" s="59">
        <f t="shared" si="0"/>
        <v>299.19522924197963</v>
      </c>
      <c r="S8" s="59">
        <f ca="1">AVERAGE(OFFSET($R$3,0,0,'Données projet'!$E$9+1,1))-AVERAGE(OFFSET($H$3,0,0,'Données projet'!$E$9+1,1))</f>
        <v>278.5296012747549</v>
      </c>
      <c r="T8" s="59">
        <f t="shared" si="34"/>
        <v>370.55343097937077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6.7360323886639675</v>
      </c>
      <c r="AI8" s="13">
        <f>IF('Données projet'!$A$62&gt;35,AI7+AH8-AQ7,IF(A8&lt;'Données projet'!$A$62,$AF$205^A8,IF(A8='Données projet'!$A$62,'Données projet'!$B$62,AI7+AH8-AQ7)))</f>
        <v>3.5852149771893647</v>
      </c>
      <c r="AJ8" s="13">
        <f>AI8*VLOOKUP('Données projet'!$B$10,Paramètres!$A$1:$I$89,3,0)*VLOOKUP('Données projet'!$B$10,Paramètres!$A$1:$I$89,5,0)</f>
        <v>2.1439585563592405</v>
      </c>
      <c r="AK8" s="13">
        <f t="shared" si="35"/>
        <v>0.90409665730893507</v>
      </c>
      <c r="AL8" s="20">
        <f t="shared" si="4"/>
        <v>5.3086961638054051</v>
      </c>
      <c r="AM8" s="59">
        <f t="shared" si="5"/>
        <v>298.64202949713871</v>
      </c>
      <c r="AN8" s="59">
        <f ca="1">AVERAGE(OFFSET($AM$3,0,0,'Données projet'!$E$10+1,1))-AVERAGE(OFFSET($H$3,0,0,'Données projet'!$E$10+1,1))</f>
        <v>283.73369613548124</v>
      </c>
      <c r="AO8" s="59">
        <f t="shared" si="36"/>
        <v>249.77804091581208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10.16068376068376</v>
      </c>
      <c r="N9" s="13">
        <f>IF('Données projet'!$A$36&gt;35,N8+M9-V8,IF(A9&lt;'Données projet'!$A$36,$K$205^A9,IF(A9='Données projet'!$A$36,'Données projet'!$B$36,N8+M9-V8)))</f>
        <v>5.6762974664613317</v>
      </c>
      <c r="O9" s="13">
        <f>N9*VLOOKUP('Données projet'!$B$9,Paramètres!$A$1:$I$89,3,0)*VLOOKUP('Données projet'!$B$9,Paramètres!$A$1:$I$89,5,0)</f>
        <v>3.1730502837518846</v>
      </c>
      <c r="P9" s="13">
        <f t="shared" si="33"/>
        <v>1.27837156453606</v>
      </c>
      <c r="Q9" s="20">
        <f t="shared" si="2"/>
        <v>7.7528930524348363</v>
      </c>
      <c r="R9" s="59">
        <f t="shared" si="0"/>
        <v>301.08622638576816</v>
      </c>
      <c r="S9" s="59">
        <f ca="1">AVERAGE(OFFSET($R$3,0,0,'Données projet'!$E$9+1,1))-AVERAGE(OFFSET($H$3,0,0,'Données projet'!$E$9+1,1))</f>
        <v>278.5296012747549</v>
      </c>
      <c r="T9" s="59">
        <f t="shared" si="34"/>
        <v>370.55343097937077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6.7360323886639675</v>
      </c>
      <c r="AI9" s="13">
        <f>IF('Données projet'!$A$62&gt;35,AI8+AH9-AQ8,IF(A9&lt;'Données projet'!$A$62,$AF$205^A9,IF(A9='Données projet'!$A$62,'Données projet'!$B$62,AI8+AH9-AQ8)))</f>
        <v>4.6282652672757632</v>
      </c>
      <c r="AJ9" s="13">
        <f>AI9*VLOOKUP('Données projet'!$B$10,Paramètres!$A$1:$I$89,3,0)*VLOOKUP('Données projet'!$B$10,Paramètres!$A$1:$I$89,5,0)</f>
        <v>2.7677026298309064</v>
      </c>
      <c r="AK9" s="13">
        <f t="shared" si="35"/>
        <v>1.1329449033380179</v>
      </c>
      <c r="AL9" s="20">
        <f t="shared" si="4"/>
        <v>6.7936277869358754</v>
      </c>
      <c r="AM9" s="59">
        <f t="shared" si="5"/>
        <v>300.12696112026919</v>
      </c>
      <c r="AN9" s="59">
        <f ca="1">AVERAGE(OFFSET($AM$3,0,0,'Données projet'!$E$10+1,1))-AVERAGE(OFFSET($H$3,0,0,'Données projet'!$E$10+1,1))</f>
        <v>283.73369613548124</v>
      </c>
      <c r="AO9" s="59">
        <f t="shared" si="36"/>
        <v>249.77804091581208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10.16068376068376</v>
      </c>
      <c r="N10" s="13">
        <f>IF('Données projet'!$A$36&gt;35,N9+M10-V9,IF(A10&lt;'Données projet'!$A$36,$K$205^A10,IF(A10='Données projet'!$A$36,'Données projet'!$B$36,N9+M10-V9)))</f>
        <v>7.5812823436396872</v>
      </c>
      <c r="O10" s="13">
        <f>N10*VLOOKUP('Données projet'!$B$9,Paramètres!$A$1:$I$89,3,0)*VLOOKUP('Données projet'!$B$9,Paramètres!$A$1:$I$89,5,0)</f>
        <v>4.2379368300945854</v>
      </c>
      <c r="P10" s="13">
        <f t="shared" si="33"/>
        <v>1.6508429615446465</v>
      </c>
      <c r="Q10" s="20">
        <f t="shared" si="2"/>
        <v>10.256291470438329</v>
      </c>
      <c r="R10" s="59">
        <f t="shared" si="0"/>
        <v>303.58962480377164</v>
      </c>
      <c r="S10" s="59">
        <f ca="1">AVERAGE(OFFSET($R$3,0,0,'Données projet'!$E$9+1,1))-AVERAGE(OFFSET($H$3,0,0,'Données projet'!$E$9+1,1))</f>
        <v>278.5296012747549</v>
      </c>
      <c r="T10" s="59">
        <f t="shared" si="34"/>
        <v>370.55343097937077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6.7360323886639675</v>
      </c>
      <c r="AI10" s="13">
        <f>IF('Données projet'!$A$62&gt;35,AI9+AH10-AQ9,IF(A10&lt;'Données projet'!$A$62,$AF$205^A10,IF(A10='Données projet'!$A$62,'Données projet'!$B$62,AI9+AH10-AQ9)))</f>
        <v>5.9747712537628903</v>
      </c>
      <c r="AJ10" s="13">
        <f>AI10*VLOOKUP('Données projet'!$B$10,Paramètres!$A$1:$I$89,3,0)*VLOOKUP('Données projet'!$B$10,Paramètres!$A$1:$I$89,5,0)</f>
        <v>3.5729132097502085</v>
      </c>
      <c r="AK10" s="13">
        <f t="shared" si="35"/>
        <v>1.4197200527431988</v>
      </c>
      <c r="AL10" s="20">
        <f t="shared" si="4"/>
        <v>8.6955029321760176</v>
      </c>
      <c r="AM10" s="59">
        <f t="shared" si="5"/>
        <v>302.02883626550931</v>
      </c>
      <c r="AN10" s="59">
        <f ca="1">AVERAGE(OFFSET($AM$3,0,0,'Données projet'!$E$10+1,1))-AVERAGE(OFFSET($H$3,0,0,'Données projet'!$E$10+1,1))</f>
        <v>283.73369613548124</v>
      </c>
      <c r="AO10" s="59">
        <f t="shared" si="36"/>
        <v>249.77804091581208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10.16068376068376</v>
      </c>
      <c r="N11" s="13">
        <f>IF('Données projet'!$A$36&gt;35,N10+M11-V10,IF(A11&lt;'Données projet'!$A$36,$K$205^A11,IF(A11='Données projet'!$A$36,'Données projet'!$B$36,N10+M11-V10)))</f>
        <v>10.125586672224557</v>
      </c>
      <c r="O11" s="13">
        <f>N11*VLOOKUP('Données projet'!$B$9,Paramètres!$A$1:$I$89,3,0)*VLOOKUP('Données projet'!$B$9,Paramètres!$A$1:$I$89,5,0)</f>
        <v>5.6602029497735273</v>
      </c>
      <c r="P11" s="13">
        <f t="shared" si="33"/>
        <v>2.1318390984944533</v>
      </c>
      <c r="Q11" s="20">
        <f t="shared" si="2"/>
        <v>13.571139900733398</v>
      </c>
      <c r="R11" s="59">
        <f t="shared" si="0"/>
        <v>306.9044732340667</v>
      </c>
      <c r="S11" s="59">
        <f ca="1">AVERAGE(OFFSET($R$3,0,0,'Données projet'!$E$9+1,1))-AVERAGE(OFFSET($H$3,0,0,'Données projet'!$E$9+1,1))</f>
        <v>278.5296012747549</v>
      </c>
      <c r="T11" s="59">
        <f t="shared" si="34"/>
        <v>370.55343097937077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6.7360323886639675</v>
      </c>
      <c r="AI11" s="13">
        <f>IF('Données projet'!$A$62&gt;35,AI10+AH11-AQ10,IF(A11&lt;'Données projet'!$A$62,$AF$205^A11,IF(A11='Données projet'!$A$62,'Données projet'!$B$62,AI10+AH11-AQ10)))</f>
        <v>7.7130176153026486</v>
      </c>
      <c r="AJ11" s="13">
        <f>AI11*VLOOKUP('Données projet'!$B$10,Paramètres!$A$1:$I$89,3,0)*VLOOKUP('Données projet'!$B$10,Paramètres!$A$1:$I$89,5,0)</f>
        <v>4.6123845339509844</v>
      </c>
      <c r="AK11" s="13">
        <f t="shared" si="35"/>
        <v>1.7790847747516541</v>
      </c>
      <c r="AL11" s="20">
        <f t="shared" si="4"/>
        <v>11.131809045990428</v>
      </c>
      <c r="AM11" s="59">
        <f t="shared" si="5"/>
        <v>304.46514237932377</v>
      </c>
      <c r="AN11" s="59">
        <f ca="1">AVERAGE(OFFSET($AM$3,0,0,'Données projet'!$E$10+1,1))-AVERAGE(OFFSET($H$3,0,0,'Données projet'!$E$10+1,1))</f>
        <v>283.73369613548124</v>
      </c>
      <c r="AO11" s="59">
        <f t="shared" si="36"/>
        <v>249.77804091581208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10.16068376068376</v>
      </c>
      <c r="N12" s="13">
        <f>IF('Données projet'!$A$36&gt;35,N11+M12-V11,IF(A12&lt;'Données projet'!$A$36,$K$205^A12,IF(A12='Données projet'!$A$36,'Données projet'!$B$36,N11+M12-V11)))</f>
        <v>13.523768250465828</v>
      </c>
      <c r="O12" s="13">
        <f>N12*VLOOKUP('Données projet'!$B$9,Paramètres!$A$1:$I$89,3,0)*VLOOKUP('Données projet'!$B$9,Paramètres!$A$1:$I$89,5,0)</f>
        <v>7.5597864520103979</v>
      </c>
      <c r="P12" s="13">
        <f t="shared" si="33"/>
        <v>2.7529801730003816</v>
      </c>
      <c r="Q12" s="20">
        <f t="shared" si="2"/>
        <v>17.961401871893774</v>
      </c>
      <c r="R12" s="59">
        <f t="shared" si="0"/>
        <v>311.29473520522708</v>
      </c>
      <c r="S12" s="59">
        <f ca="1">AVERAGE(OFFSET($R$3,0,0,'Données projet'!$E$9+1,1))-AVERAGE(OFFSET($H$3,0,0,'Données projet'!$E$9+1,1))</f>
        <v>278.5296012747549</v>
      </c>
      <c r="T12" s="59">
        <f t="shared" si="34"/>
        <v>370.55343097937077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6.7360323886639675</v>
      </c>
      <c r="AI12" s="13">
        <f>IF('Données projet'!$A$62&gt;35,AI11+AH12-AQ11,IF(A12&lt;'Données projet'!$A$62,$AF$205^A12,IF(A12='Données projet'!$A$62,'Données projet'!$B$62,AI11+AH12-AQ11)))</f>
        <v>9.9569737831388867</v>
      </c>
      <c r="AJ12" s="13">
        <f>AI12*VLOOKUP('Données projet'!$B$10,Paramètres!$A$1:$I$89,3,0)*VLOOKUP('Données projet'!$B$10,Paramètres!$A$1:$I$89,5,0)</f>
        <v>5.9542703223170541</v>
      </c>
      <c r="AK12" s="13">
        <f t="shared" si="35"/>
        <v>2.2294132069469743</v>
      </c>
      <c r="AL12" s="20">
        <f t="shared" si="4"/>
        <v>14.253248813468183</v>
      </c>
      <c r="AM12" s="59">
        <f t="shared" si="5"/>
        <v>307.5865821468015</v>
      </c>
      <c r="AN12" s="59">
        <f ca="1">AVERAGE(OFFSET($AM$3,0,0,'Données projet'!$E$10+1,1))-AVERAGE(OFFSET($H$3,0,0,'Données projet'!$E$10+1,1))</f>
        <v>283.73369613548124</v>
      </c>
      <c r="AO12" s="59">
        <f t="shared" si="36"/>
        <v>249.77804091581208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10.16068376068376</v>
      </c>
      <c r="N13" s="13">
        <f>IF('Données projet'!$A$36&gt;35,N12+M13-V12,IF(A13&lt;'Données projet'!$A$36,$K$205^A13,IF(A13='Données projet'!$A$36,'Données projet'!$B$36,N12+M13-V12)))</f>
        <v>18.062391208797656</v>
      </c>
      <c r="O13" s="13">
        <f>N13*VLOOKUP('Données projet'!$B$9,Paramètres!$A$1:$I$89,3,0)*VLOOKUP('Données projet'!$B$9,Paramètres!$A$1:$I$89,5,0)</f>
        <v>10.09687668571789</v>
      </c>
      <c r="P13" s="13">
        <f t="shared" si="33"/>
        <v>3.5550993685619052</v>
      </c>
      <c r="Q13" s="20">
        <f t="shared" si="2"/>
        <v>23.777191627870639</v>
      </c>
      <c r="R13" s="59">
        <f t="shared" si="0"/>
        <v>317.11052496120396</v>
      </c>
      <c r="S13" s="59">
        <f ca="1">AVERAGE(OFFSET($R$3,0,0,'Données projet'!$E$9+1,1))-AVERAGE(OFFSET($H$3,0,0,'Données projet'!$E$9+1,1))</f>
        <v>278.5296012747549</v>
      </c>
      <c r="T13" s="59">
        <f t="shared" si="34"/>
        <v>370.55343097937077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6.7360323886639675</v>
      </c>
      <c r="AI13" s="13">
        <f>IF('Données projet'!$A$62&gt;35,AI12+AH13-AQ12,IF(A13&lt;'Données projet'!$A$62,$AF$205^A13,IF(A13='Données projet'!$A$62,'Données projet'!$B$62,AI12+AH13-AQ12)))</f>
        <v>12.853766432662937</v>
      </c>
      <c r="AJ13" s="13">
        <f>AI13*VLOOKUP('Données projet'!$B$10,Paramètres!$A$1:$I$89,3,0)*VLOOKUP('Données projet'!$B$10,Paramètres!$A$1:$I$89,5,0)</f>
        <v>7.6865523267324365</v>
      </c>
      <c r="AK13" s="13">
        <f t="shared" si="35"/>
        <v>2.7937304156871372</v>
      </c>
      <c r="AL13" s="20">
        <f t="shared" si="4"/>
        <v>18.25315910971409</v>
      </c>
      <c r="AM13" s="59">
        <f t="shared" si="5"/>
        <v>311.5864924430474</v>
      </c>
      <c r="AN13" s="59">
        <f ca="1">AVERAGE(OFFSET($AM$3,0,0,'Données projet'!$E$10+1,1))-AVERAGE(OFFSET($H$3,0,0,'Données projet'!$E$10+1,1))</f>
        <v>283.73369613548124</v>
      </c>
      <c r="AO13" s="59">
        <f t="shared" si="36"/>
        <v>249.77804091581208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10.16068376068376</v>
      </c>
      <c r="N14" s="13">
        <f>IF('Données projet'!$A$36&gt;35,N13+M14-V13,IF(A14&lt;'Données projet'!$A$36,$K$205^A14,IF(A14='Données projet'!$A$36,'Données projet'!$B$36,N13+M14-V13)))</f>
        <v>24.124191581618767</v>
      </c>
      <c r="O14" s="13">
        <f>N14*VLOOKUP('Données projet'!$B$9,Paramètres!$A$1:$I$89,3,0)*VLOOKUP('Données projet'!$B$9,Paramètres!$A$1:$I$89,5,0)</f>
        <v>13.48542309412489</v>
      </c>
      <c r="P14" s="13">
        <f t="shared" si="33"/>
        <v>4.5909271865822117</v>
      </c>
      <c r="Q14" s="20">
        <f t="shared" si="2"/>
        <v>31.482976738898202</v>
      </c>
      <c r="R14" s="59">
        <f t="shared" si="0"/>
        <v>324.81631007223154</v>
      </c>
      <c r="S14" s="59">
        <f ca="1">AVERAGE(OFFSET($R$3,0,0,'Données projet'!$E$9+1,1))-AVERAGE(OFFSET($H$3,0,0,'Données projet'!$E$9+1,1))</f>
        <v>278.5296012747549</v>
      </c>
      <c r="T14" s="59">
        <f t="shared" si="34"/>
        <v>370.55343097937077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6.7360323886639675</v>
      </c>
      <c r="AI14" s="13">
        <f>IF('Données projet'!$A$62&gt;35,AI13+AH14-AQ13,IF(A14&lt;'Données projet'!$A$62,$AF$205^A14,IF(A14='Données projet'!$A$62,'Données projet'!$B$62,AI13+AH14-AQ13)))</f>
        <v>16.593325954642403</v>
      </c>
      <c r="AJ14" s="13">
        <f>AI14*VLOOKUP('Données projet'!$B$10,Paramètres!$A$1:$I$89,3,0)*VLOOKUP('Données projet'!$B$10,Paramètres!$A$1:$I$89,5,0)</f>
        <v>9.9228089208761574</v>
      </c>
      <c r="AK14" s="13">
        <f t="shared" si="35"/>
        <v>3.5008896561726774</v>
      </c>
      <c r="AL14" s="20">
        <f t="shared" si="4"/>
        <v>23.379608355026718</v>
      </c>
      <c r="AM14" s="59">
        <f t="shared" si="5"/>
        <v>316.71294168836005</v>
      </c>
      <c r="AN14" s="59">
        <f ca="1">AVERAGE(OFFSET($AM$3,0,0,'Données projet'!$E$10+1,1))-AVERAGE(OFFSET($H$3,0,0,'Données projet'!$E$10+1,1))</f>
        <v>283.73369613548124</v>
      </c>
      <c r="AO14" s="59">
        <f t="shared" si="36"/>
        <v>249.77804091581208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10.16068376068376</v>
      </c>
      <c r="N15" s="13">
        <f>IF('Données projet'!$A$36&gt;35,N14+M15-V14,IF(A15&lt;'Données projet'!$A$36,$K$205^A15,IF(A15='Données projet'!$A$36,'Données projet'!$B$36,N14+M15-V14)))</f>
        <v>32.220352927755336</v>
      </c>
      <c r="O15" s="13">
        <f>N15*VLOOKUP('Données projet'!$B$9,Paramètres!$A$1:$I$89,3,0)*VLOOKUP('Données projet'!$B$9,Paramètres!$A$1:$I$89,5,0)</f>
        <v>18.011177286615233</v>
      </c>
      <c r="P15" s="13">
        <f t="shared" si="33"/>
        <v>5.9285578959851977</v>
      </c>
      <c r="Q15" s="20">
        <f t="shared" si="2"/>
        <v>41.695038776362409</v>
      </c>
      <c r="R15" s="59">
        <f t="shared" si="0"/>
        <v>335.02837210969574</v>
      </c>
      <c r="S15" s="59">
        <f ca="1">AVERAGE(OFFSET($R$3,0,0,'Données projet'!$E$9+1,1))-AVERAGE(OFFSET($H$3,0,0,'Données projet'!$E$9+1,1))</f>
        <v>278.5296012747549</v>
      </c>
      <c r="T15" s="59">
        <f t="shared" si="34"/>
        <v>370.55343097937077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6.7360323886639675</v>
      </c>
      <c r="AI15" s="13">
        <f>IF('Données projet'!$A$62&gt;35,AI14+AH15-AQ14,IF(A15&lt;'Données projet'!$A$62,$AF$205^A15,IF(A15='Données projet'!$A$62,'Données projet'!$B$62,AI14+AH15-AQ14)))</f>
        <v>21.420839384271193</v>
      </c>
      <c r="AJ15" s="13">
        <f>AI15*VLOOKUP('Données projet'!$B$10,Paramètres!$A$1:$I$89,3,0)*VLOOKUP('Données projet'!$B$10,Paramètres!$A$1:$I$89,5,0)</f>
        <v>12.809661951794174</v>
      </c>
      <c r="AK15" s="13">
        <f t="shared" si="35"/>
        <v>4.3870476248805641</v>
      </c>
      <c r="AL15" s="20">
        <f t="shared" si="4"/>
        <v>29.950935846041833</v>
      </c>
      <c r="AM15" s="59">
        <f t="shared" si="5"/>
        <v>323.28426917937514</v>
      </c>
      <c r="AN15" s="59">
        <f ca="1">AVERAGE(OFFSET($AM$3,0,0,'Données projet'!$E$10+1,1))-AVERAGE(OFFSET($H$3,0,0,'Données projet'!$E$10+1,1))</f>
        <v>283.73369613548124</v>
      </c>
      <c r="AO15" s="59">
        <f t="shared" si="36"/>
        <v>249.77804091581208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10.16068376068376</v>
      </c>
      <c r="N16" s="13">
        <f>IF('Données projet'!$A$36&gt;35,N15+M16-V15,IF(A16&lt;'Données projet'!$A$36,$K$205^A16,IF(A16='Données projet'!$A$36,'Données projet'!$B$36,N15+M16-V15)))</f>
        <v>43.033613759729988</v>
      </c>
      <c r="O16" s="13">
        <f>N16*VLOOKUP('Données projet'!$B$9,Paramètres!$A$1:$I$89,3,0)*VLOOKUP('Données projet'!$B$9,Paramètres!$A$1:$I$89,5,0)</f>
        <v>24.055790091689062</v>
      </c>
      <c r="P16" s="13">
        <f t="shared" si="33"/>
        <v>7.6559259813080898</v>
      </c>
      <c r="Q16" s="20">
        <f t="shared" si="2"/>
        <v>55.231238827136707</v>
      </c>
      <c r="R16" s="59">
        <f t="shared" si="0"/>
        <v>348.56457216046999</v>
      </c>
      <c r="S16" s="59">
        <f ca="1">AVERAGE(OFFSET($R$3,0,0,'Données projet'!$E$9+1,1))-AVERAGE(OFFSET($H$3,0,0,'Données projet'!$E$9+1,1))</f>
        <v>278.5296012747549</v>
      </c>
      <c r="T16" s="59">
        <f t="shared" si="34"/>
        <v>370.55343097937077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6.7360323886639675</v>
      </c>
      <c r="AI16" s="13">
        <f>IF('Données projet'!$A$62&gt;35,AI15+AH16-AQ15,IF(A16&lt;'Données projet'!$A$62,$AF$205^A16,IF(A16='Données projet'!$A$62,'Données projet'!$B$62,AI15+AH16-AQ15)))</f>
        <v>27.652826273708452</v>
      </c>
      <c r="AJ16" s="13">
        <f>AI16*VLOOKUP('Données projet'!$B$10,Paramètres!$A$1:$I$89,3,0)*VLOOKUP('Données projet'!$B$10,Paramètres!$A$1:$I$89,5,0)</f>
        <v>16.536390111677655</v>
      </c>
      <c r="AK16" s="13">
        <f t="shared" si="35"/>
        <v>5.4975131332790896</v>
      </c>
      <c r="AL16" s="20">
        <f t="shared" si="4"/>
        <v>38.375714818299656</v>
      </c>
      <c r="AM16" s="59">
        <f t="shared" si="5"/>
        <v>331.70904815163294</v>
      </c>
      <c r="AN16" s="59">
        <f ca="1">AVERAGE(OFFSET($AM$3,0,0,'Données projet'!$E$10+1,1))-AVERAGE(OFFSET($H$3,0,0,'Données projet'!$E$10+1,1))</f>
        <v>283.73369613548124</v>
      </c>
      <c r="AO16" s="59">
        <f t="shared" si="36"/>
        <v>249.77804091581208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10.16068376068376</v>
      </c>
      <c r="N17" s="13">
        <f>IF('Données projet'!$A$36&gt;35,N16+M17-V16,IF(A17&lt;'Données projet'!$A$36,$K$205^A17,IF(A17='Données projet'!$A$36,'Données projet'!$B$36,N16+M17-V16)))</f>
        <v>57.475841973982881</v>
      </c>
      <c r="O17" s="13">
        <f>N17*VLOOKUP('Données projet'!$B$9,Paramètres!$A$1:$I$89,3,0)*VLOOKUP('Données projet'!$B$9,Paramètres!$A$1:$I$89,5,0)</f>
        <v>32.128995663456436</v>
      </c>
      <c r="P17" s="13">
        <f t="shared" si="33"/>
        <v>9.8865868664217604</v>
      </c>
      <c r="Q17" s="20">
        <f t="shared" si="2"/>
        <v>73.177139572871184</v>
      </c>
      <c r="R17" s="59">
        <f t="shared" si="0"/>
        <v>366.51047290620448</v>
      </c>
      <c r="S17" s="59">
        <f ca="1">AVERAGE(OFFSET($R$3,0,0,'Données projet'!$E$9+1,1))-AVERAGE(OFFSET($H$3,0,0,'Données projet'!$E$9+1,1))</f>
        <v>278.5296012747549</v>
      </c>
      <c r="T17" s="59">
        <f t="shared" si="34"/>
        <v>370.55343097937077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6.7360323886639675</v>
      </c>
      <c r="AI17" s="13">
        <f>IF('Données projet'!$A$62&gt;35,AI16+AH17-AQ16,IF(A17&lt;'Données projet'!$A$62,$AF$205^A17,IF(A17='Données projet'!$A$62,'Données projet'!$B$62,AI16+AH17-AQ16)))</f>
        <v>35.697891534791381</v>
      </c>
      <c r="AJ17" s="13">
        <f>AI17*VLOOKUP('Données projet'!$B$10,Paramètres!$A$1:$I$89,3,0)*VLOOKUP('Données projet'!$B$10,Paramètres!$A$1:$I$89,5,0)</f>
        <v>21.347339137805246</v>
      </c>
      <c r="AK17" s="13">
        <f t="shared" si="35"/>
        <v>6.8890637245814856</v>
      </c>
      <c r="AL17" s="20">
        <f t="shared" si="4"/>
        <v>49.178401651990221</v>
      </c>
      <c r="AM17" s="59">
        <f t="shared" si="5"/>
        <v>342.51173498532353</v>
      </c>
      <c r="AN17" s="59">
        <f ca="1">AVERAGE(OFFSET($AM$3,0,0,'Données projet'!$E$10+1,1))-AVERAGE(OFFSET($H$3,0,0,'Données projet'!$E$10+1,1))</f>
        <v>283.73369613548124</v>
      </c>
      <c r="AO17" s="59">
        <f t="shared" si="36"/>
        <v>249.77804091581208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10.16068376068376</v>
      </c>
      <c r="N18" s="13">
        <f>IF('Données projet'!$A$36&gt;35,N17+M18-V17,IF(A18&lt;'Données projet'!$A$36,$K$205^A18,IF(A18='Données projet'!$A$36,'Données projet'!$B$36,N17+M18-V17)))</f>
        <v>76.764931457129379</v>
      </c>
      <c r="O18" s="13">
        <f>N18*VLOOKUP('Données projet'!$B$9,Paramètres!$A$1:$I$89,3,0)*VLOOKUP('Données projet'!$B$9,Paramètres!$A$1:$I$89,5,0)</f>
        <v>42.911596684535326</v>
      </c>
      <c r="P18" s="13">
        <f t="shared" si="33"/>
        <v>12.767181932785956</v>
      </c>
      <c r="Q18" s="20">
        <f t="shared" si="2"/>
        <v>96.97387275850123</v>
      </c>
      <c r="R18" s="59">
        <f t="shared" si="0"/>
        <v>390.30720609183453</v>
      </c>
      <c r="S18" s="59">
        <f ca="1">AVERAGE(OFFSET($R$3,0,0,'Données projet'!$E$9+1,1))-AVERAGE(OFFSET($H$3,0,0,'Données projet'!$E$9+1,1))</f>
        <v>278.5296012747549</v>
      </c>
      <c r="T18" s="59">
        <f t="shared" si="34"/>
        <v>370.55343097937077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6.7360323886639675</v>
      </c>
      <c r="AI18" s="13">
        <f>IF('Données projet'!$A$62&gt;35,AI17+AH18-AQ17,IF(A18&lt;'Données projet'!$A$62,$AF$205^A18,IF(A18='Données projet'!$A$62,'Données projet'!$B$62,AI17+AH18-AQ17)))</f>
        <v>46.083515927677063</v>
      </c>
      <c r="AJ18" s="13">
        <f>AI18*VLOOKUP('Données projet'!$B$10,Paramètres!$A$1:$I$89,3,0)*VLOOKUP('Données projet'!$B$10,Paramètres!$A$1:$I$89,5,0)</f>
        <v>27.557942524750885</v>
      </c>
      <c r="AK18" s="13">
        <f t="shared" si="35"/>
        <v>8.6328486809883493</v>
      </c>
      <c r="AL18" s="20">
        <f t="shared" si="4"/>
        <v>63.032294683329155</v>
      </c>
      <c r="AM18" s="59">
        <f t="shared" si="5"/>
        <v>356.36562801666247</v>
      </c>
      <c r="AN18" s="59">
        <f ca="1">AVERAGE(OFFSET($AM$3,0,0,'Données projet'!$E$10+1,1))-AVERAGE(OFFSET($H$3,0,0,'Données projet'!$E$10+1,1))</f>
        <v>283.73369613548124</v>
      </c>
      <c r="AO18" s="59">
        <f t="shared" si="36"/>
        <v>249.77804091581208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10.16068376068376</v>
      </c>
      <c r="N19" s="13">
        <f>IF('Données projet'!$A$36&gt;35,N18+M19-V18,IF(A19&lt;'Données projet'!$A$36,$K$205^A19,IF(A19='Données projet'!$A$36,'Données projet'!$B$36,N18+M19-V18)))</f>
        <v>102.52750545673157</v>
      </c>
      <c r="O19" s="13">
        <f>N19*VLOOKUP('Données projet'!$B$9,Paramètres!$A$1:$I$89,3,0)*VLOOKUP('Données projet'!$B$9,Paramètres!$A$1:$I$89,5,0)</f>
        <v>57.312875550312953</v>
      </c>
      <c r="P19" s="13">
        <f t="shared" si="33"/>
        <v>16.487078574959277</v>
      </c>
      <c r="Q19" s="20">
        <f t="shared" si="2"/>
        <v>128.53492010151578</v>
      </c>
      <c r="R19" s="59">
        <f t="shared" si="0"/>
        <v>421.86825343484907</v>
      </c>
      <c r="S19" s="59">
        <f ca="1">AVERAGE(OFFSET($R$3,0,0,'Données projet'!$E$9+1,1))-AVERAGE(OFFSET($H$3,0,0,'Données projet'!$E$9+1,1))</f>
        <v>278.5296012747549</v>
      </c>
      <c r="T19" s="59">
        <f t="shared" si="34"/>
        <v>370.55343097937077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6.7360323886639675</v>
      </c>
      <c r="AI19" s="13">
        <f>IF('Données projet'!$A$62&gt;35,AI18+AH19-AQ18,IF(A19&lt;'Données projet'!$A$62,$AF$205^A19,IF(A19='Données projet'!$A$62,'Données projet'!$B$62,AI18+AH19-AQ18)))</f>
        <v>59.490640733968959</v>
      </c>
      <c r="AJ19" s="13">
        <f>AI19*VLOOKUP('Données projet'!$B$10,Paramètres!$A$1:$I$89,3,0)*VLOOKUP('Données projet'!$B$10,Paramètres!$A$1:$I$89,5,0)</f>
        <v>35.575403158913439</v>
      </c>
      <c r="AK19" s="13">
        <f t="shared" si="35"/>
        <v>10.818026850719807</v>
      </c>
      <c r="AL19" s="20">
        <f t="shared" si="4"/>
        <v>80.801890600111236</v>
      </c>
      <c r="AM19" s="59">
        <f t="shared" si="5"/>
        <v>374.13522393344454</v>
      </c>
      <c r="AN19" s="59">
        <f ca="1">AVERAGE(OFFSET($AM$3,0,0,'Données projet'!$E$10+1,1))-AVERAGE(OFFSET($H$3,0,0,'Données projet'!$E$10+1,1))</f>
        <v>283.73369613548124</v>
      </c>
      <c r="AO19" s="59">
        <f t="shared" si="36"/>
        <v>249.77804091581208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10.16068376068376</v>
      </c>
      <c r="N20" s="13">
        <f>IF('Données projet'!$A$36&gt;35,N19+M20-V19,IF(A20&lt;'Données projet'!$A$36,$K$205^A20,IF(A20='Données projet'!$A$36,'Données projet'!$B$36,N19+M20-V19)))</f>
        <v>136.93608755517039</v>
      </c>
      <c r="O20" s="13">
        <f>N20*VLOOKUP('Données projet'!$B$9,Paramètres!$A$1:$I$89,3,0)*VLOOKUP('Données projet'!$B$9,Paramètres!$A$1:$I$89,5,0)</f>
        <v>76.547272943340246</v>
      </c>
      <c r="P20" s="13">
        <f t="shared" si="33"/>
        <v>21.290819020824138</v>
      </c>
      <c r="Q20" s="20">
        <f t="shared" si="2"/>
        <v>170.40134350425296</v>
      </c>
      <c r="R20" s="59">
        <f t="shared" si="0"/>
        <v>463.73467683758628</v>
      </c>
      <c r="S20" s="59">
        <f ca="1">AVERAGE(OFFSET($R$3,0,0,'Données projet'!$E$9+1,1))-AVERAGE(OFFSET($H$3,0,0,'Données projet'!$E$9+1,1))</f>
        <v>278.5296012747549</v>
      </c>
      <c r="T20" s="59">
        <f t="shared" si="34"/>
        <v>370.55343097937077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6.7360323886639675</v>
      </c>
      <c r="AI20" s="13">
        <f>IF('Données projet'!$A$62&gt;35,AI19+AH20-AQ19,IF(A20&lt;'Données projet'!$A$62,$AF$205^A20,IF(A20='Données projet'!$A$62,'Données projet'!$B$62,AI19+AH20-AQ19)))</f>
        <v>76.798314184456885</v>
      </c>
      <c r="AJ20" s="13">
        <f>AI20*VLOOKUP('Données projet'!$B$10,Paramètres!$A$1:$I$89,3,0)*VLOOKUP('Données projet'!$B$10,Paramètres!$A$1:$I$89,5,0)</f>
        <v>45.92539188230522</v>
      </c>
      <c r="AK20" s="13">
        <f t="shared" si="35"/>
        <v>13.556325295104831</v>
      </c>
      <c r="AL20" s="20">
        <f t="shared" si="4"/>
        <v>103.59732408398916</v>
      </c>
      <c r="AM20" s="59">
        <f t="shared" si="5"/>
        <v>396.93065741732249</v>
      </c>
      <c r="AN20" s="59">
        <f ca="1">AVERAGE(OFFSET($AM$3,0,0,'Données projet'!$E$10+1,1))-AVERAGE(OFFSET($H$3,0,0,'Données projet'!$E$10+1,1))</f>
        <v>283.73369613548124</v>
      </c>
      <c r="AO20" s="59">
        <f t="shared" si="36"/>
        <v>249.77804091581208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10.16068376068376</v>
      </c>
      <c r="M21" s="12">
        <f t="array" ref="M21">INDEX(L:L,MIN(IF(ISNUMBER(L21:L217),ROW(L21:L217),"")))</f>
        <v>10.16068376068376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278.5296012747549</v>
      </c>
      <c r="T21" s="59">
        <f t="shared" si="34"/>
        <v>370.55343097937077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0.30800000000000005</v>
      </c>
      <c r="Y21" s="16">
        <f>IF(ISNA(VLOOKUP(A21,'Données projet'!$A$35:$I$55,7,0)),0%,VLOOKUP(A21,'Données projet'!$A$35:$I$55,7,0))</f>
        <v>0.44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15.762109241455983</v>
      </c>
      <c r="AB21" s="21">
        <f>EXP(-LN(2)/2)*AB20+(1-EXP(-LN(2)/2))/(LN(2)/2)*V21*Y21*VLOOKUP('Données projet'!$B$9,Paramètres!$A$1:$I$89,3,0)*0.475*44/12</f>
        <v>19.294646846829099</v>
      </c>
      <c r="AC21" s="22">
        <f t="shared" si="3"/>
        <v>35.056756088285084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6.7360323886639675</v>
      </c>
      <c r="AI21" s="13">
        <f>IF('Données projet'!$A$62&gt;35,AI20+AH21-AQ20,IF(A21&lt;'Données projet'!$A$62,$AF$205^A21,IF(A21='Données projet'!$A$62,'Données projet'!$B$62,AI20+AH21-AQ20)))</f>
        <v>99.141326918115112</v>
      </c>
      <c r="AJ21" s="13">
        <f>AI21*VLOOKUP('Données projet'!$B$10,Paramètres!$A$1:$I$89,3,0)*VLOOKUP('Données projet'!$B$10,Paramètres!$A$1:$I$89,5,0)</f>
        <v>59.286513497032843</v>
      </c>
      <c r="AK21" s="13">
        <f t="shared" si="35"/>
        <v>16.987751837061783</v>
      </c>
      <c r="AL21" s="20">
        <f t="shared" si="4"/>
        <v>132.84434545688146</v>
      </c>
      <c r="AM21" s="59">
        <f t="shared" si="5"/>
        <v>426.17767879021477</v>
      </c>
      <c r="AN21" s="59">
        <f ca="1">AVERAGE(OFFSET($AM$3,0,0,'Données projet'!$E$10+1,1))-AVERAGE(OFFSET($H$3,0,0,'Données projet'!$E$10+1,1))</f>
        <v>283.73369613548124</v>
      </c>
      <c r="AO21" s="59">
        <f t="shared" si="36"/>
        <v>249.77804091581208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278.5296012747549</v>
      </c>
      <c r="T22" s="59">
        <f t="shared" si="34"/>
        <v>370.55343097937077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15.33109353535507</v>
      </c>
      <c r="AB22" s="21">
        <f>EXP(-LN(2)/2)*AB21+(1-EXP(-LN(2)/2))/(LN(2)/2)*V22*Y22*VLOOKUP('Données projet'!$B$9,Paramètres!$A$1:$I$89,3,0)*0.475*44/12</f>
        <v>13.643375625992494</v>
      </c>
      <c r="AC22" s="22">
        <f t="shared" si="3"/>
        <v>28.974469161347564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127.98461538461538</v>
      </c>
      <c r="AG22" s="12">
        <f>VLOOKUP(A22,'Données projet'!$A$61:$I$81,9,0)</f>
        <v>6.7360323886639675</v>
      </c>
      <c r="AH22" s="12">
        <f t="array" ref="AH22">INDEX(AG:AG,MIN(IF(ISNUMBER(AG22:AG218),ROW(AG22:AG218),"")))</f>
        <v>6.7360323886639675</v>
      </c>
      <c r="AI22" s="13">
        <f>IF('Données projet'!$A$62&gt;35,AI21+AH22-AQ21,IF(A22&lt;'Données projet'!$A$62,$AF$205^A22,IF(A22='Données projet'!$A$62,'Données projet'!$B$62,AI21+AH22-AQ21)))</f>
        <v>127.98461538461538</v>
      </c>
      <c r="AJ22" s="13">
        <f>AI22*VLOOKUP('Données projet'!$B$10,Paramètres!$A$1:$I$89,3,0)*VLOOKUP('Données projet'!$B$10,Paramètres!$A$1:$I$89,5,0)</f>
        <v>76.534800000000004</v>
      </c>
      <c r="AK22" s="13">
        <f t="shared" si="35"/>
        <v>21.287753590702248</v>
      </c>
      <c r="AL22" s="20">
        <f t="shared" si="4"/>
        <v>170.37428083713976</v>
      </c>
      <c r="AM22" s="59">
        <f t="shared" si="5"/>
        <v>463.70761417047311</v>
      </c>
      <c r="AN22" s="59">
        <f ca="1">AVERAGE(OFFSET($AM$3,0,0,'Données projet'!$E$10+1,1))-AVERAGE(OFFSET($H$3,0,0,'Données projet'!$E$10+1,1))</f>
        <v>283.73369613548124</v>
      </c>
      <c r="AO22" s="59">
        <f t="shared" si="36"/>
        <v>249.77804091581208</v>
      </c>
      <c r="AP22" s="15">
        <f>IF(ISNA(VLOOKUP(A22,'Données projet'!$A$61:$I$81,3,0)),0,VLOOKUP(A22,'Données projet'!$A$61:$I$81,3,0))</f>
        <v>1</v>
      </c>
      <c r="AQ22" s="15">
        <f>IF(ISNA(VLOOKUP(A22,'Données projet'!$A$61:$I$81,4,0)),0,VLOOKUP(A22,'Données projet'!$A$61:$I$81,4,0))</f>
        <v>46.53846153846154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0.25200000000000006</v>
      </c>
      <c r="AT22" s="16">
        <f>IF(ISNA(VLOOKUP(A22,'Données projet'!$A$61:$I$81,7,0)),0%,VLOOKUP(A22,'Données projet'!$A$61:$I$81,7,0))</f>
        <v>0.44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9.2667777110813798</v>
      </c>
      <c r="AW22" s="21">
        <f>EXP(-LN(2)/2)*AW21+(1-EXP(-LN(2)/2))/(LN(2)/2)*AQ22*AT22*VLOOKUP('Données projet'!$B$10,Paramètres!$A$1:$I$89,3,0)*0.475*44/12</f>
        <v>13.864410929671079</v>
      </c>
      <c r="AX22" s="21">
        <f t="shared" si="6"/>
        <v>23.131188640752459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278.5296012747549</v>
      </c>
      <c r="T23" s="59">
        <f t="shared" si="34"/>
        <v>370.55343097937077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14.911863976403616</v>
      </c>
      <c r="AB23" s="21">
        <f>EXP(-LN(2)/2)*AB22+(1-EXP(-LN(2)/2))/(LN(2)/2)*V23*Y23*VLOOKUP('Données projet'!$B$9,Paramètres!$A$1:$I$89,3,0)*0.475*44/12</f>
        <v>9.6473234234145515</v>
      </c>
      <c r="AC23" s="22">
        <f t="shared" si="3"/>
        <v>24.559187399818168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15.7</v>
      </c>
      <c r="AI23" s="13">
        <f>IF('Données projet'!$A$62&gt;35,AI22+AH23-AQ22,IF(A23&lt;'Données projet'!$A$62,$AF$205^A23,IF(A23='Données projet'!$A$62,'Données projet'!$B$62,AI22+AH23-AQ22)))</f>
        <v>97.146153846153823</v>
      </c>
      <c r="AJ23" s="13">
        <f>AI23*VLOOKUP('Données projet'!$B$10,Paramètres!$A$1:$I$89,3,0)*VLOOKUP('Données projet'!$B$10,Paramètres!$A$1:$I$89,5,0)</f>
        <v>58.093399999999988</v>
      </c>
      <c r="AK23" s="13">
        <f t="shared" si="35"/>
        <v>16.68531848887627</v>
      </c>
      <c r="AL23" s="20">
        <f t="shared" si="4"/>
        <v>130.23960136812613</v>
      </c>
      <c r="AM23" s="59">
        <f t="shared" si="5"/>
        <v>423.57293470145942</v>
      </c>
      <c r="AN23" s="59">
        <f ca="1">AVERAGE(OFFSET($AM$3,0,0,'Données projet'!$E$10+1,1))-AVERAGE(OFFSET($H$3,0,0,'Données projet'!$E$10+1,1))</f>
        <v>283.73369613548124</v>
      </c>
      <c r="AO23" s="59">
        <f t="shared" si="36"/>
        <v>249.77804091581208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9.0133771872531998</v>
      </c>
      <c r="AW23" s="21">
        <f>EXP(-LN(2)/2)*AW22+(1-EXP(-LN(2)/2))/(LN(2)/2)*AQ23*AT23*VLOOKUP('Données projet'!$B$10,Paramètres!$A$1:$I$89,3,0)*0.475*44/12</f>
        <v>9.8036189855273062</v>
      </c>
      <c r="AX23" s="21">
        <f t="shared" si="6"/>
        <v>18.816996172780506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278.5296012747549</v>
      </c>
      <c r="T24" s="59">
        <f t="shared" si="34"/>
        <v>370.55343097937077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14.504098271788013</v>
      </c>
      <c r="AB24" s="21">
        <f>EXP(-LN(2)/2)*AB23+(1-EXP(-LN(2)/2))/(LN(2)/2)*V24*Y24*VLOOKUP('Données projet'!$B$9,Paramètres!$A$1:$I$89,3,0)*0.475*44/12</f>
        <v>6.8216878129962479</v>
      </c>
      <c r="AC24" s="22">
        <f t="shared" si="3"/>
        <v>21.325786084784262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15.7</v>
      </c>
      <c r="AI24" s="13">
        <f>IF('Données projet'!$A$62&gt;35,AI23+AH24-AQ23,IF(A24&lt;'Données projet'!$A$62,$AF$205^A24,IF(A24='Données projet'!$A$62,'Données projet'!$B$62,AI23+AH24-AQ23)))</f>
        <v>112.84615384615383</v>
      </c>
      <c r="AJ24" s="13">
        <f>AI24*VLOOKUP('Données projet'!$B$10,Paramètres!$A$1:$I$89,3,0)*VLOOKUP('Données projet'!$B$10,Paramètres!$A$1:$I$89,5,0)</f>
        <v>67.481999999999985</v>
      </c>
      <c r="AK24" s="13">
        <f t="shared" si="35"/>
        <v>19.046822454976283</v>
      </c>
      <c r="AL24" s="20">
        <f t="shared" si="4"/>
        <v>150.70436577575032</v>
      </c>
      <c r="AM24" s="59">
        <f t="shared" si="5"/>
        <v>444.03769910908363</v>
      </c>
      <c r="AN24" s="59">
        <f ca="1">AVERAGE(OFFSET($AM$3,0,0,'Données projet'!$E$10+1,1))-AVERAGE(OFFSET($H$3,0,0,'Données projet'!$E$10+1,1))</f>
        <v>283.73369613548124</v>
      </c>
      <c r="AO24" s="59">
        <f t="shared" si="36"/>
        <v>249.77804091581208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8.7669059140748544</v>
      </c>
      <c r="AW24" s="21">
        <f>EXP(-LN(2)/2)*AW23+(1-EXP(-LN(2)/2))/(LN(2)/2)*AQ24*AT24*VLOOKUP('Données projet'!$B$10,Paramètres!$A$1:$I$89,3,0)*0.475*44/12</f>
        <v>6.9322054648355405</v>
      </c>
      <c r="AX24" s="21">
        <f t="shared" si="6"/>
        <v>15.699111378910395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278.5296012747549</v>
      </c>
      <c r="T25" s="59">
        <f t="shared" si="34"/>
        <v>370.55343097937077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14.107482941808591</v>
      </c>
      <c r="AB25" s="21">
        <f>EXP(-LN(2)/2)*AB24+(1-EXP(-LN(2)/2))/(LN(2)/2)*V25*Y25*VLOOKUP('Données projet'!$B$9,Paramètres!$A$1:$I$89,3,0)*0.475*44/12</f>
        <v>4.8236617117072758</v>
      </c>
      <c r="AC25" s="22">
        <f t="shared" si="3"/>
        <v>18.931144653515865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15.7</v>
      </c>
      <c r="AI25" s="13">
        <f>IF('Données projet'!$A$62&gt;35,AI24+AH25-AQ24,IF(A25&lt;'Données projet'!$A$62,$AF$205^A25,IF(A25='Données projet'!$A$62,'Données projet'!$B$62,AI24+AH25-AQ24)))</f>
        <v>128.54615384615383</v>
      </c>
      <c r="AJ25" s="13">
        <f>AI25*VLOOKUP('Données projet'!$B$10,Paramètres!$A$1:$I$89,3,0)*VLOOKUP('Données projet'!$B$10,Paramètres!$A$1:$I$89,5,0)</f>
        <v>76.870599999999996</v>
      </c>
      <c r="AK25" s="13">
        <f t="shared" si="35"/>
        <v>21.370261683634599</v>
      </c>
      <c r="AL25" s="20">
        <f t="shared" si="4"/>
        <v>171.10283409899691</v>
      </c>
      <c r="AM25" s="59">
        <f t="shared" si="5"/>
        <v>464.43616743233019</v>
      </c>
      <c r="AN25" s="59">
        <f ca="1">AVERAGE(OFFSET($AM$3,0,0,'Données projet'!$E$10+1,1))-AVERAGE(OFFSET($H$3,0,0,'Données projet'!$E$10+1,1))</f>
        <v>283.73369613548124</v>
      </c>
      <c r="AO25" s="59">
        <f t="shared" si="36"/>
        <v>249.77804091581208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8.5271744108229317</v>
      </c>
      <c r="AW25" s="21">
        <f>EXP(-LN(2)/2)*AW24+(1-EXP(-LN(2)/2))/(LN(2)/2)*AQ25*AT25*VLOOKUP('Données projet'!$B$10,Paramètres!$A$1:$I$89,3,0)*0.475*44/12</f>
        <v>4.901809492763654</v>
      </c>
      <c r="AX25" s="21">
        <f t="shared" si="6"/>
        <v>13.428983903586586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278.5296012747549</v>
      </c>
      <c r="T26" s="59">
        <f t="shared" si="34"/>
        <v>370.55343097937077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13.72171307888455</v>
      </c>
      <c r="AB26" s="21">
        <f>EXP(-LN(2)/2)*AB25+(1-EXP(-LN(2)/2))/(LN(2)/2)*V26*Y26*VLOOKUP('Données projet'!$B$9,Paramètres!$A$1:$I$89,3,0)*0.475*44/12</f>
        <v>3.410843906498124</v>
      </c>
      <c r="AC26" s="22">
        <f t="shared" si="3"/>
        <v>17.132556985382674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</v>
      </c>
      <c r="AI26" s="13">
        <f>IF('Données projet'!$A$62&gt;35,AI25+AH26-AQ25,IF(A26&lt;'Données projet'!$A$62,$AF$205^A26,IF(A26='Données projet'!$A$62,'Données projet'!$B$62,AI25+AH26-AQ25)))</f>
        <v>144.24615384615382</v>
      </c>
      <c r="AJ26" s="13">
        <f>AI26*VLOOKUP('Données projet'!$B$10,Paramètres!$A$1:$I$89,3,0)*VLOOKUP('Données projet'!$B$10,Paramètres!$A$1:$I$89,5,0)</f>
        <v>86.259199999999993</v>
      </c>
      <c r="AK26" s="13">
        <f t="shared" si="35"/>
        <v>23.660817147545782</v>
      </c>
      <c r="AL26" s="20">
        <f t="shared" si="4"/>
        <v>191.44402986530886</v>
      </c>
      <c r="AM26" s="59">
        <f t="shared" si="5"/>
        <v>484.77736319864221</v>
      </c>
      <c r="AN26" s="59">
        <f ca="1">AVERAGE(OFFSET($AM$3,0,0,'Données projet'!$E$10+1,1))-AVERAGE(OFFSET($H$3,0,0,'Données projet'!$E$10+1,1))</f>
        <v>283.73369613548124</v>
      </c>
      <c r="AO26" s="59">
        <f t="shared" si="36"/>
        <v>249.77804091581208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8.2939983781343649</v>
      </c>
      <c r="AW26" s="21">
        <f>EXP(-LN(2)/2)*AW25+(1-EXP(-LN(2)/2))/(LN(2)/2)*AQ26*AT26*VLOOKUP('Données projet'!$B$10,Paramètres!$A$1:$I$89,3,0)*0.475*44/12</f>
        <v>3.4661027324177707</v>
      </c>
      <c r="AX26" s="21">
        <f t="shared" si="6"/>
        <v>11.760101110552135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278.5296012747549</v>
      </c>
      <c r="T27" s="59">
        <f t="shared" si="34"/>
        <v>370.55343097937077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0.38500000000000001</v>
      </c>
      <c r="X27" s="16">
        <f>IF(ISNA(VLOOKUP(A27,'Données projet'!$A$35:$I$55,6,0)),0%,VLOOKUP(A27,'Données projet'!$A$35:$I$55,6,0)*VLOOKUP('Données projet'!$B$9,Paramètres!$A$1:$I$89,7,0))</f>
        <v>9.240000000000001E-2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12.179722870865961</v>
      </c>
      <c r="AA27" s="21">
        <f>EXP(-LN(2)/25)*AA26+(1-EXP(-LN(2)/25))/(LN(2)/25)*Calculateur!V27*Calculateur!X27*VLOOKUP('Données projet'!$B$9,Paramètres!$A$1:$I$89,3,0)*0.475*44/12</f>
        <v>16.25811611180935</v>
      </c>
      <c r="AB27" s="21">
        <f>EXP(-LN(2)/2)*AB26+(1-EXP(-LN(2)/2))/(LN(2)/2)*V27*Y27*VLOOKUP('Données projet'!$B$9,Paramètres!$A$1:$I$89,3,0)*0.475*44/12</f>
        <v>5.9759957746672558</v>
      </c>
      <c r="AC27" s="22">
        <f t="shared" si="3"/>
        <v>34.413834757342563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159.94615384615383</v>
      </c>
      <c r="AG27" s="12">
        <f>VLOOKUP(A27,'Données projet'!$A$61:$I$81,9,0)</f>
        <v>15.7</v>
      </c>
      <c r="AH27" s="12">
        <f t="array" ref="AH27">INDEX(AG:AG,MIN(IF(ISNUMBER(AG27:AG223),ROW(AG27:AG223),"")))</f>
        <v>15.7</v>
      </c>
      <c r="AI27" s="13">
        <f>IF('Données projet'!$A$62&gt;35,AI26+AH27-AQ26,IF(A27&lt;'Données projet'!$A$62,$AF$205^A27,IF(A27='Données projet'!$A$62,'Données projet'!$B$62,AI26+AH27-AQ26)))</f>
        <v>159.94615384615381</v>
      </c>
      <c r="AJ27" s="13">
        <f>AI27*VLOOKUP('Données projet'!$B$10,Paramètres!$A$1:$I$89,3,0)*VLOOKUP('Données projet'!$B$10,Paramètres!$A$1:$I$89,5,0)</f>
        <v>95.647799999999989</v>
      </c>
      <c r="AK27" s="13">
        <f t="shared" si="35"/>
        <v>25.922476046044615</v>
      </c>
      <c r="AL27" s="20">
        <f t="shared" si="4"/>
        <v>211.73489744686097</v>
      </c>
      <c r="AM27" s="59">
        <f t="shared" si="5"/>
        <v>505.06823078019431</v>
      </c>
      <c r="AN27" s="59">
        <f ca="1">AVERAGE(OFFSET($AM$3,0,0,'Données projet'!$E$10+1,1))-AVERAGE(OFFSET($H$3,0,0,'Données projet'!$E$10+1,1))</f>
        <v>283.73369613548124</v>
      </c>
      <c r="AO27" s="59">
        <f t="shared" si="36"/>
        <v>249.77804091581208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40.41538461538461</v>
      </c>
      <c r="AR27" s="16">
        <f>IF(ISNA(VLOOKUP(A27,'Données projet'!$A$61:$I$81,5,0)),0%,VLOOKUP(A27,'Données projet'!$A$61:$I$81,5,0)*VLOOKUP('Données projet'!$B$10,Paramètres!$A$1:$I$89,7,0))</f>
        <v>0.315</v>
      </c>
      <c r="AS27" s="16">
        <f>IF(ISNA(VLOOKUP(A27,'Données projet'!$A$61:$I$81,6,0)),0%,VLOOKUP(A27,'Données projet'!$A$61:$I$81,6,0)*VLOOKUP('Données projet'!$B$10,Paramètres!$A$1:$I$89,7,0))</f>
        <v>7.5600000000000001E-2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10.099196221226169</v>
      </c>
      <c r="AV27" s="21">
        <f>EXP(-LN(2)/25)*AV26+(1-EXP(-LN(2)/25))/(LN(2)/25)*Calculateur!AQ27*Calculateur!AS27*VLOOKUP('Données projet'!$B$10,Paramètres!$A$1:$I$89,3,0)*0.475*44/12</f>
        <v>10.481462197347724</v>
      </c>
      <c r="AW27" s="21">
        <f>EXP(-LN(2)/2)*AW26+(1-EXP(-LN(2)/2))/(LN(2)/2)*AQ27*AT27*VLOOKUP('Données projet'!$B$10,Paramètres!$A$1:$I$89,3,0)*0.475*44/12</f>
        <v>6.0629848302409268</v>
      </c>
      <c r="AX27" s="21">
        <f t="shared" si="6"/>
        <v>26.643643248814818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278.5296012747549</v>
      </c>
      <c r="T28" s="59">
        <f t="shared" si="34"/>
        <v>370.55343097937077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11.940885934265687</v>
      </c>
      <c r="AA28" s="21">
        <f>EXP(-LN(2)/25)*AA27+(1-EXP(-LN(2)/25))/(LN(2)/25)*Calculateur!V28*Calculateur!X28*VLOOKUP('Données projet'!$B$9,Paramètres!$A$1:$I$89,3,0)*0.475*44/12</f>
        <v>15.813537071754755</v>
      </c>
      <c r="AB28" s="21">
        <f>EXP(-LN(2)/2)*AB27+(1-EXP(-LN(2)/2))/(LN(2)/2)*V28*Y28*VLOOKUP('Données projet'!$B$9,Paramètres!$A$1:$I$89,3,0)*0.475*44/12</f>
        <v>4.2256671366093723</v>
      </c>
      <c r="AC28" s="22">
        <f t="shared" si="3"/>
        <v>31.980090142629813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16.020512820512824</v>
      </c>
      <c r="AI28" s="13">
        <f>IF('Données projet'!$A$62&gt;35,AI27+AH28-AQ27,IF(A28&lt;'Données projet'!$A$62,$AF$205^A28,IF(A28='Données projet'!$A$62,'Données projet'!$B$62,AI27+AH28-AQ27)))</f>
        <v>135.55128205128204</v>
      </c>
      <c r="AJ28" s="13">
        <f>AI28*VLOOKUP('Données projet'!$B$10,Paramètres!$A$1:$I$89,3,0)*VLOOKUP('Données projet'!$B$10,Paramètres!$A$1:$I$89,5,0)</f>
        <v>81.059666666666672</v>
      </c>
      <c r="AK28" s="13">
        <f t="shared" si="35"/>
        <v>22.396079377742645</v>
      </c>
      <c r="AL28" s="20">
        <f t="shared" si="4"/>
        <v>180.18542436067958</v>
      </c>
      <c r="AM28" s="59">
        <f t="shared" si="5"/>
        <v>473.51875769401289</v>
      </c>
      <c r="AN28" s="59">
        <f ca="1">AVERAGE(OFFSET($AM$3,0,0,'Données projet'!$E$10+1,1))-AVERAGE(OFFSET($H$3,0,0,'Données projet'!$E$10+1,1))</f>
        <v>283.73369613548124</v>
      </c>
      <c r="AO28" s="59">
        <f t="shared" si="36"/>
        <v>249.77804091581208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9.9011571432293799</v>
      </c>
      <c r="AV28" s="21">
        <f>EXP(-LN(2)/25)*AV27+(1-EXP(-LN(2)/25))/(LN(2)/25)*Calculateur!AQ28*Calculateur!AS28*VLOOKUP('Données projet'!$B$10,Paramètres!$A$1:$I$89,3,0)*0.475*44/12</f>
        <v>10.19484606236511</v>
      </c>
      <c r="AW28" s="21">
        <f>EXP(-LN(2)/2)*AW27+(1-EXP(-LN(2)/2))/(LN(2)/2)*AQ28*AT28*VLOOKUP('Données projet'!$B$10,Paramètres!$A$1:$I$89,3,0)*0.475*44/12</f>
        <v>4.2871776876945287</v>
      </c>
      <c r="AX28" s="21">
        <f t="shared" si="6"/>
        <v>24.383180893289023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278.5296012747549</v>
      </c>
      <c r="T29" s="59">
        <f t="shared" si="34"/>
        <v>370.55343097937077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11.706732444315998</v>
      </c>
      <c r="AA29" s="21">
        <f>EXP(-LN(2)/25)*AA28+(1-EXP(-LN(2)/25))/(LN(2)/25)*Calculateur!V29*Calculateur!X29*VLOOKUP('Données projet'!$B$9,Paramètres!$A$1:$I$89,3,0)*0.475*44/12</f>
        <v>15.38111506892985</v>
      </c>
      <c r="AB29" s="21">
        <f>EXP(-LN(2)/2)*AB28+(1-EXP(-LN(2)/2))/(LN(2)/2)*V29*Y29*VLOOKUP('Données projet'!$B$9,Paramètres!$A$1:$I$89,3,0)*0.475*44/12</f>
        <v>2.9879978873336284</v>
      </c>
      <c r="AC29" s="22">
        <f t="shared" si="3"/>
        <v>30.075845400579475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16.020512820512824</v>
      </c>
      <c r="AI29" s="13">
        <f>IF('Données projet'!$A$62&gt;35,AI28+AH29-AQ28,IF(A29&lt;'Données projet'!$A$62,$AF$205^A29,IF(A29='Données projet'!$A$62,'Données projet'!$B$62,AI28+AH29-AQ28)))</f>
        <v>151.57179487179488</v>
      </c>
      <c r="AJ29" s="13">
        <f>AI29*VLOOKUP('Données projet'!$B$10,Paramètres!$A$1:$I$89,3,0)*VLOOKUP('Données projet'!$B$10,Paramètres!$A$1:$I$89,5,0)</f>
        <v>90.639933333333346</v>
      </c>
      <c r="AK29" s="13">
        <f t="shared" si="35"/>
        <v>24.719497804626467</v>
      </c>
      <c r="AL29" s="20">
        <f t="shared" si="4"/>
        <v>200.91767589861334</v>
      </c>
      <c r="AM29" s="59">
        <f t="shared" si="5"/>
        <v>494.25100923194668</v>
      </c>
      <c r="AN29" s="59">
        <f ca="1">AVERAGE(OFFSET($AM$3,0,0,'Données projet'!$E$10+1,1))-AVERAGE(OFFSET($H$3,0,0,'Données projet'!$E$10+1,1))</f>
        <v>283.73369613548124</v>
      </c>
      <c r="AO29" s="59">
        <f t="shared" si="36"/>
        <v>249.77804091581208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9.7070014907601969</v>
      </c>
      <c r="AV29" s="21">
        <f>EXP(-LN(2)/25)*AV28+(1-EXP(-LN(2)/25))/(LN(2)/25)*Calculateur!AQ29*Calculateur!AS29*VLOOKUP('Données projet'!$B$10,Paramètres!$A$1:$I$89,3,0)*0.475*44/12</f>
        <v>9.916067460666083</v>
      </c>
      <c r="AW29" s="21">
        <f>EXP(-LN(2)/2)*AW28+(1-EXP(-LN(2)/2))/(LN(2)/2)*AQ29*AT29*VLOOKUP('Données projet'!$B$10,Paramètres!$A$1:$I$89,3,0)*0.475*44/12</f>
        <v>3.0314924151204639</v>
      </c>
      <c r="AX29" s="21">
        <f t="shared" si="6"/>
        <v>22.654561366546744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278.5296012747549</v>
      </c>
      <c r="T30" s="59">
        <f t="shared" si="34"/>
        <v>370.55343097937077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11.477170561484696</v>
      </c>
      <c r="AA30" s="21">
        <f>EXP(-LN(2)/25)*AA29+(1-EXP(-LN(2)/25))/(LN(2)/25)*Calculateur!V30*Calculateur!X30*VLOOKUP('Données projet'!$B$9,Paramètres!$A$1:$I$89,3,0)*0.475*44/12</f>
        <v>14.960517668512276</v>
      </c>
      <c r="AB30" s="21">
        <f>EXP(-LN(2)/2)*AB29+(1-EXP(-LN(2)/2))/(LN(2)/2)*V30*Y30*VLOOKUP('Données projet'!$B$9,Paramètres!$A$1:$I$89,3,0)*0.475*44/12</f>
        <v>2.1128335683046862</v>
      </c>
      <c r="AC30" s="22">
        <f t="shared" si="3"/>
        <v>28.550521798301659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16.020512820512824</v>
      </c>
      <c r="AI30" s="13">
        <f>IF('Données projet'!$A$62&gt;35,AI29+AH30-AQ29,IF(A30&lt;'Données projet'!$A$62,$AF$205^A30,IF(A30='Données projet'!$A$62,'Données projet'!$B$62,AI29+AH30-AQ29)))</f>
        <v>167.59230769230771</v>
      </c>
      <c r="AJ30" s="13">
        <f>AI30*VLOOKUP('Données projet'!$B$10,Paramètres!$A$1:$I$89,3,0)*VLOOKUP('Données projet'!$B$10,Paramètres!$A$1:$I$89,5,0)</f>
        <v>100.22020000000002</v>
      </c>
      <c r="AK30" s="13">
        <f t="shared" si="35"/>
        <v>27.014450444334749</v>
      </c>
      <c r="AL30" s="20">
        <f t="shared" si="4"/>
        <v>221.60034952388301</v>
      </c>
      <c r="AM30" s="59">
        <f t="shared" si="5"/>
        <v>514.93368285721635</v>
      </c>
      <c r="AN30" s="59">
        <f ca="1">AVERAGE(OFFSET($AM$3,0,0,'Données projet'!$E$10+1,1))-AVERAGE(OFFSET($H$3,0,0,'Données projet'!$E$10+1,1))</f>
        <v>283.73369613548124</v>
      </c>
      <c r="AO30" s="59">
        <f t="shared" si="36"/>
        <v>249.77804091581208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9.5166531122126798</v>
      </c>
      <c r="AV30" s="21">
        <f>EXP(-LN(2)/25)*AV29+(1-EXP(-LN(2)/25))/(LN(2)/25)*Calculateur!AQ30*Calculateur!AS30*VLOOKUP('Données projet'!$B$10,Paramètres!$A$1:$I$89,3,0)*0.475*44/12</f>
        <v>9.6449120744908452</v>
      </c>
      <c r="AW30" s="21">
        <f>EXP(-LN(2)/2)*AW29+(1-EXP(-LN(2)/2))/(LN(2)/2)*AQ30*AT30*VLOOKUP('Données projet'!$B$10,Paramètres!$A$1:$I$89,3,0)*0.475*44/12</f>
        <v>2.1435888438472643</v>
      </c>
      <c r="AX30" s="21">
        <f t="shared" si="6"/>
        <v>21.305154030550792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278.5296012747549</v>
      </c>
      <c r="T31" s="59">
        <f t="shared" si="34"/>
        <v>370.55343097937077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11.252110247156793</v>
      </c>
      <c r="AA31" s="21">
        <f>EXP(-LN(2)/25)*AA30+(1-EXP(-LN(2)/25))/(LN(2)/25)*Calculateur!V31*Calculateur!X31*VLOOKUP('Données projet'!$B$9,Paramètres!$A$1:$I$89,3,0)*0.475*44/12</f>
        <v>14.551421526127376</v>
      </c>
      <c r="AB31" s="21">
        <f>EXP(-LN(2)/2)*AB30+(1-EXP(-LN(2)/2))/(LN(2)/2)*V31*Y31*VLOOKUP('Données projet'!$B$9,Paramètres!$A$1:$I$89,3,0)*0.475*44/12</f>
        <v>1.4939989436668142</v>
      </c>
      <c r="AC31" s="22">
        <f t="shared" si="3"/>
        <v>27.297530716950984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16.020512820512824</v>
      </c>
      <c r="AI31" s="13">
        <f>IF('Données projet'!$A$62&gt;35,AI30+AH31-AQ30,IF(A31&lt;'Données projet'!$A$62,$AF$205^A31,IF(A31='Données projet'!$A$62,'Données projet'!$B$62,AI30+AH31-AQ30)))</f>
        <v>183.61282051282055</v>
      </c>
      <c r="AJ31" s="13">
        <f>AI31*VLOOKUP('Données projet'!$B$10,Paramètres!$A$1:$I$89,3,0)*VLOOKUP('Données projet'!$B$10,Paramètres!$A$1:$I$89,5,0)</f>
        <v>109.80046666666669</v>
      </c>
      <c r="AK31" s="13">
        <f t="shared" si="35"/>
        <v>29.283967996494283</v>
      </c>
      <c r="AL31" s="20">
        <f t="shared" si="4"/>
        <v>242.23872370500536</v>
      </c>
      <c r="AM31" s="59">
        <f t="shared" si="5"/>
        <v>535.5720570383387</v>
      </c>
      <c r="AN31" s="59">
        <f ca="1">AVERAGE(OFFSET($AM$3,0,0,'Données projet'!$E$10+1,1))-AVERAGE(OFFSET($H$3,0,0,'Données projet'!$E$10+1,1))</f>
        <v>283.73369613548124</v>
      </c>
      <c r="AO31" s="59">
        <f t="shared" si="36"/>
        <v>249.77804091581208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9.3300373492674318</v>
      </c>
      <c r="AV31" s="21">
        <f>EXP(-LN(2)/25)*AV30+(1-EXP(-LN(2)/25))/(LN(2)/25)*Calculateur!AQ31*Calculateur!AS31*VLOOKUP('Données projet'!$B$10,Paramètres!$A$1:$I$89,3,0)*0.475*44/12</f>
        <v>9.3811714466100113</v>
      </c>
      <c r="AW31" s="21">
        <f>EXP(-LN(2)/2)*AW30+(1-EXP(-LN(2)/2))/(LN(2)/2)*AQ31*AT31*VLOOKUP('Données projet'!$B$10,Paramètres!$A$1:$I$89,3,0)*0.475*44/12</f>
        <v>1.5157462075602319</v>
      </c>
      <c r="AX31" s="21">
        <f t="shared" si="6"/>
        <v>20.226955003437673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278.5296012747549</v>
      </c>
      <c r="T32" s="59">
        <f t="shared" si="34"/>
        <v>370.55343097937077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11.031463228319623</v>
      </c>
      <c r="AA32" s="21">
        <f>EXP(-LN(2)/25)*AA31+(1-EXP(-LN(2)/25))/(LN(2)/25)*Calculateur!V32*Calculateur!X32*VLOOKUP('Données projet'!$B$9,Paramètres!$A$1:$I$89,3,0)*0.475*44/12</f>
        <v>14.153512139269422</v>
      </c>
      <c r="AB32" s="21">
        <f>EXP(-LN(2)/2)*AB31+(1-EXP(-LN(2)/2))/(LN(2)/2)*V32*Y32*VLOOKUP('Données projet'!$B$9,Paramètres!$A$1:$I$89,3,0)*0.475*44/12</f>
        <v>1.0564167841523431</v>
      </c>
      <c r="AC32" s="22">
        <f t="shared" si="3"/>
        <v>26.24139215174139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16.020512820512824</v>
      </c>
      <c r="AI32" s="13">
        <f>IF('Données projet'!$A$62&gt;35,AI31+AH32-AQ31,IF(A32&lt;'Données projet'!$A$62,$AF$205^A32,IF(A32='Données projet'!$A$62,'Données projet'!$B$62,AI31+AH32-AQ31)))</f>
        <v>199.63333333333338</v>
      </c>
      <c r="AJ32" s="13">
        <f>AI32*VLOOKUP('Données projet'!$B$10,Paramètres!$A$1:$I$89,3,0)*VLOOKUP('Données projet'!$B$10,Paramètres!$A$1:$I$89,5,0)</f>
        <v>119.38073333333337</v>
      </c>
      <c r="AK32" s="13">
        <f t="shared" si="35"/>
        <v>31.530522050233152</v>
      </c>
      <c r="AL32" s="20">
        <f t="shared" si="4"/>
        <v>262.83710312637839</v>
      </c>
      <c r="AM32" s="59">
        <f t="shared" si="5"/>
        <v>556.17043645971171</v>
      </c>
      <c r="AN32" s="59">
        <f ca="1">AVERAGE(OFFSET($AM$3,0,0,'Données projet'!$E$10+1,1))-AVERAGE(OFFSET($H$3,0,0,'Données projet'!$E$10+1,1))</f>
        <v>283.73369613548124</v>
      </c>
      <c r="AO32" s="59">
        <f t="shared" si="36"/>
        <v>249.77804091581208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9.1470810076091649</v>
      </c>
      <c r="AV32" s="21">
        <f>EXP(-LN(2)/25)*AV31+(1-EXP(-LN(2)/25))/(LN(2)/25)*Calculateur!AQ32*Calculateur!AS32*VLOOKUP('Données projet'!$B$10,Paramètres!$A$1:$I$89,3,0)*0.475*44/12</f>
        <v>9.1246428200680949</v>
      </c>
      <c r="AW32" s="21">
        <f>EXP(-LN(2)/2)*AW31+(1-EXP(-LN(2)/2))/(LN(2)/2)*AQ32*AT32*VLOOKUP('Données projet'!$B$10,Paramètres!$A$1:$I$89,3,0)*0.475*44/12</f>
        <v>1.0717944219236322</v>
      </c>
      <c r="AX32" s="21">
        <f t="shared" si="6"/>
        <v>19.343518249600891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278.5296012747549</v>
      </c>
      <c r="T33" s="59">
        <f t="shared" si="34"/>
        <v>370.55343097937077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0.38500000000000001</v>
      </c>
      <c r="X33" s="16">
        <f>IF(ISNA(VLOOKUP(A33,'Données projet'!$A$35:$I$55,6,0)),0%,VLOOKUP(A33,'Données projet'!$A$35:$I$55,6,0)*VLOOKUP('Données projet'!$B$9,Paramètres!$A$1:$I$89,7,0))</f>
        <v>9.240000000000001E-2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29.563483054643072</v>
      </c>
      <c r="AA33" s="21">
        <f>EXP(-LN(2)/25)*AA32+(1-EXP(-LN(2)/25))/(LN(2)/25)*Calculateur!V33*Calculateur!X33*VLOOKUP('Données projet'!$B$9,Paramètres!$A$1:$I$89,3,0)*0.475*44/12</f>
        <v>18.248368581460394</v>
      </c>
      <c r="AB33" s="21">
        <f>EXP(-LN(2)/2)*AB32+(1-EXP(-LN(2)/2))/(LN(2)/2)*V33*Y33*VLOOKUP('Données projet'!$B$9,Paramètres!$A$1:$I$89,3,0)*0.475*44/12</f>
        <v>6.233345651406407</v>
      </c>
      <c r="AC33" s="22">
        <f t="shared" si="3"/>
        <v>54.045197287509879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215.65384615384616</v>
      </c>
      <c r="AG33" s="12">
        <f>VLOOKUP(A33,'Données projet'!$A$61:$I$81,9,0)</f>
        <v>16.020512820512824</v>
      </c>
      <c r="AH33" s="12">
        <f t="array" ref="AH33">INDEX(AG:AG,MIN(IF(ISNUMBER(AG33:AG229),ROW(AG33:AG229),"")))</f>
        <v>16.020512820512824</v>
      </c>
      <c r="AI33" s="13">
        <f>IF('Données projet'!$A$62&gt;35,AI32+AH33-AQ32,IF(A33&lt;'Données projet'!$A$62,$AF$205^A33,IF(A33='Données projet'!$A$62,'Données projet'!$B$62,AI32+AH33-AQ32)))</f>
        <v>215.65384615384622</v>
      </c>
      <c r="AJ33" s="13">
        <f>AI33*VLOOKUP('Données projet'!$B$10,Paramètres!$A$1:$I$89,3,0)*VLOOKUP('Données projet'!$B$10,Paramètres!$A$1:$I$89,5,0)</f>
        <v>128.96100000000004</v>
      </c>
      <c r="AK33" s="13">
        <f t="shared" si="35"/>
        <v>33.756164929705356</v>
      </c>
      <c r="AL33" s="20">
        <f t="shared" si="4"/>
        <v>283.39906225257022</v>
      </c>
      <c r="AM33" s="59">
        <f t="shared" si="5"/>
        <v>576.73239558590353</v>
      </c>
      <c r="AN33" s="59">
        <f ca="1">AVERAGE(OFFSET($AM$3,0,0,'Données projet'!$E$10+1,1))-AVERAGE(OFFSET($H$3,0,0,'Données projet'!$E$10+1,1))</f>
        <v>283.73369613548124</v>
      </c>
      <c r="AO33" s="59">
        <f t="shared" si="36"/>
        <v>249.77804091581208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55.869230769230761</v>
      </c>
      <c r="AR33" s="16">
        <f>IF(ISNA(VLOOKUP(A33,'Données projet'!$A$61:$I$81,5,0)),0%,VLOOKUP(A33,'Données projet'!$A$61:$I$81,5,0)*VLOOKUP('Données projet'!$B$10,Paramètres!$A$1:$I$89,7,0))</f>
        <v>0.315</v>
      </c>
      <c r="AS33" s="16">
        <f>IF(ISNA(VLOOKUP(A33,'Données projet'!$A$61:$I$81,6,0)),0%,VLOOKUP(A33,'Données projet'!$A$61:$I$81,6,0)*VLOOKUP('Données projet'!$B$10,Paramètres!$A$1:$I$89,7,0))</f>
        <v>7.5600000000000001E-2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22.92859206837181</v>
      </c>
      <c r="AV33" s="21">
        <f>EXP(-LN(2)/25)*AV32+(1-EXP(-LN(2)/25))/(LN(2)/25)*Calculateur!AQ33*Calculateur!AS33*VLOOKUP('Données projet'!$B$10,Paramètres!$A$1:$I$89,3,0)*0.475*44/12</f>
        <v>12.212547487214213</v>
      </c>
      <c r="AW33" s="21">
        <f>EXP(-LN(2)/2)*AW32+(1-EXP(-LN(2)/2))/(LN(2)/2)*AQ33*AT33*VLOOKUP('Données projet'!$B$10,Paramètres!$A$1:$I$89,3,0)*0.475*44/12</f>
        <v>5.7511235128148783</v>
      </c>
      <c r="AX33" s="21">
        <f t="shared" si="6"/>
        <v>40.892263068400901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22.884615384615397</v>
      </c>
      <c r="N34" s="13">
        <f>IF('Données projet'!$A$36&gt;35,N33+M34-V33,IF(A34&lt;'Données projet'!$A$36,$K$205^A34,IF(A34='Données projet'!$A$36,'Données projet'!$B$36,N33+M34-V33)))</f>
        <v>289.08461538461529</v>
      </c>
      <c r="O34" s="13">
        <f>N34*VLOOKUP('Données projet'!$B$9,Paramètres!$A$1:$I$89,3,0)*VLOOKUP('Données projet'!$B$9,Paramètres!$A$1:$I$89,5,0)</f>
        <v>161.59829999999994</v>
      </c>
      <c r="P34" s="13">
        <f t="shared" si="33"/>
        <v>41.202807619439731</v>
      </c>
      <c r="Q34" s="20">
        <f t="shared" si="2"/>
        <v>353.21192910385736</v>
      </c>
      <c r="R34" s="59">
        <f t="shared" si="0"/>
        <v>646.54526243719067</v>
      </c>
      <c r="S34" s="59">
        <f ca="1">AVERAGE(OFFSET($R$3,0,0,'Données projet'!$E$9+1,1))-AVERAGE(OFFSET($H$3,0,0,'Données projet'!$E$9+1,1))</f>
        <v>278.5296012747549</v>
      </c>
      <c r="T34" s="59">
        <f t="shared" si="34"/>
        <v>370.55343097937077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28.983761183885679</v>
      </c>
      <c r="AA34" s="21">
        <f>EXP(-LN(2)/25)*AA33+(1-EXP(-LN(2)/25))/(LN(2)/25)*Calculateur!V34*Calculateur!X34*VLOOKUP('Données projet'!$B$9,Paramètres!$A$1:$I$89,3,0)*0.475*44/12</f>
        <v>17.749365982960363</v>
      </c>
      <c r="AB34" s="21">
        <f>EXP(-LN(2)/2)*AB33+(1-EXP(-LN(2)/2))/(LN(2)/2)*V34*Y34*VLOOKUP('Données projet'!$B$9,Paramètres!$A$1:$I$89,3,0)*0.475*44/12</f>
        <v>4.4076409795891482</v>
      </c>
      <c r="AC34" s="22">
        <f t="shared" si="3"/>
        <v>51.140768146435192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15.48351648351648</v>
      </c>
      <c r="AI34" s="13">
        <f>IF('Données projet'!$A$62&gt;35,AI33+AH34-AQ33,IF(A34&lt;'Données projet'!$A$62,$AF$205^A34,IF(A34='Données projet'!$A$62,'Données projet'!$B$62,AI33+AH34-AQ33)))</f>
        <v>175.26813186813192</v>
      </c>
      <c r="AJ34" s="13">
        <f>AI34*VLOOKUP('Données projet'!$B$10,Paramètres!$A$1:$I$89,3,0)*VLOOKUP('Données projet'!$B$10,Paramètres!$A$1:$I$89,5,0)</f>
        <v>104.8103428571429</v>
      </c>
      <c r="AK34" s="13">
        <f t="shared" si="35"/>
        <v>28.104843056220705</v>
      </c>
      <c r="AL34" s="20">
        <f t="shared" si="4"/>
        <v>231.49394879910827</v>
      </c>
      <c r="AM34" s="59">
        <f t="shared" si="5"/>
        <v>524.82728213244161</v>
      </c>
      <c r="AN34" s="59">
        <f ca="1">AVERAGE(OFFSET($AM$3,0,0,'Données projet'!$E$10+1,1))-AVERAGE(OFFSET($H$3,0,0,'Données projet'!$E$10+1,1))</f>
        <v>283.73369613548124</v>
      </c>
      <c r="AO34" s="59">
        <f t="shared" si="36"/>
        <v>249.77804091581208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22.478976362971292</v>
      </c>
      <c r="AV34" s="21">
        <f>EXP(-LN(2)/25)*AV33+(1-EXP(-LN(2)/25))/(LN(2)/25)*Calculateur!AQ34*Calculateur!AS34*VLOOKUP('Données projet'!$B$10,Paramètres!$A$1:$I$89,3,0)*0.475*44/12</f>
        <v>11.878594733946381</v>
      </c>
      <c r="AW34" s="21">
        <f>EXP(-LN(2)/2)*AW33+(1-EXP(-LN(2)/2))/(LN(2)/2)*AQ34*AT34*VLOOKUP('Données projet'!$B$10,Paramètres!$A$1:$I$89,3,0)*0.475*44/12</f>
        <v>4.0666584353527986</v>
      </c>
      <c r="AX34" s="21">
        <f t="shared" si="6"/>
        <v>38.424229532270473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22.884615384615397</v>
      </c>
      <c r="N35" s="13">
        <f>IF('Données projet'!$A$36&gt;35,N34+M35-V34,IF(A35&lt;'Données projet'!$A$36,$K$205^A35,IF(A35='Données projet'!$A$36,'Données projet'!$B$36,N34+M35-V34)))</f>
        <v>311.96923076923071</v>
      </c>
      <c r="O35" s="13">
        <f>N35*VLOOKUP('Données projet'!$B$9,Paramètres!$A$1:$I$89,3,0)*VLOOKUP('Données projet'!$B$9,Paramètres!$A$1:$I$89,5,0)</f>
        <v>174.39079999999996</v>
      </c>
      <c r="P35" s="13">
        <f t="shared" si="33"/>
        <v>44.071952499783528</v>
      </c>
      <c r="Q35" s="20">
        <f t="shared" ref="Q35:Q66" si="53">(O35+P35)*0.475*44/12</f>
        <v>380.48929393712291</v>
      </c>
      <c r="R35" s="59">
        <f t="shared" si="0"/>
        <v>673.82262727045622</v>
      </c>
      <c r="S35" s="59">
        <f ca="1">AVERAGE(OFFSET($R$3,0,0,'Données projet'!$E$9+1,1))-AVERAGE(OFFSET($H$3,0,0,'Données projet'!$E$9+1,1))</f>
        <v>278.5296012747549</v>
      </c>
      <c r="T35" s="59">
        <f t="shared" si="34"/>
        <v>370.55343097937077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28.415407305418412</v>
      </c>
      <c r="AA35" s="21">
        <f>EXP(-LN(2)/25)*AA34+(1-EXP(-LN(2)/25))/(LN(2)/25)*Calculateur!V35*Calculateur!X35*VLOOKUP('Données projet'!$B$9,Paramètres!$A$1:$I$89,3,0)*0.475*44/12</f>
        <v>17.264008636757723</v>
      </c>
      <c r="AB35" s="21">
        <f>EXP(-LN(2)/2)*AB34+(1-EXP(-LN(2)/2))/(LN(2)/2)*V35*Y35*VLOOKUP('Données projet'!$B$9,Paramètres!$A$1:$I$89,3,0)*0.475*44/12</f>
        <v>3.1166728257032039</v>
      </c>
      <c r="AC35" s="22">
        <f t="shared" si="3"/>
        <v>48.79608876787934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15.48351648351648</v>
      </c>
      <c r="AI35" s="13">
        <f>IF('Données projet'!$A$62&gt;35,AI34+AH35-AQ34,IF(A35&lt;'Données projet'!$A$62,$AF$205^A35,IF(A35='Données projet'!$A$62,'Données projet'!$B$62,AI34+AH35-AQ34)))</f>
        <v>190.75164835164838</v>
      </c>
      <c r="AJ35" s="13">
        <f>AI35*VLOOKUP('Données projet'!$B$10,Paramètres!$A$1:$I$89,3,0)*VLOOKUP('Données projet'!$B$10,Paramètres!$A$1:$I$89,5,0)</f>
        <v>114.06948571428575</v>
      </c>
      <c r="AK35" s="13">
        <f t="shared" si="35"/>
        <v>30.287750600607666</v>
      </c>
      <c r="AL35" s="20">
        <f t="shared" si="4"/>
        <v>251.42218658177271</v>
      </c>
      <c r="AM35" s="59">
        <f t="shared" si="5"/>
        <v>544.75551991510599</v>
      </c>
      <c r="AN35" s="59">
        <f ca="1">AVERAGE(OFFSET($AM$3,0,0,'Données projet'!$E$10+1,1))-AVERAGE(OFFSET($H$3,0,0,'Données projet'!$E$10+1,1))</f>
        <v>283.73369613548124</v>
      </c>
      <c r="AO35" s="59">
        <f t="shared" si="36"/>
        <v>249.77804091581208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22.038177347315173</v>
      </c>
      <c r="AV35" s="21">
        <f>EXP(-LN(2)/25)*AV34+(1-EXP(-LN(2)/25))/(LN(2)/25)*Calculateur!AQ35*Calculateur!AS35*VLOOKUP('Données projet'!$B$10,Paramètres!$A$1:$I$89,3,0)*0.475*44/12</f>
        <v>11.553773936278469</v>
      </c>
      <c r="AW35" s="21">
        <f>EXP(-LN(2)/2)*AW34+(1-EXP(-LN(2)/2))/(LN(2)/2)*AQ35*AT35*VLOOKUP('Données projet'!$B$10,Paramètres!$A$1:$I$89,3,0)*0.475*44/12</f>
        <v>2.8755617564074392</v>
      </c>
      <c r="AX35" s="21">
        <f t="shared" si="6"/>
        <v>36.46751304000108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22.884615384615397</v>
      </c>
      <c r="N36" s="13">
        <f>IF('Données projet'!$A$36&gt;35,N35+M36-V35,IF(A36&lt;'Données projet'!$A$36,$K$205^A36,IF(A36='Données projet'!$A$36,'Données projet'!$B$36,N35+M36-V35)))</f>
        <v>334.85384615384612</v>
      </c>
      <c r="O36" s="13">
        <f>N36*VLOOKUP('Données projet'!$B$9,Paramètres!$A$1:$I$89,3,0)*VLOOKUP('Données projet'!$B$9,Paramètres!$A$1:$I$89,5,0)</f>
        <v>187.18329999999997</v>
      </c>
      <c r="P36" s="13">
        <f t="shared" si="33"/>
        <v>46.91668019244311</v>
      </c>
      <c r="Q36" s="20">
        <f t="shared" si="53"/>
        <v>407.72413216850504</v>
      </c>
      <c r="R36" s="59">
        <f t="shared" si="0"/>
        <v>701.05746550183835</v>
      </c>
      <c r="S36" s="59">
        <f ca="1">AVERAGE(OFFSET($R$3,0,0,'Données projet'!$E$9+1,1))-AVERAGE(OFFSET($H$3,0,0,'Données projet'!$E$9+1,1))</f>
        <v>278.5296012747549</v>
      </c>
      <c r="T36" s="59">
        <f t="shared" si="34"/>
        <v>370.55343097937077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27.858198499846253</v>
      </c>
      <c r="AA36" s="21">
        <f>EXP(-LN(2)/25)*AA35+(1-EXP(-LN(2)/25))/(LN(2)/25)*Calculateur!V36*Calculateur!X36*VLOOKUP('Données projet'!$B$9,Paramètres!$A$1:$I$89,3,0)*0.475*44/12</f>
        <v>16.791923412710826</v>
      </c>
      <c r="AB36" s="21">
        <f>EXP(-LN(2)/2)*AB35+(1-EXP(-LN(2)/2))/(LN(2)/2)*V36*Y36*VLOOKUP('Données projet'!$B$9,Paramètres!$A$1:$I$89,3,0)*0.475*44/12</f>
        <v>2.2038204897945741</v>
      </c>
      <c r="AC36" s="22">
        <f t="shared" si="3"/>
        <v>46.853942402351656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15.48351648351648</v>
      </c>
      <c r="AI36" s="13">
        <f>IF('Données projet'!$A$62&gt;35,AI35+AH36-AQ35,IF(A36&lt;'Données projet'!$A$62,$AF$205^A36,IF(A36='Données projet'!$A$62,'Données projet'!$B$62,AI35+AH36-AQ35)))</f>
        <v>206.23516483516485</v>
      </c>
      <c r="AJ36" s="13">
        <f>AI36*VLOOKUP('Données projet'!$B$10,Paramètres!$A$1:$I$89,3,0)*VLOOKUP('Données projet'!$B$10,Paramètres!$A$1:$I$89,5,0)</f>
        <v>123.3286285714286</v>
      </c>
      <c r="AK36" s="13">
        <f t="shared" si="35"/>
        <v>32.450106672465495</v>
      </c>
      <c r="AL36" s="20">
        <f t="shared" si="4"/>
        <v>271.31463054978218</v>
      </c>
      <c r="AM36" s="59">
        <f t="shared" si="5"/>
        <v>564.64796388311549</v>
      </c>
      <c r="AN36" s="59">
        <f ca="1">AVERAGE(OFFSET($AM$3,0,0,'Données projet'!$E$10+1,1))-AVERAGE(OFFSET($H$3,0,0,'Données projet'!$E$10+1,1))</f>
        <v>283.73369613548124</v>
      </c>
      <c r="AO36" s="59">
        <f t="shared" si="36"/>
        <v>249.77804091581208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21.606022131495219</v>
      </c>
      <c r="AV36" s="21">
        <f>EXP(-LN(2)/25)*AV35+(1-EXP(-LN(2)/25))/(LN(2)/25)*Calculateur!AQ36*Calculateur!AS36*VLOOKUP('Données projet'!$B$10,Paramètres!$A$1:$I$89,3,0)*0.475*44/12</f>
        <v>11.23783538040437</v>
      </c>
      <c r="AW36" s="21">
        <f>EXP(-LN(2)/2)*AW35+(1-EXP(-LN(2)/2))/(LN(2)/2)*AQ36*AT36*VLOOKUP('Données projet'!$B$10,Paramètres!$A$1:$I$89,3,0)*0.475*44/12</f>
        <v>2.0333292176763993</v>
      </c>
      <c r="AX36" s="21">
        <f t="shared" si="6"/>
        <v>34.877186729575982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22.884615384615397</v>
      </c>
      <c r="N37" s="13">
        <f>IF('Données projet'!$A$36&gt;35,N36+M37-V36,IF(A37&lt;'Données projet'!$A$36,$K$205^A37,IF(A37='Données projet'!$A$36,'Données projet'!$B$36,N36+M37-V36)))</f>
        <v>357.73846153846154</v>
      </c>
      <c r="O37" s="13">
        <f>N37*VLOOKUP('Données projet'!$B$9,Paramètres!$A$1:$I$89,3,0)*VLOOKUP('Données projet'!$B$9,Paramètres!$A$1:$I$89,5,0)</f>
        <v>199.97580000000002</v>
      </c>
      <c r="P37" s="13">
        <f t="shared" si="33"/>
        <v>49.738849260389202</v>
      </c>
      <c r="Q37" s="20">
        <f t="shared" si="53"/>
        <v>434.91968079517784</v>
      </c>
      <c r="R37" s="59">
        <f t="shared" si="0"/>
        <v>728.25301412851115</v>
      </c>
      <c r="S37" s="59">
        <f ca="1">AVERAGE(OFFSET($R$3,0,0,'Données projet'!$E$9+1,1))-AVERAGE(OFFSET($H$3,0,0,'Données projet'!$E$9+1,1))</f>
        <v>278.5296012747549</v>
      </c>
      <c r="T37" s="59">
        <f t="shared" si="34"/>
        <v>370.55343097937077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27.31191621908755</v>
      </c>
      <c r="AA37" s="21">
        <f>EXP(-LN(2)/25)*AA36+(1-EXP(-LN(2)/25))/(LN(2)/25)*Calculateur!V37*Calculateur!X37*VLOOKUP('Données projet'!$B$9,Paramètres!$A$1:$I$89,3,0)*0.475*44/12</f>
        <v>16.332747383941374</v>
      </c>
      <c r="AB37" s="21">
        <f>EXP(-LN(2)/2)*AB36+(1-EXP(-LN(2)/2))/(LN(2)/2)*V37*Y37*VLOOKUP('Données projet'!$B$9,Paramètres!$A$1:$I$89,3,0)*0.475*44/12</f>
        <v>1.558336412851602</v>
      </c>
      <c r="AC37" s="22">
        <f t="shared" si="3"/>
        <v>45.203000015880527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15.48351648351648</v>
      </c>
      <c r="AI37" s="13">
        <f>IF('Données projet'!$A$62&gt;35,AI36+AH37-AQ36,IF(A37&lt;'Données projet'!$A$62,$AF$205^A37,IF(A37='Données projet'!$A$62,'Données projet'!$B$62,AI36+AH37-AQ36)))</f>
        <v>221.71868131868132</v>
      </c>
      <c r="AJ37" s="13">
        <f>AI37*VLOOKUP('Données projet'!$B$10,Paramètres!$A$1:$I$89,3,0)*VLOOKUP('Données projet'!$B$10,Paramètres!$A$1:$I$89,5,0)</f>
        <v>132.58777142857144</v>
      </c>
      <c r="AK37" s="13">
        <f t="shared" si="35"/>
        <v>34.593629659414489</v>
      </c>
      <c r="AL37" s="20">
        <f t="shared" si="4"/>
        <v>291.17427356157549</v>
      </c>
      <c r="AM37" s="59">
        <f t="shared" si="5"/>
        <v>584.5076068949088</v>
      </c>
      <c r="AN37" s="59">
        <f ca="1">AVERAGE(OFFSET($AM$3,0,0,'Données projet'!$E$10+1,1))-AVERAGE(OFFSET($H$3,0,0,'Données projet'!$E$10+1,1))</f>
        <v>283.73369613548124</v>
      </c>
      <c r="AO37" s="59">
        <f t="shared" si="36"/>
        <v>249.77804091581208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21.182341215868842</v>
      </c>
      <c r="AV37" s="21">
        <f>EXP(-LN(2)/25)*AV36+(1-EXP(-LN(2)/25))/(LN(2)/25)*Calculateur!AQ37*Calculateur!AS37*VLOOKUP('Données projet'!$B$10,Paramètres!$A$1:$I$89,3,0)*0.475*44/12</f>
        <v>10.930536180955134</v>
      </c>
      <c r="AW37" s="21">
        <f>EXP(-LN(2)/2)*AW36+(1-EXP(-LN(2)/2))/(LN(2)/2)*AQ37*AT37*VLOOKUP('Données projet'!$B$10,Paramètres!$A$1:$I$89,3,0)*0.475*44/12</f>
        <v>1.4377808782037196</v>
      </c>
      <c r="AX37" s="21">
        <f t="shared" si="6"/>
        <v>33.550658275027693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22.884615384615397</v>
      </c>
      <c r="N38" s="13">
        <f>IF('Données projet'!$A$36&gt;35,N37+M38-V37,IF(A38&lt;'Données projet'!$A$36,$K$205^A38,IF(A38='Données projet'!$A$36,'Données projet'!$B$36,N37+M38-V37)))</f>
        <v>380.62307692307695</v>
      </c>
      <c r="O38" s="13">
        <f>N38*VLOOKUP('Données projet'!$B$9,Paramètres!$A$1:$I$89,3,0)*VLOOKUP('Données projet'!$B$9,Paramètres!$A$1:$I$89,5,0)</f>
        <v>212.76830000000001</v>
      </c>
      <c r="P38" s="13">
        <f t="shared" si="33"/>
        <v>52.540067037520508</v>
      </c>
      <c r="Q38" s="20">
        <f t="shared" si="53"/>
        <v>462.07873925701483</v>
      </c>
      <c r="R38" s="59">
        <f t="shared" si="0"/>
        <v>755.41207259034809</v>
      </c>
      <c r="S38" s="59">
        <f ca="1">AVERAGE(OFFSET($R$3,0,0,'Données projet'!$E$9+1,1))-AVERAGE(OFFSET($H$3,0,0,'Données projet'!$E$9+1,1))</f>
        <v>278.5296012747549</v>
      </c>
      <c r="T38" s="59">
        <f t="shared" si="34"/>
        <v>370.55343097937077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26.776346200655233</v>
      </c>
      <c r="AA38" s="21">
        <f>EXP(-LN(2)/25)*AA37+(1-EXP(-LN(2)/25))/(LN(2)/25)*Calculateur!V38*Calculateur!X38*VLOOKUP('Données projet'!$B$9,Paramètres!$A$1:$I$89,3,0)*0.475*44/12</f>
        <v>15.886127547825641</v>
      </c>
      <c r="AB38" s="21">
        <f>EXP(-LN(2)/2)*AB37+(1-EXP(-LN(2)/2))/(LN(2)/2)*V38*Y38*VLOOKUP('Données projet'!$B$9,Paramètres!$A$1:$I$89,3,0)*0.475*44/12</f>
        <v>1.1019102448972871</v>
      </c>
      <c r="AC38" s="22">
        <f t="shared" si="3"/>
        <v>43.764383993378168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15.48351648351648</v>
      </c>
      <c r="AI38" s="13">
        <f>IF('Données projet'!$A$62&gt;35,AI37+AH38-AQ37,IF(A38&lt;'Données projet'!$A$62,$AF$205^A38,IF(A38='Données projet'!$A$62,'Données projet'!$B$62,AI37+AH38-AQ37)))</f>
        <v>237.20219780219779</v>
      </c>
      <c r="AJ38" s="13">
        <f>AI38*VLOOKUP('Données projet'!$B$10,Paramètres!$A$1:$I$89,3,0)*VLOOKUP('Données projet'!$B$10,Paramètres!$A$1:$I$89,5,0)</f>
        <v>141.84691428571429</v>
      </c>
      <c r="AK38" s="13">
        <f t="shared" si="35"/>
        <v>36.719784353381193</v>
      </c>
      <c r="AL38" s="20">
        <f t="shared" si="4"/>
        <v>311.00366679642457</v>
      </c>
      <c r="AM38" s="59">
        <f t="shared" si="5"/>
        <v>604.33700012975783</v>
      </c>
      <c r="AN38" s="59">
        <f ca="1">AVERAGE(OFFSET($AM$3,0,0,'Données projet'!$E$10+1,1))-AVERAGE(OFFSET($H$3,0,0,'Données projet'!$E$10+1,1))</f>
        <v>283.73369613548124</v>
      </c>
      <c r="AO38" s="59">
        <f t="shared" si="36"/>
        <v>249.77804091581208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20.766968424578057</v>
      </c>
      <c r="AV38" s="21">
        <f>EXP(-LN(2)/25)*AV37+(1-EXP(-LN(2)/25))/(LN(2)/25)*Calculateur!AQ38*Calculateur!AS38*VLOOKUP('Données projet'!$B$10,Paramètres!$A$1:$I$89,3,0)*0.475*44/12</f>
        <v>10.631640094274999</v>
      </c>
      <c r="AW38" s="21">
        <f>EXP(-LN(2)/2)*AW37+(1-EXP(-LN(2)/2))/(LN(2)/2)*AQ38*AT38*VLOOKUP('Données projet'!$B$10,Paramètres!$A$1:$I$89,3,0)*0.475*44/12</f>
        <v>1.0166646088381996</v>
      </c>
      <c r="AX38" s="21">
        <f t="shared" si="6"/>
        <v>32.415273127691258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403.50769230769237</v>
      </c>
      <c r="L39" s="12">
        <f>VLOOKUP(A39,'Données projet'!$A$35:$I$55,9,0)</f>
        <v>22.884615384615397</v>
      </c>
      <c r="M39" s="12">
        <f t="array" ref="M39">INDEX(L:L,MIN(IF(ISNUMBER(L39:L235),ROW(L39:L235),"")))</f>
        <v>22.884615384615397</v>
      </c>
      <c r="N39" s="13">
        <f>IF('Données projet'!$A$36&gt;35,N38+M39-V38,IF(A39&lt;'Données projet'!$A$36,$K$205^A39,IF(A39='Données projet'!$A$36,'Données projet'!$B$36,N38+M39-V38)))</f>
        <v>403.50769230769237</v>
      </c>
      <c r="O39" s="13">
        <f>N39*VLOOKUP('Données projet'!$B$9,Paramètres!$A$1:$I$89,3,0)*VLOOKUP('Données projet'!$B$9,Paramètres!$A$1:$I$89,5,0)</f>
        <v>225.56080000000003</v>
      </c>
      <c r="P39" s="13">
        <f t="shared" si="33"/>
        <v>55.321736658663667</v>
      </c>
      <c r="Q39" s="20">
        <f t="shared" si="53"/>
        <v>489.20375134717256</v>
      </c>
      <c r="R39" s="59">
        <f t="shared" si="0"/>
        <v>782.53708468050581</v>
      </c>
      <c r="S39" s="59">
        <f ca="1">AVERAGE(OFFSET($R$3,0,0,'Données projet'!$E$9+1,1))-AVERAGE(OFFSET($H$3,0,0,'Données projet'!$E$9+1,1))</f>
        <v>278.5296012747549</v>
      </c>
      <c r="T39" s="59">
        <f t="shared" si="34"/>
        <v>370.55343097937077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0.38500000000000001</v>
      </c>
      <c r="X39" s="16">
        <f>IF(ISNA(VLOOKUP(A39,'Données projet'!$A$35:$I$55,6,0)),0%,VLOOKUP(A39,'Données projet'!$A$35:$I$55,6,0)*VLOOKUP('Données projet'!$B$9,Paramètres!$A$1:$I$89,7,0))</f>
        <v>9.240000000000001E-2</v>
      </c>
      <c r="Y39" s="16">
        <f>IF(ISNA(VLOOKUP(A39,'Données projet'!$A$35:$I$55,7,0)),0%,VLOOKUP(A39,'Données projet'!$A$35:$I$55,7,0))</f>
        <v>0.13200000000000001</v>
      </c>
      <c r="Z39" s="21">
        <f>EXP(-LN(2)/35)*Z38+(1-EXP(-LN(2)/35))/(LN(2)/35)*V39*W39*VLOOKUP('Données projet'!$B$9,Paramètres!$A$1:$I$89,3,0)*0.475*44/12</f>
        <v>46.036190634544177</v>
      </c>
      <c r="AA39" s="21">
        <f>EXP(-LN(2)/25)*AA38+(1-EXP(-LN(2)/25))/(LN(2)/25)*Calculateur!V39*Calculateur!X39*VLOOKUP('Données projet'!$B$9,Paramètres!$A$1:$I$89,3,0)*0.475*44/12</f>
        <v>20.181403317675393</v>
      </c>
      <c r="AB39" s="21">
        <f>EXP(-LN(2)/2)*AB38+(1-EXP(-LN(2)/2))/(LN(2)/2)*V39*Y39*VLOOKUP('Données projet'!$B$9,Paramètres!$A$1:$I$89,3,0)*0.475*44/12</f>
        <v>6.5688475705786837</v>
      </c>
      <c r="AC39" s="22">
        <f t="shared" si="3"/>
        <v>72.786441522798256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15.48351648351648</v>
      </c>
      <c r="AI39" s="13">
        <f>IF('Données projet'!$A$62&gt;35,AI38+AH39-AQ38,IF(A39&lt;'Données projet'!$A$62,$AF$205^A39,IF(A39='Données projet'!$A$62,'Données projet'!$B$62,AI38+AH39-AQ38)))</f>
        <v>252.68571428571425</v>
      </c>
      <c r="AJ39" s="13">
        <f>AI39*VLOOKUP('Données projet'!$B$10,Paramètres!$A$1:$I$89,3,0)*VLOOKUP('Données projet'!$B$10,Paramètres!$A$1:$I$89,5,0)</f>
        <v>151.10605714285714</v>
      </c>
      <c r="AK39" s="13">
        <f t="shared" si="35"/>
        <v>38.829833501111224</v>
      </c>
      <c r="AL39" s="20">
        <f t="shared" si="4"/>
        <v>330.80500953824486</v>
      </c>
      <c r="AM39" s="59">
        <f t="shared" si="5"/>
        <v>624.13834287157817</v>
      </c>
      <c r="AN39" s="59">
        <f ca="1">AVERAGE(OFFSET($AM$3,0,0,'Données projet'!$E$10+1,1))-AVERAGE(OFFSET($H$3,0,0,'Données projet'!$E$10+1,1))</f>
        <v>283.73369613548124</v>
      </c>
      <c r="AO39" s="59">
        <f t="shared" si="36"/>
        <v>249.77804091581208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20.359740840372098</v>
      </c>
      <c r="AV39" s="21">
        <f>EXP(-LN(2)/25)*AV38+(1-EXP(-LN(2)/25))/(LN(2)/25)*Calculateur!AQ39*Calculateur!AS39*VLOOKUP('Données projet'!$B$10,Paramètres!$A$1:$I$89,3,0)*0.475*44/12</f>
        <v>10.340917336803395</v>
      </c>
      <c r="AW39" s="21">
        <f>EXP(-LN(2)/2)*AW38+(1-EXP(-LN(2)/2))/(LN(2)/2)*AQ39*AT39*VLOOKUP('Données projet'!$B$10,Paramètres!$A$1:$I$89,3,0)*0.475*44/12</f>
        <v>0.71889043910185979</v>
      </c>
      <c r="AX39" s="21">
        <f t="shared" si="6"/>
        <v>31.41954861627735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22.419230769230751</v>
      </c>
      <c r="N40" s="13">
        <f>IF('Données projet'!$A$36&gt;35,N39+M40-V39,IF(A40&lt;'Données projet'!$A$36,$K$205^A40,IF(A40='Données projet'!$A$36,'Données projet'!$B$36,N39+M40-V39)))</f>
        <v>356.62692307692311</v>
      </c>
      <c r="O40" s="13">
        <f>N40*VLOOKUP('Données projet'!$B$9,Paramètres!$A$1:$I$89,3,0)*VLOOKUP('Données projet'!$B$9,Paramètres!$A$1:$I$89,5,0)</f>
        <v>199.35445000000001</v>
      </c>
      <c r="P40" s="13">
        <f t="shared" si="33"/>
        <v>49.60226869073324</v>
      </c>
      <c r="Q40" s="20">
        <f t="shared" si="53"/>
        <v>433.59961838636042</v>
      </c>
      <c r="R40" s="59">
        <f t="shared" si="0"/>
        <v>726.93295171969373</v>
      </c>
      <c r="S40" s="59">
        <f ca="1">AVERAGE(OFFSET($R$3,0,0,'Données projet'!$E$9+1,1))-AVERAGE(OFFSET($H$3,0,0,'Données projet'!$E$9+1,1))</f>
        <v>278.5296012747549</v>
      </c>
      <c r="T40" s="59">
        <f t="shared" si="34"/>
        <v>370.55343097937077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45.133449015504453</v>
      </c>
      <c r="AA40" s="21">
        <f>EXP(-LN(2)/25)*AA39+(1-EXP(-LN(2)/25))/(LN(2)/25)*Calculateur!V40*Calculateur!X40*VLOOKUP('Données projet'!$B$9,Paramètres!$A$1:$I$89,3,0)*0.475*44/12</f>
        <v>19.629541782659683</v>
      </c>
      <c r="AB40" s="21">
        <f>EXP(-LN(2)/2)*AB39+(1-EXP(-LN(2)/2))/(LN(2)/2)*V40*Y40*VLOOKUP('Données projet'!$B$9,Paramètres!$A$1:$I$89,3,0)*0.475*44/12</f>
        <v>4.6448766617369657</v>
      </c>
      <c r="AC40" s="22">
        <f t="shared" si="3"/>
        <v>69.407867459901098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268.16923076923075</v>
      </c>
      <c r="AG40" s="12">
        <f>VLOOKUP(A40,'Données projet'!$A$61:$I$81,9,0)</f>
        <v>15.48351648351648</v>
      </c>
      <c r="AH40" s="12">
        <f t="array" ref="AH40">INDEX(AG:AG,MIN(IF(ISNUMBER(AG40:AG236),ROW(AG40:AG236),"")))</f>
        <v>15.48351648351648</v>
      </c>
      <c r="AI40" s="13">
        <f>IF('Données projet'!$A$62&gt;35,AI39+AH40-AQ39,IF(A40&lt;'Données projet'!$A$62,$AF$205^A40,IF(A40='Données projet'!$A$62,'Données projet'!$B$62,AI39+AH40-AQ39)))</f>
        <v>268.16923076923075</v>
      </c>
      <c r="AJ40" s="13">
        <f>AI40*VLOOKUP('Données projet'!$B$10,Paramètres!$A$1:$I$89,3,0)*VLOOKUP('Données projet'!$B$10,Paramètres!$A$1:$I$89,5,0)</f>
        <v>160.36520000000002</v>
      </c>
      <c r="AK40" s="13">
        <f t="shared" si="35"/>
        <v>40.924876352970031</v>
      </c>
      <c r="AL40" s="20">
        <f t="shared" si="4"/>
        <v>350.58021631475617</v>
      </c>
      <c r="AM40" s="59">
        <f t="shared" si="5"/>
        <v>643.91354964808943</v>
      </c>
      <c r="AN40" s="59">
        <f ca="1">AVERAGE(OFFSET($AM$3,0,0,'Données projet'!$E$10+1,1))-AVERAGE(OFFSET($H$3,0,0,'Données projet'!$E$10+1,1))</f>
        <v>283.73369613548124</v>
      </c>
      <c r="AO40" s="59">
        <f t="shared" si="36"/>
        <v>249.77804091581208</v>
      </c>
      <c r="AP40" s="15">
        <f>IF(ISNA(VLOOKUP(A40,'Données projet'!$A$61:$I$81,3,0)),0,VLOOKUP(A40,'Données projet'!$A$61:$I$81,3,0))</f>
        <v>4</v>
      </c>
      <c r="AQ40" s="15">
        <f>IF(ISNA(VLOOKUP(A40,'Données projet'!$A$61:$I$81,4,0)),0,VLOOKUP(A40,'Données projet'!$A$61:$I$81,4,0))</f>
        <v>43.623076923076923</v>
      </c>
      <c r="AR40" s="16">
        <f>IF(ISNA(VLOOKUP(A40,'Données projet'!$A$61:$I$81,5,0)),0%,VLOOKUP(A40,'Données projet'!$A$61:$I$81,5,0)*VLOOKUP('Données projet'!$B$10,Paramètres!$A$1:$I$89,7,0))</f>
        <v>0.315</v>
      </c>
      <c r="AS40" s="16">
        <f>IF(ISNA(VLOOKUP(A40,'Données projet'!$A$61:$I$81,6,0)),0%,VLOOKUP(A40,'Données projet'!$A$61:$I$81,6,0)*VLOOKUP('Données projet'!$B$10,Paramètres!$A$1:$I$89,7,0))</f>
        <v>7.5600000000000001E-2</v>
      </c>
      <c r="AT40" s="16">
        <f>IF(ISNA(VLOOKUP(A40,'Données projet'!$A$61:$I$81,7,0)),0%,VLOOKUP(A40,'Données projet'!$A$61:$I$81,7,0))</f>
        <v>0.13200000000000001</v>
      </c>
      <c r="AU40" s="21">
        <f>EXP(-LN(2)/35)*AU39+(1-EXP(-LN(2)/35))/(LN(2)/35)*AQ40*AR40*VLOOKUP('Données projet'!$B$10,Paramètres!$A$1:$I$89,3,0)*0.475*44/12</f>
        <v>30.861248982537887</v>
      </c>
      <c r="AV40" s="21">
        <f>EXP(-LN(2)/25)*AV39+(1-EXP(-LN(2)/25))/(LN(2)/25)*Calculateur!AQ40*Calculateur!AS40*VLOOKUP('Données projet'!$B$10,Paramètres!$A$1:$I$89,3,0)*0.475*44/12</f>
        <v>12.664023568731189</v>
      </c>
      <c r="AW40" s="21">
        <f>EXP(-LN(2)/2)*AW39+(1-EXP(-LN(2)/2))/(LN(2)/2)*AQ40*AT40*VLOOKUP('Données projet'!$B$10,Paramètres!$A$1:$I$89,3,0)*0.475*44/12</f>
        <v>4.4070963233694158</v>
      </c>
      <c r="AX40" s="21">
        <f t="shared" si="6"/>
        <v>47.932368874638492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22.419230769230751</v>
      </c>
      <c r="N41" s="13">
        <f>IF('Données projet'!$A$36&gt;35,N40+M41-V40,IF(A41&lt;'Données projet'!$A$36,$K$205^A41,IF(A41='Données projet'!$A$36,'Données projet'!$B$36,N40+M41-V40)))</f>
        <v>379.04615384615386</v>
      </c>
      <c r="O41" s="13">
        <f>N41*VLOOKUP('Données projet'!$B$9,Paramètres!$A$1:$I$89,3,0)*VLOOKUP('Données projet'!$B$9,Paramètres!$A$1:$I$89,5,0)</f>
        <v>211.88679999999999</v>
      </c>
      <c r="P41" s="13">
        <f t="shared" si="33"/>
        <v>52.347684082939317</v>
      </c>
      <c r="Q41" s="20">
        <f t="shared" si="53"/>
        <v>460.20839311111928</v>
      </c>
      <c r="R41" s="59">
        <f t="shared" si="0"/>
        <v>753.54172644445259</v>
      </c>
      <c r="S41" s="59">
        <f ca="1">AVERAGE(OFFSET($R$3,0,0,'Données projet'!$E$9+1,1))-AVERAGE(OFFSET($H$3,0,0,'Données projet'!$E$9+1,1))</f>
        <v>278.5296012747549</v>
      </c>
      <c r="T41" s="59">
        <f t="shared" si="34"/>
        <v>370.55343097937077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44.248409608996077</v>
      </c>
      <c r="AA41" s="21">
        <f>EXP(-LN(2)/25)*AA40+(1-EXP(-LN(2)/25))/(LN(2)/25)*Calculateur!V41*Calculateur!X41*VLOOKUP('Données projet'!$B$9,Paramètres!$A$1:$I$89,3,0)*0.475*44/12</f>
        <v>19.092770930340116</v>
      </c>
      <c r="AB41" s="21">
        <f>EXP(-LN(2)/2)*AB40+(1-EXP(-LN(2)/2))/(LN(2)/2)*V41*Y41*VLOOKUP('Données projet'!$B$9,Paramètres!$A$1:$I$89,3,0)*0.475*44/12</f>
        <v>3.2844237852893423</v>
      </c>
      <c r="AC41" s="22">
        <f t="shared" si="3"/>
        <v>66.625604324625542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15.364102564102561</v>
      </c>
      <c r="AI41" s="13">
        <f>IF('Données projet'!$A$62&gt;35,AI40+AH41-AQ40,IF(A41&lt;'Données projet'!$A$62,$AF$205^A41,IF(A41='Données projet'!$A$62,'Données projet'!$B$62,AI40+AH41-AQ40)))</f>
        <v>239.91025641025638</v>
      </c>
      <c r="AJ41" s="13">
        <f>AI41*VLOOKUP('Données projet'!$B$10,Paramètres!$A$1:$I$89,3,0)*VLOOKUP('Données projet'!$B$10,Paramètres!$A$1:$I$89,5,0)</f>
        <v>143.46633333333332</v>
      </c>
      <c r="AK41" s="13">
        <f t="shared" si="35"/>
        <v>37.089959908428597</v>
      </c>
      <c r="AL41" s="20">
        <f t="shared" si="4"/>
        <v>314.46887739606865</v>
      </c>
      <c r="AM41" s="59">
        <f t="shared" si="5"/>
        <v>607.80221072940196</v>
      </c>
      <c r="AN41" s="59">
        <f ca="1">AVERAGE(OFFSET($AM$3,0,0,'Données projet'!$E$10+1,1))-AVERAGE(OFFSET($H$3,0,0,'Données projet'!$E$10+1,1))</f>
        <v>283.73369613548124</v>
      </c>
      <c r="AO41" s="59">
        <f t="shared" si="36"/>
        <v>249.77804091581208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30.256078713493533</v>
      </c>
      <c r="AV41" s="21">
        <f>EXP(-LN(2)/25)*AV40+(1-EXP(-LN(2)/25))/(LN(2)/25)*Calculateur!AQ41*Calculateur!AS41*VLOOKUP('Données projet'!$B$10,Paramètres!$A$1:$I$89,3,0)*0.475*44/12</f>
        <v>12.317725178272179</v>
      </c>
      <c r="AW41" s="21">
        <f>EXP(-LN(2)/2)*AW40+(1-EXP(-LN(2)/2))/(LN(2)/2)*AQ41*AT41*VLOOKUP('Données projet'!$B$10,Paramètres!$A$1:$I$89,3,0)*0.475*44/12</f>
        <v>3.116287695596816</v>
      </c>
      <c r="AX41" s="21">
        <f t="shared" si="6"/>
        <v>45.690091587362531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22.419230769230751</v>
      </c>
      <c r="N42" s="13">
        <f>IF('Données projet'!$A$36&gt;35,N41+M42-V41,IF(A42&lt;'Données projet'!$A$36,$K$205^A42,IF(A42='Données projet'!$A$36,'Données projet'!$B$36,N41+M42-V41)))</f>
        <v>401.46538461538461</v>
      </c>
      <c r="O42" s="13">
        <f>N42*VLOOKUP('Données projet'!$B$9,Paramètres!$A$1:$I$89,3,0)*VLOOKUP('Données projet'!$B$9,Paramètres!$A$1:$I$89,5,0)</f>
        <v>224.41915</v>
      </c>
      <c r="P42" s="13">
        <f t="shared" si="33"/>
        <v>55.074251579267461</v>
      </c>
      <c r="Q42" s="20">
        <f t="shared" si="53"/>
        <v>486.78434108389075</v>
      </c>
      <c r="R42" s="59">
        <f t="shared" si="0"/>
        <v>780.11767441722407</v>
      </c>
      <c r="S42" s="59">
        <f ca="1">AVERAGE(OFFSET($R$3,0,0,'Données projet'!$E$9+1,1))-AVERAGE(OFFSET($H$3,0,0,'Données projet'!$E$9+1,1))</f>
        <v>278.5296012747549</v>
      </c>
      <c r="T42" s="59">
        <f t="shared" si="34"/>
        <v>370.55343097937077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43.380725285428596</v>
      </c>
      <c r="AA42" s="21">
        <f>EXP(-LN(2)/25)*AA41+(1-EXP(-LN(2)/25))/(LN(2)/25)*Calculateur!V42*Calculateur!X42*VLOOKUP('Données projet'!$B$9,Paramètres!$A$1:$I$89,3,0)*0.475*44/12</f>
        <v>18.570678105204781</v>
      </c>
      <c r="AB42" s="21">
        <f>EXP(-LN(2)/2)*AB41+(1-EXP(-LN(2)/2))/(LN(2)/2)*V42*Y42*VLOOKUP('Données projet'!$B$9,Paramètres!$A$1:$I$89,3,0)*0.475*44/12</f>
        <v>2.3224383308684833</v>
      </c>
      <c r="AC42" s="22">
        <f t="shared" si="3"/>
        <v>64.273841721501853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15.364102564102561</v>
      </c>
      <c r="AI42" s="13">
        <f>IF('Données projet'!$A$62&gt;35,AI41+AH42-AQ41,IF(A42&lt;'Données projet'!$A$62,$AF$205^A42,IF(A42='Données projet'!$A$62,'Données projet'!$B$62,AI41+AH42-AQ41)))</f>
        <v>255.27435897435893</v>
      </c>
      <c r="AJ42" s="13">
        <f>AI42*VLOOKUP('Données projet'!$B$10,Paramètres!$A$1:$I$89,3,0)*VLOOKUP('Données projet'!$B$10,Paramètres!$A$1:$I$89,5,0)</f>
        <v>152.65406666666664</v>
      </c>
      <c r="AK42" s="13">
        <f t="shared" si="35"/>
        <v>39.18111473980327</v>
      </c>
      <c r="AL42" s="20">
        <f t="shared" si="4"/>
        <v>334.11294094960175</v>
      </c>
      <c r="AM42" s="59">
        <f t="shared" si="5"/>
        <v>627.44627428293506</v>
      </c>
      <c r="AN42" s="59">
        <f ca="1">AVERAGE(OFFSET($AM$3,0,0,'Données projet'!$E$10+1,1))-AVERAGE(OFFSET($H$3,0,0,'Données projet'!$E$10+1,1))</f>
        <v>283.73369613548124</v>
      </c>
      <c r="AO42" s="59">
        <f t="shared" si="36"/>
        <v>249.77804091581208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29.662775464307721</v>
      </c>
      <c r="AV42" s="21">
        <f>EXP(-LN(2)/25)*AV41+(1-EXP(-LN(2)/25))/(LN(2)/25)*Calculateur!AQ42*Calculateur!AS42*VLOOKUP('Données projet'!$B$10,Paramètres!$A$1:$I$89,3,0)*0.475*44/12</f>
        <v>11.980896335511311</v>
      </c>
      <c r="AW42" s="21">
        <f>EXP(-LN(2)/2)*AW41+(1-EXP(-LN(2)/2))/(LN(2)/2)*AQ42*AT42*VLOOKUP('Données projet'!$B$10,Paramètres!$A$1:$I$89,3,0)*0.475*44/12</f>
        <v>2.2035481616847084</v>
      </c>
      <c r="AX42" s="21">
        <f t="shared" si="6"/>
        <v>43.84721996150374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22.419230769230751</v>
      </c>
      <c r="N43" s="13">
        <f>IF('Données projet'!$A$36&gt;35,N42+M43-V42,IF(A43&lt;'Données projet'!$A$36,$K$205^A43,IF(A43='Données projet'!$A$36,'Données projet'!$B$36,N42+M43-V42)))</f>
        <v>423.88461538461536</v>
      </c>
      <c r="O43" s="13">
        <f>N43*VLOOKUP('Données projet'!$B$9,Paramètres!$A$1:$I$89,3,0)*VLOOKUP('Données projet'!$B$9,Paramètres!$A$1:$I$89,5,0)</f>
        <v>236.95150000000001</v>
      </c>
      <c r="P43" s="13">
        <f t="shared" si="33"/>
        <v>57.783143668102753</v>
      </c>
      <c r="Q43" s="20">
        <f t="shared" si="53"/>
        <v>513.32950438861235</v>
      </c>
      <c r="R43" s="59">
        <f t="shared" si="0"/>
        <v>806.66283772194561</v>
      </c>
      <c r="S43" s="59">
        <f ca="1">AVERAGE(OFFSET($R$3,0,0,'Données projet'!$E$9+1,1))-AVERAGE(OFFSET($H$3,0,0,'Données projet'!$E$9+1,1))</f>
        <v>278.5296012747549</v>
      </c>
      <c r="T43" s="59">
        <f t="shared" si="34"/>
        <v>370.55343097937077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42.530055722211095</v>
      </c>
      <c r="AA43" s="21">
        <f>EXP(-LN(2)/25)*AA42+(1-EXP(-LN(2)/25))/(LN(2)/25)*Calculateur!V43*Calculateur!X43*VLOOKUP('Données projet'!$B$9,Paramètres!$A$1:$I$89,3,0)*0.475*44/12</f>
        <v>18.062861935828437</v>
      </c>
      <c r="AB43" s="21">
        <f>EXP(-LN(2)/2)*AB42+(1-EXP(-LN(2)/2))/(LN(2)/2)*V43*Y43*VLOOKUP('Données projet'!$B$9,Paramètres!$A$1:$I$89,3,0)*0.475*44/12</f>
        <v>1.6422118926446714</v>
      </c>
      <c r="AC43" s="22">
        <f t="shared" si="3"/>
        <v>62.235129550684206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15.364102564102561</v>
      </c>
      <c r="AI43" s="13">
        <f>IF('Données projet'!$A$62&gt;35,AI42+AH43-AQ42,IF(A43&lt;'Données projet'!$A$62,$AF$205^A43,IF(A43='Données projet'!$A$62,'Données projet'!$B$62,AI42+AH43-AQ42)))</f>
        <v>270.63846153846151</v>
      </c>
      <c r="AJ43" s="13">
        <f>AI43*VLOOKUP('Données projet'!$B$10,Paramètres!$A$1:$I$89,3,0)*VLOOKUP('Données projet'!$B$10,Paramètres!$A$1:$I$89,5,0)</f>
        <v>161.84180000000001</v>
      </c>
      <c r="AK43" s="13">
        <f t="shared" si="35"/>
        <v>41.257661408086413</v>
      </c>
      <c r="AL43" s="20">
        <f t="shared" si="4"/>
        <v>353.73156195241717</v>
      </c>
      <c r="AM43" s="59">
        <f t="shared" si="5"/>
        <v>647.06489528575048</v>
      </c>
      <c r="AN43" s="59">
        <f ca="1">AVERAGE(OFFSET($AM$3,0,0,'Données projet'!$E$10+1,1))-AVERAGE(OFFSET($H$3,0,0,'Données projet'!$E$10+1,1))</f>
        <v>283.73369613548124</v>
      </c>
      <c r="AO43" s="59">
        <f t="shared" si="36"/>
        <v>249.77804091581208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29.081106529959193</v>
      </c>
      <c r="AV43" s="21">
        <f>EXP(-LN(2)/25)*AV42+(1-EXP(-LN(2)/25))/(LN(2)/25)*Calculateur!AQ43*Calculateur!AS43*VLOOKUP('Données projet'!$B$10,Paramètres!$A$1:$I$89,3,0)*0.475*44/12</f>
        <v>11.653278095168798</v>
      </c>
      <c r="AW43" s="21">
        <f>EXP(-LN(2)/2)*AW42+(1-EXP(-LN(2)/2))/(LN(2)/2)*AQ43*AT43*VLOOKUP('Données projet'!$B$10,Paramètres!$A$1:$I$89,3,0)*0.475*44/12</f>
        <v>1.5581438477984082</v>
      </c>
      <c r="AX43" s="21">
        <f t="shared" si="6"/>
        <v>42.292528472926392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22.419230769230751</v>
      </c>
      <c r="N44" s="13">
        <f>IF('Données projet'!$A$36&gt;35,N43+M44-V43,IF(A44&lt;'Données projet'!$A$36,$K$205^A44,IF(A44='Données projet'!$A$36,'Données projet'!$B$36,N43+M44-V43)))</f>
        <v>446.30384615384611</v>
      </c>
      <c r="O44" s="13">
        <f>N44*VLOOKUP('Données projet'!$B$9,Paramètres!$A$1:$I$89,3,0)*VLOOKUP('Données projet'!$B$9,Paramètres!$A$1:$I$89,5,0)</f>
        <v>249.48384999999996</v>
      </c>
      <c r="P44" s="13">
        <f t="shared" si="33"/>
        <v>60.475401807280001</v>
      </c>
      <c r="Q44" s="20">
        <f t="shared" si="53"/>
        <v>539.8456968976792</v>
      </c>
      <c r="R44" s="59">
        <f t="shared" si="0"/>
        <v>833.17903023101258</v>
      </c>
      <c r="S44" s="59">
        <f ca="1">AVERAGE(OFFSET($R$3,0,0,'Données projet'!$E$9+1,1))-AVERAGE(OFFSET($H$3,0,0,'Données projet'!$E$9+1,1))</f>
        <v>278.5296012747549</v>
      </c>
      <c r="T44" s="59">
        <f t="shared" si="34"/>
        <v>370.55343097937077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41.696067270271087</v>
      </c>
      <c r="AA44" s="21">
        <f>EXP(-LN(2)/25)*AA43+(1-EXP(-LN(2)/25))/(LN(2)/25)*Calculateur!V44*Calculateur!X44*VLOOKUP('Données projet'!$B$9,Paramètres!$A$1:$I$89,3,0)*0.475*44/12</f>
        <v>17.568932026308584</v>
      </c>
      <c r="AB44" s="21">
        <f>EXP(-LN(2)/2)*AB43+(1-EXP(-LN(2)/2))/(LN(2)/2)*V44*Y44*VLOOKUP('Données projet'!$B$9,Paramètres!$A$1:$I$89,3,0)*0.475*44/12</f>
        <v>1.1612191654342419</v>
      </c>
      <c r="AC44" s="22">
        <f t="shared" si="3"/>
        <v>60.426218462013914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15.364102564102561</v>
      </c>
      <c r="AI44" s="13">
        <f>IF('Données projet'!$A$62&gt;35,AI43+AH44-AQ43,IF(A44&lt;'Données projet'!$A$62,$AF$205^A44,IF(A44='Données projet'!$A$62,'Données projet'!$B$62,AI43+AH44-AQ43)))</f>
        <v>286.00256410256407</v>
      </c>
      <c r="AJ44" s="13">
        <f>AI44*VLOOKUP('Données projet'!$B$10,Paramètres!$A$1:$I$89,3,0)*VLOOKUP('Données projet'!$B$10,Paramètres!$A$1:$I$89,5,0)</f>
        <v>171.02953333333335</v>
      </c>
      <c r="AK44" s="13">
        <f t="shared" si="35"/>
        <v>43.320523714936215</v>
      </c>
      <c r="AL44" s="20">
        <f t="shared" si="4"/>
        <v>373.32634935906952</v>
      </c>
      <c r="AM44" s="59">
        <f t="shared" si="5"/>
        <v>666.65968269240284</v>
      </c>
      <c r="AN44" s="59">
        <f ca="1">AVERAGE(OFFSET($AM$3,0,0,'Données projet'!$E$10+1,1))-AVERAGE(OFFSET($H$3,0,0,'Données projet'!$E$10+1,1))</f>
        <v>283.73369613548124</v>
      </c>
      <c r="AO44" s="59">
        <f t="shared" si="36"/>
        <v>249.77804091581208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28.51084376863022</v>
      </c>
      <c r="AV44" s="21">
        <f>EXP(-LN(2)/25)*AV43+(1-EXP(-LN(2)/25))/(LN(2)/25)*Calculateur!AQ44*Calculateur!AS44*VLOOKUP('Données projet'!$B$10,Paramètres!$A$1:$I$89,3,0)*0.475*44/12</f>
        <v>11.334618592837145</v>
      </c>
      <c r="AW44" s="21">
        <f>EXP(-LN(2)/2)*AW43+(1-EXP(-LN(2)/2))/(LN(2)/2)*AQ44*AT44*VLOOKUP('Données projet'!$B$10,Paramètres!$A$1:$I$89,3,0)*0.475*44/12</f>
        <v>1.1017740808423544</v>
      </c>
      <c r="AX44" s="21">
        <f t="shared" si="6"/>
        <v>40.947236442309723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468.72307692307686</v>
      </c>
      <c r="L45" s="12">
        <f>VLOOKUP(A45,'Données projet'!$A$35:$I$55,9,0)</f>
        <v>22.419230769230751</v>
      </c>
      <c r="M45" s="12">
        <f t="array" ref="M45">INDEX(L:L,MIN(IF(ISNUMBER(L45:L241),ROW(L45:L241),"")))</f>
        <v>22.419230769230751</v>
      </c>
      <c r="N45" s="13">
        <f>IF('Données projet'!$A$36&gt;35,N44+M45-V44,IF(A45&lt;'Données projet'!$A$36,$K$205^A45,IF(A45='Données projet'!$A$36,'Données projet'!$B$36,N44+M45-V44)))</f>
        <v>468.72307692307686</v>
      </c>
      <c r="O45" s="13">
        <f>N45*VLOOKUP('Données projet'!$B$9,Paramètres!$A$1:$I$89,3,0)*VLOOKUP('Données projet'!$B$9,Paramètres!$A$1:$I$89,5,0)</f>
        <v>262.01619999999997</v>
      </c>
      <c r="P45" s="13">
        <f t="shared" si="33"/>
        <v>63.151956912854622</v>
      </c>
      <c r="Q45" s="20">
        <f t="shared" si="53"/>
        <v>566.33453995655509</v>
      </c>
      <c r="R45" s="59">
        <f t="shared" si="0"/>
        <v>859.66787328988835</v>
      </c>
      <c r="S45" s="59">
        <f ca="1">AVERAGE(OFFSET($R$3,0,0,'Données projet'!$E$9+1,1))-AVERAGE(OFFSET($H$3,0,0,'Données projet'!$E$9+1,1))</f>
        <v>278.5296012747549</v>
      </c>
      <c r="T45" s="59">
        <f t="shared" si="34"/>
        <v>370.55343097937077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0.38500000000000001</v>
      </c>
      <c r="X45" s="16">
        <f>IF(ISNA(VLOOKUP(A45,'Données projet'!$A$35:$I$55,6,0)),0%,VLOOKUP(A45,'Données projet'!$A$35:$I$55,6,0)*VLOOKUP('Données projet'!$B$9,Paramètres!$A$1:$I$89,7,0))</f>
        <v>9.240000000000001E-2</v>
      </c>
      <c r="Y45" s="16">
        <f>IF(ISNA(VLOOKUP(A45,'Données projet'!$A$35:$I$55,7,0)),0%,VLOOKUP(A45,'Données projet'!$A$35:$I$55,7,0))</f>
        <v>0.13200000000000001</v>
      </c>
      <c r="Z45" s="21">
        <f>EXP(-LN(2)/35)*Z44+(1-EXP(-LN(2)/35))/(LN(2)/35)*V45*W45*VLOOKUP('Données projet'!$B$9,Paramètres!$A$1:$I$89,3,0)*0.475*44/12</f>
        <v>61.831684880697594</v>
      </c>
      <c r="AA45" s="21">
        <f>EXP(-LN(2)/25)*AA44+(1-EXP(-LN(2)/25))/(LN(2)/25)*Calculateur!V45*Calculateur!X45*VLOOKUP('Données projet'!$B$9,Paramètres!$A$1:$I$89,3,0)*0.475*44/12</f>
        <v>22.097488925021114</v>
      </c>
      <c r="AB45" s="21">
        <f>EXP(-LN(2)/2)*AB44+(1-EXP(-LN(2)/2))/(LN(2)/2)*V45*Y45*VLOOKUP('Données projet'!$B$9,Paramètres!$A$1:$I$89,3,0)*0.475*44/12</f>
        <v>6.9526777981796624</v>
      </c>
      <c r="AC45" s="22">
        <f t="shared" si="3"/>
        <v>90.881851603898369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15.364102564102561</v>
      </c>
      <c r="AI45" s="13">
        <f>IF('Données projet'!$A$62&gt;35,AI44+AH45-AQ44,IF(A45&lt;'Données projet'!$A$62,$AF$205^A45,IF(A45='Données projet'!$A$62,'Données projet'!$B$62,AI44+AH45-AQ44)))</f>
        <v>301.36666666666662</v>
      </c>
      <c r="AJ45" s="13">
        <f>AI45*VLOOKUP('Données projet'!$B$10,Paramètres!$A$1:$I$89,3,0)*VLOOKUP('Données projet'!$B$10,Paramètres!$A$1:$I$89,5,0)</f>
        <v>180.21726666666666</v>
      </c>
      <c r="AK45" s="13">
        <f t="shared" si="35"/>
        <v>45.370520602809727</v>
      </c>
      <c r="AL45" s="20">
        <f t="shared" si="4"/>
        <v>392.89872949433806</v>
      </c>
      <c r="AM45" s="59">
        <f t="shared" si="5"/>
        <v>686.23206282767137</v>
      </c>
      <c r="AN45" s="59">
        <f ca="1">AVERAGE(OFFSET($AM$3,0,0,'Données projet'!$E$10+1,1))-AVERAGE(OFFSET($H$3,0,0,'Données projet'!$E$10+1,1))</f>
        <v>283.73369613548124</v>
      </c>
      <c r="AO45" s="59">
        <f t="shared" si="36"/>
        <v>249.77804091581208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27.951763512224971</v>
      </c>
      <c r="AV45" s="21">
        <f>EXP(-LN(2)/25)*AV44+(1-EXP(-LN(2)/25))/(LN(2)/25)*Calculateur!AQ45*Calculateur!AS45*VLOOKUP('Données projet'!$B$10,Paramètres!$A$1:$I$89,3,0)*0.475*44/12</f>
        <v>11.024672851354328</v>
      </c>
      <c r="AW45" s="21">
        <f>EXP(-LN(2)/2)*AW44+(1-EXP(-LN(2)/2))/(LN(2)/2)*AQ45*AT45*VLOOKUP('Données projet'!$B$10,Paramètres!$A$1:$I$89,3,0)*0.475*44/12</f>
        <v>0.77907192389920432</v>
      </c>
      <c r="AX45" s="21">
        <f t="shared" si="6"/>
        <v>39.755508287478499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21.625641025641034</v>
      </c>
      <c r="N46" s="13">
        <f>IF('Données projet'!$A$36&gt;35,N45+M46-V45,IF(A46&lt;'Données projet'!$A$36,$K$205^A46,IF(A46='Données projet'!$A$36,'Données projet'!$B$36,N45+M46-V45)))</f>
        <v>416.95641025641021</v>
      </c>
      <c r="O46" s="13">
        <f>N46*VLOOKUP('Données projet'!$B$9,Paramètres!$A$1:$I$89,3,0)*VLOOKUP('Données projet'!$B$9,Paramètres!$A$1:$I$89,5,0)</f>
        <v>233.0786333333333</v>
      </c>
      <c r="P46" s="13">
        <f t="shared" si="33"/>
        <v>56.947838023653489</v>
      </c>
      <c r="Q46" s="20">
        <f t="shared" si="53"/>
        <v>505.1294376134187</v>
      </c>
      <c r="R46" s="59">
        <f t="shared" si="0"/>
        <v>798.46277094675202</v>
      </c>
      <c r="S46" s="59">
        <f ca="1">AVERAGE(OFFSET($R$3,0,0,'Données projet'!$E$9+1,1))-AVERAGE(OFFSET($H$3,0,0,'Données projet'!$E$9+1,1))</f>
        <v>278.5296012747549</v>
      </c>
      <c r="T46" s="59">
        <f t="shared" si="34"/>
        <v>370.55343097937077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60.619203253790985</v>
      </c>
      <c r="AA46" s="21">
        <f>EXP(-LN(2)/25)*AA45+(1-EXP(-LN(2)/25))/(LN(2)/25)*Calculateur!V46*Calculateur!X46*VLOOKUP('Données projet'!$B$9,Paramètres!$A$1:$I$89,3,0)*0.475*44/12</f>
        <v>21.493231928309974</v>
      </c>
      <c r="AB46" s="21">
        <f>EXP(-LN(2)/2)*AB45+(1-EXP(-LN(2)/2))/(LN(2)/2)*V46*Y46*VLOOKUP('Données projet'!$B$9,Paramètres!$A$1:$I$89,3,0)*0.475*44/12</f>
        <v>4.9162856184979935</v>
      </c>
      <c r="AC46" s="22">
        <f t="shared" si="3"/>
        <v>87.028720800598961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15.364102564102561</v>
      </c>
      <c r="AI46" s="13">
        <f>IF('Données projet'!$A$62&gt;35,AI45+AH46-AQ45,IF(A46&lt;'Données projet'!$A$62,$AF$205^A46,IF(A46='Données projet'!$A$62,'Données projet'!$B$62,AI45+AH46-AQ45)))</f>
        <v>316.73076923076917</v>
      </c>
      <c r="AJ46" s="13">
        <f>AI46*VLOOKUP('Données projet'!$B$10,Paramètres!$A$1:$I$89,3,0)*VLOOKUP('Données projet'!$B$10,Paramètres!$A$1:$I$89,5,0)</f>
        <v>189.405</v>
      </c>
      <c r="AK46" s="13">
        <f t="shared" si="35"/>
        <v>47.408382795872441</v>
      </c>
      <c r="AL46" s="20">
        <f t="shared" si="4"/>
        <v>412.44997503614445</v>
      </c>
      <c r="AM46" s="59">
        <f t="shared" si="5"/>
        <v>705.78330836947771</v>
      </c>
      <c r="AN46" s="59">
        <f ca="1">AVERAGE(OFFSET($AM$3,0,0,'Données projet'!$E$10+1,1))-AVERAGE(OFFSET($H$3,0,0,'Données projet'!$E$10+1,1))</f>
        <v>283.73369613548124</v>
      </c>
      <c r="AO46" s="59">
        <f t="shared" si="36"/>
        <v>249.77804091581208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27.403646478642543</v>
      </c>
      <c r="AV46" s="21">
        <f>EXP(-LN(2)/25)*AV45+(1-EXP(-LN(2)/25))/(LN(2)/25)*Calculateur!AQ46*Calculateur!AS46*VLOOKUP('Données projet'!$B$10,Paramètres!$A$1:$I$89,3,0)*0.475*44/12</f>
        <v>10.723202592471695</v>
      </c>
      <c r="AW46" s="21">
        <f>EXP(-LN(2)/2)*AW45+(1-EXP(-LN(2)/2))/(LN(2)/2)*AQ46*AT46*VLOOKUP('Données projet'!$B$10,Paramètres!$A$1:$I$89,3,0)*0.475*44/12</f>
        <v>0.55088704042117731</v>
      </c>
      <c r="AX46" s="21">
        <f t="shared" si="6"/>
        <v>38.677736111535417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21.625641025641034</v>
      </c>
      <c r="N47" s="13">
        <f>IF('Données projet'!$A$36&gt;35,N46+M47-V46,IF(A47&lt;'Données projet'!$A$36,$K$205^A47,IF(A47='Données projet'!$A$36,'Données projet'!$B$36,N46+M47-V46)))</f>
        <v>438.58205128205122</v>
      </c>
      <c r="O47" s="13">
        <f>N47*VLOOKUP('Données projet'!$B$9,Paramètres!$A$1:$I$89,3,0)*VLOOKUP('Données projet'!$B$9,Paramètres!$A$1:$I$89,5,0)</f>
        <v>245.16736666666665</v>
      </c>
      <c r="P47" s="13">
        <f t="shared" si="33"/>
        <v>59.549932468183236</v>
      </c>
      <c r="Q47" s="20">
        <f t="shared" si="53"/>
        <v>530.71596265986352</v>
      </c>
      <c r="R47" s="59">
        <f t="shared" si="0"/>
        <v>824.04929599319689</v>
      </c>
      <c r="S47" s="59">
        <f ca="1">AVERAGE(OFFSET($R$3,0,0,'Données projet'!$E$9+1,1))-AVERAGE(OFFSET($H$3,0,0,'Données projet'!$E$9+1,1))</f>
        <v>278.5296012747549</v>
      </c>
      <c r="T47" s="59">
        <f t="shared" si="34"/>
        <v>370.55343097937077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59.430497652047244</v>
      </c>
      <c r="AA47" s="21">
        <f>EXP(-LN(2)/25)*AA46+(1-EXP(-LN(2)/25))/(LN(2)/25)*Calculateur!V47*Calculateur!X47*VLOOKUP('Données projet'!$B$9,Paramètres!$A$1:$I$89,3,0)*0.475*44/12</f>
        <v>20.905498370950394</v>
      </c>
      <c r="AB47" s="21">
        <f>EXP(-LN(2)/2)*AB46+(1-EXP(-LN(2)/2))/(LN(2)/2)*V47*Y47*VLOOKUP('Données projet'!$B$9,Paramètres!$A$1:$I$89,3,0)*0.475*44/12</f>
        <v>3.4763388990898312</v>
      </c>
      <c r="AC47" s="22">
        <f t="shared" si="3"/>
        <v>83.812334922087459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15.364102564102561</v>
      </c>
      <c r="AI47" s="13">
        <f>IF('Données projet'!$A$62&gt;35,AI46+AH47-AQ46,IF(A47&lt;'Données projet'!$A$62,$AF$205^A47,IF(A47='Données projet'!$A$62,'Données projet'!$B$62,AI46+AH47-AQ46)))</f>
        <v>332.09487179487172</v>
      </c>
      <c r="AJ47" s="13">
        <f>AI47*VLOOKUP('Données projet'!$B$10,Paramètres!$A$1:$I$89,3,0)*VLOOKUP('Données projet'!$B$10,Paramètres!$A$1:$I$89,5,0)</f>
        <v>198.59273333333329</v>
      </c>
      <c r="AK47" s="13">
        <f t="shared" si="35"/>
        <v>49.434766120428968</v>
      </c>
      <c r="AL47" s="20">
        <f t="shared" si="4"/>
        <v>431.98122821530256</v>
      </c>
      <c r="AM47" s="59">
        <f t="shared" si="5"/>
        <v>725.31456154863588</v>
      </c>
      <c r="AN47" s="59">
        <f ca="1">AVERAGE(OFFSET($AM$3,0,0,'Données projet'!$E$10+1,1))-AVERAGE(OFFSET($H$3,0,0,'Données projet'!$E$10+1,1))</f>
        <v>283.73369613548124</v>
      </c>
      <c r="AO47" s="59">
        <f t="shared" si="36"/>
        <v>249.77804091581208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26.866277685770289</v>
      </c>
      <c r="AV47" s="21">
        <f>EXP(-LN(2)/25)*AV46+(1-EXP(-LN(2)/25))/(LN(2)/25)*Calculateur!AQ47*Calculateur!AS47*VLOOKUP('Données projet'!$B$10,Paramètres!$A$1:$I$89,3,0)*0.475*44/12</f>
        <v>10.42997605367184</v>
      </c>
      <c r="AW47" s="21">
        <f>EXP(-LN(2)/2)*AW46+(1-EXP(-LN(2)/2))/(LN(2)/2)*AQ47*AT47*VLOOKUP('Données projet'!$B$10,Paramètres!$A$1:$I$89,3,0)*0.475*44/12</f>
        <v>0.38953596194960222</v>
      </c>
      <c r="AX47" s="21">
        <f t="shared" si="6"/>
        <v>37.685789701391734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21.625641025641034</v>
      </c>
      <c r="N48" s="13">
        <f>IF('Données projet'!$A$36&gt;35,N47+M48-V47,IF(A48&lt;'Données projet'!$A$36,$K$205^A48,IF(A48='Données projet'!$A$36,'Données projet'!$B$36,N47+M48-V47)))</f>
        <v>460.20769230769224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278.5296012747549</v>
      </c>
      <c r="T48" s="59">
        <f t="shared" si="34"/>
        <v>370.55343097937077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58.265101842114873</v>
      </c>
      <c r="AA48" s="21">
        <f>EXP(-LN(2)/25)*AA47+(1-EXP(-LN(2)/25))/(LN(2)/25)*Calculateur!V48*Calculateur!X48*VLOOKUP('Données projet'!$B$9,Paramètres!$A$1:$I$89,3,0)*0.475*44/12</f>
        <v>20.333836418624376</v>
      </c>
      <c r="AB48" s="21">
        <f>EXP(-LN(2)/2)*AB47+(1-EXP(-LN(2)/2))/(LN(2)/2)*V48*Y48*VLOOKUP('Données projet'!$B$9,Paramètres!$A$1:$I$89,3,0)*0.475*44/12</f>
        <v>2.4581428092489968</v>
      </c>
      <c r="AC48" s="22">
        <f t="shared" si="3"/>
        <v>81.057081069988243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15.364102564102561</v>
      </c>
      <c r="AI48" s="13">
        <f>IF('Données projet'!$A$62&gt;35,AI47+AH48-AQ47,IF(A48&lt;'Données projet'!$A$62,$AF$205^A48,IF(A48='Données projet'!$A$62,'Données projet'!$B$62,AI47+AH48-AQ47)))</f>
        <v>347.45897435897427</v>
      </c>
      <c r="AJ48" s="13">
        <f>AI48*VLOOKUP('Données projet'!$B$10,Paramètres!$A$1:$I$89,3,0)*VLOOKUP('Données projet'!$B$10,Paramètres!$A$1:$I$89,5,0)</f>
        <v>207.78046666666665</v>
      </c>
      <c r="AK48" s="13">
        <f t="shared" si="35"/>
        <v>51.450262290579353</v>
      </c>
      <c r="AL48" s="20">
        <f t="shared" si="4"/>
        <v>451.49351960053679</v>
      </c>
      <c r="AM48" s="59">
        <f t="shared" si="5"/>
        <v>744.8268529338701</v>
      </c>
      <c r="AN48" s="59">
        <f ca="1">AVERAGE(OFFSET($AM$3,0,0,'Données projet'!$E$10+1,1))-AVERAGE(OFFSET($H$3,0,0,'Données projet'!$E$10+1,1))</f>
        <v>283.73369613548124</v>
      </c>
      <c r="AO48" s="59">
        <f t="shared" si="36"/>
        <v>249.77804091581208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26.33944636716366</v>
      </c>
      <c r="AV48" s="21">
        <f>EXP(-LN(2)/25)*AV47+(1-EXP(-LN(2)/25))/(LN(2)/25)*Calculateur!AQ48*Calculateur!AS48*VLOOKUP('Données projet'!$B$10,Paramètres!$A$1:$I$89,3,0)*0.475*44/12</f>
        <v>10.144767809995582</v>
      </c>
      <c r="AW48" s="21">
        <f>EXP(-LN(2)/2)*AW47+(1-EXP(-LN(2)/2))/(LN(2)/2)*AQ48*AT48*VLOOKUP('Données projet'!$B$10,Paramètres!$A$1:$I$89,3,0)*0.475*44/12</f>
        <v>0.27544352021058871</v>
      </c>
      <c r="AX48" s="21">
        <f t="shared" si="6"/>
        <v>36.759657697369832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21.625641025641034</v>
      </c>
      <c r="N49" s="13">
        <f>IF('Données projet'!$A$36&gt;35,N48+M49-V48,IF(A49&lt;'Données projet'!$A$36,$K$205^A49,IF(A49='Données projet'!$A$36,'Données projet'!$B$36,N48+M49-V48)))</f>
        <v>481.83333333333326</v>
      </c>
      <c r="O49" s="13">
        <f>N49*VLOOKUP('Données projet'!$B$9,Paramètres!$A$1:$I$89,3,0)*VLOOKUP('Données projet'!$B$9,Paramètres!$A$1:$I$89,5,0)</f>
        <v>269.34483333333333</v>
      </c>
      <c r="P49" s="13">
        <f t="shared" si="33"/>
        <v>64.710206731812576</v>
      </c>
      <c r="Q49" s="20">
        <f t="shared" si="53"/>
        <v>581.81252811346246</v>
      </c>
      <c r="R49" s="59">
        <f t="shared" si="0"/>
        <v>875.14586144679583</v>
      </c>
      <c r="S49" s="59">
        <f ca="1">AVERAGE(OFFSET($R$3,0,0,'Données projet'!$E$9+1,1))-AVERAGE(OFFSET($H$3,0,0,'Données projet'!$E$9+1,1))</f>
        <v>278.5296012747549</v>
      </c>
      <c r="T49" s="59">
        <f t="shared" si="34"/>
        <v>370.55343097937077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57.122558733194019</v>
      </c>
      <c r="AA49" s="21">
        <f>EXP(-LN(2)/25)*AA48+(1-EXP(-LN(2)/25))/(LN(2)/25)*Calculateur!V49*Calculateur!X49*VLOOKUP('Données projet'!$B$9,Paramètres!$A$1:$I$89,3,0)*0.475*44/12</f>
        <v>19.77780659244711</v>
      </c>
      <c r="AB49" s="21">
        <f>EXP(-LN(2)/2)*AB48+(1-EXP(-LN(2)/2))/(LN(2)/2)*V49*Y49*VLOOKUP('Données projet'!$B$9,Paramètres!$A$1:$I$89,3,0)*0.475*44/12</f>
        <v>1.7381694495449156</v>
      </c>
      <c r="AC49" s="22">
        <f t="shared" si="3"/>
        <v>78.638534775186045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362.82307692307688</v>
      </c>
      <c r="AG49" s="12">
        <f>VLOOKUP(A49,'Données projet'!$A$61:$I$81,9,0)</f>
        <v>15.364102564102561</v>
      </c>
      <c r="AH49" s="12">
        <f t="array" ref="AH49">INDEX(AG:AG,MIN(IF(ISNUMBER(AG49:AG245),ROW(AG49:AG245),"")))</f>
        <v>15.364102564102561</v>
      </c>
      <c r="AI49" s="13">
        <f>IF('Données projet'!$A$62&gt;35,AI48+AH49-AQ48,IF(A49&lt;'Données projet'!$A$62,$AF$205^A49,IF(A49='Données projet'!$A$62,'Données projet'!$B$62,AI48+AH49-AQ48)))</f>
        <v>362.82307692307683</v>
      </c>
      <c r="AJ49" s="13">
        <f>AI49*VLOOKUP('Données projet'!$B$10,Paramètres!$A$1:$I$89,3,0)*VLOOKUP('Données projet'!$B$10,Paramètres!$A$1:$I$89,5,0)</f>
        <v>216.96819999999994</v>
      </c>
      <c r="AK49" s="13">
        <f t="shared" si="35"/>
        <v>53.455407732310803</v>
      </c>
      <c r="AL49" s="20">
        <f t="shared" si="4"/>
        <v>470.98778346710793</v>
      </c>
      <c r="AM49" s="59">
        <f t="shared" si="5"/>
        <v>764.32111680044125</v>
      </c>
      <c r="AN49" s="59">
        <f ca="1">AVERAGE(OFFSET($AM$3,0,0,'Données projet'!$E$10+1,1))-AVERAGE(OFFSET($H$3,0,0,'Données projet'!$E$10+1,1))</f>
        <v>283.73369613548124</v>
      </c>
      <c r="AO49" s="59">
        <f t="shared" si="36"/>
        <v>249.77804091581208</v>
      </c>
      <c r="AP49" s="15">
        <f>IF(ISNA(VLOOKUP(A49,'Données projet'!$A$61:$I$81,3,0)),0,VLOOKUP(A49,'Données projet'!$A$61:$I$81,3,0))</f>
        <v>5</v>
      </c>
      <c r="AQ49" s="15">
        <f>IF(ISNA(VLOOKUP(A49,'Données projet'!$A$61:$I$81,4,0)),0,VLOOKUP(A49,'Données projet'!$A$61:$I$81,4,0))</f>
        <v>72.561538461538461</v>
      </c>
      <c r="AR49" s="16">
        <f>IF(ISNA(VLOOKUP(A49,'Données projet'!$A$61:$I$81,5,0)),0%,VLOOKUP(A49,'Données projet'!$A$61:$I$81,5,0)*VLOOKUP('Données projet'!$B$10,Paramètres!$A$1:$I$89,7,0))</f>
        <v>0.315</v>
      </c>
      <c r="AS49" s="16">
        <f>IF(ISNA(VLOOKUP(A49,'Données projet'!$A$61:$I$81,6,0)),0%,VLOOKUP(A49,'Données projet'!$A$61:$I$81,6,0)*VLOOKUP('Données projet'!$B$10,Paramètres!$A$1:$I$89,7,0))</f>
        <v>7.5600000000000001E-2</v>
      </c>
      <c r="AT49" s="16">
        <f>IF(ISNA(VLOOKUP(A49,'Données projet'!$A$61:$I$81,7,0)),0%,VLOOKUP(A49,'Données projet'!$A$61:$I$81,7,0))</f>
        <v>0.13200000000000001</v>
      </c>
      <c r="AU49" s="21">
        <f>EXP(-LN(2)/35)*AU48+(1-EXP(-LN(2)/35))/(LN(2)/35)*AQ49*AR49*VLOOKUP('Données projet'!$B$10,Paramètres!$A$1:$I$89,3,0)*0.475*44/12</f>
        <v>43.95498204370508</v>
      </c>
      <c r="AV49" s="21">
        <f>EXP(-LN(2)/25)*AV48+(1-EXP(-LN(2)/25))/(LN(2)/25)*Calculateur!AQ49*Calculateur!AS49*VLOOKUP('Données projet'!$B$10,Paramètres!$A$1:$I$89,3,0)*0.475*44/12</f>
        <v>14.201913021334352</v>
      </c>
      <c r="AW49" s="21">
        <f>EXP(-LN(2)/2)*AW48+(1-EXP(-LN(2)/2))/(LN(2)/2)*AQ49*AT49*VLOOKUP('Données projet'!$B$10,Paramètres!$A$1:$I$89,3,0)*0.475*44/12</f>
        <v>6.6798748388055769</v>
      </c>
      <c r="AX49" s="21">
        <f t="shared" si="6"/>
        <v>64.83676990384501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21.625641025641034</v>
      </c>
      <c r="N50" s="13">
        <f>IF('Données projet'!$A$36&gt;35,N49+M50-V49,IF(A50&lt;'Données projet'!$A$36,$K$205^A50,IF(A50='Données projet'!$A$36,'Données projet'!$B$36,N49+M50-V49)))</f>
        <v>503.45897435897427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278.5296012747549</v>
      </c>
      <c r="T50" s="59">
        <f t="shared" si="34"/>
        <v>370.55343097937077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56.002420197756614</v>
      </c>
      <c r="AA50" s="21">
        <f>EXP(-LN(2)/25)*AA49+(1-EXP(-LN(2)/25))/(LN(2)/25)*Calculateur!V50*Calculateur!X50*VLOOKUP('Données projet'!$B$9,Paramètres!$A$1:$I$89,3,0)*0.475*44/12</f>
        <v>19.236981431106997</v>
      </c>
      <c r="AB50" s="21">
        <f>EXP(-LN(2)/2)*AB49+(1-EXP(-LN(2)/2))/(LN(2)/2)*V50*Y50*VLOOKUP('Données projet'!$B$9,Paramètres!$A$1:$I$89,3,0)*0.475*44/12</f>
        <v>1.2290714046244984</v>
      </c>
      <c r="AC50" s="22">
        <f t="shared" si="3"/>
        <v>76.46847303348811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13.793846153846165</v>
      </c>
      <c r="AI50" s="13">
        <f>IF('Données projet'!$A$62&gt;35,AI49+AH50-AQ49,IF(A50&lt;'Données projet'!$A$62,$AF$205^A50,IF(A50='Données projet'!$A$62,'Données projet'!$B$62,AI49+AH50-AQ49)))</f>
        <v>304.05538461538453</v>
      </c>
      <c r="AJ50" s="13">
        <f>AI50*VLOOKUP('Données projet'!$B$10,Paramètres!$A$1:$I$89,3,0)*VLOOKUP('Données projet'!$B$10,Paramètres!$A$1:$I$89,5,0)</f>
        <v>181.82511999999997</v>
      </c>
      <c r="AK50" s="13">
        <f t="shared" si="35"/>
        <v>45.72800301768045</v>
      </c>
      <c r="AL50" s="20">
        <f t="shared" si="4"/>
        <v>396.32168925579339</v>
      </c>
      <c r="AM50" s="59">
        <f t="shared" si="5"/>
        <v>689.6550225891267</v>
      </c>
      <c r="AN50" s="59">
        <f ca="1">AVERAGE(OFFSET($AM$3,0,0,'Données projet'!$E$10+1,1))-AVERAGE(OFFSET($H$3,0,0,'Données projet'!$E$10+1,1))</f>
        <v>283.73369613548124</v>
      </c>
      <c r="AO50" s="59">
        <f t="shared" si="36"/>
        <v>249.77804091581208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43.093051655719812</v>
      </c>
      <c r="AV50" s="21">
        <f>EXP(-LN(2)/25)*AV49+(1-EXP(-LN(2)/25))/(LN(2)/25)*Calculateur!AQ50*Calculateur!AS50*VLOOKUP('Données projet'!$B$10,Paramètres!$A$1:$I$89,3,0)*0.475*44/12</f>
        <v>13.813560962919817</v>
      </c>
      <c r="AW50" s="21">
        <f>EXP(-LN(2)/2)*AW49+(1-EXP(-LN(2)/2))/(LN(2)/2)*AQ50*AT50*VLOOKUP('Données projet'!$B$10,Paramètres!$A$1:$I$89,3,0)*0.475*44/12</f>
        <v>4.7233847959968198</v>
      </c>
      <c r="AX50" s="21">
        <f t="shared" si="6"/>
        <v>61.629997414636449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21.625641025641034</v>
      </c>
      <c r="M51" s="12">
        <f t="array" ref="M51">INDEX(L:L,MIN(IF(ISNUMBER(L51:L247),ROW(L51:L247),"")))</f>
        <v>21.625641025641034</v>
      </c>
      <c r="N51" s="13">
        <f>IF('Données projet'!$A$36&gt;35,N50+M51-V50,IF(A51&lt;'Données projet'!$A$36,$K$205^A51,IF(A51='Données projet'!$A$36,'Données projet'!$B$36,N50+M51-V50)))</f>
        <v>525.08461538461529</v>
      </c>
      <c r="O51" s="13">
        <f>N51*VLOOKUP('Données projet'!$B$9,Paramètres!$A$1:$I$89,3,0)*VLOOKUP('Données projet'!$B$9,Paramètres!$A$1:$I$89,5,0)</f>
        <v>293.52229999999997</v>
      </c>
      <c r="P51" s="13">
        <f t="shared" si="33"/>
        <v>69.816768342057628</v>
      </c>
      <c r="Q51" s="20">
        <f t="shared" si="53"/>
        <v>632.81554402908364</v>
      </c>
      <c r="R51" s="59">
        <f t="shared" si="0"/>
        <v>926.1488773624169</v>
      </c>
      <c r="S51" s="59">
        <f ca="1">AVERAGE(OFFSET($R$3,0,0,'Données projet'!$E$9+1,1))-AVERAGE(OFFSET($H$3,0,0,'Données projet'!$E$9+1,1))</f>
        <v>278.5296012747549</v>
      </c>
      <c r="T51" s="59">
        <f t="shared" si="34"/>
        <v>370.55343097937077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0.38500000000000001</v>
      </c>
      <c r="X51" s="16">
        <f>IF(ISNA(VLOOKUP(A51,'Données projet'!$A$35:$I$55,6,0)),0%,VLOOKUP(A51,'Données projet'!$A$35:$I$55,6,0)*VLOOKUP('Données projet'!$B$9,Paramètres!$A$1:$I$89,7,0))</f>
        <v>9.240000000000001E-2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78.12390248786032</v>
      </c>
      <c r="AA51" s="21">
        <f>EXP(-LN(2)/25)*AA50+(1-EXP(-LN(2)/25))/(LN(2)/25)*Calculateur!V51*Calculateur!X51*VLOOKUP('Données projet'!$B$9,Paramètres!$A$1:$I$89,3,0)*0.475*44/12</f>
        <v>24.261720592795644</v>
      </c>
      <c r="AB51" s="21">
        <f>EXP(-LN(2)/2)*AB50+(1-EXP(-LN(2)/2))/(LN(2)/2)*V51*Y51*VLOOKUP('Données projet'!$B$9,Paramètres!$A$1:$I$89,3,0)*0.475*44/12</f>
        <v>7.6638765903722392</v>
      </c>
      <c r="AC51" s="22">
        <f t="shared" si="3"/>
        <v>110.0494996710282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13.793846153846165</v>
      </c>
      <c r="AI51" s="13">
        <f>IF('Données projet'!$A$62&gt;35,AI50+AH51-AQ50,IF(A51&lt;'Données projet'!$A$62,$AF$205^A51,IF(A51='Données projet'!$A$62,'Données projet'!$B$62,AI50+AH51-AQ50)))</f>
        <v>317.8492307692307</v>
      </c>
      <c r="AJ51" s="13">
        <f>AI51*VLOOKUP('Données projet'!$B$10,Paramètres!$A$1:$I$89,3,0)*VLOOKUP('Données projet'!$B$10,Paramètres!$A$1:$I$89,5,0)</f>
        <v>190.07383999999999</v>
      </c>
      <c r="AK51" s="13">
        <f t="shared" si="35"/>
        <v>47.556277457641151</v>
      </c>
      <c r="AL51" s="20">
        <f t="shared" si="4"/>
        <v>413.87245457205836</v>
      </c>
      <c r="AM51" s="59">
        <f t="shared" si="5"/>
        <v>707.20578790539162</v>
      </c>
      <c r="AN51" s="59">
        <f ca="1">AVERAGE(OFFSET($AM$3,0,0,'Données projet'!$E$10+1,1))-AVERAGE(OFFSET($H$3,0,0,'Données projet'!$E$10+1,1))</f>
        <v>283.73369613548124</v>
      </c>
      <c r="AO51" s="59">
        <f t="shared" si="36"/>
        <v>249.77804091581208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42.248023196917309</v>
      </c>
      <c r="AV51" s="21">
        <f>EXP(-LN(2)/25)*AV50+(1-EXP(-LN(2)/25))/(LN(2)/25)*Calculateur!AQ51*Calculateur!AS51*VLOOKUP('Données projet'!$B$10,Paramètres!$A$1:$I$89,3,0)*0.475*44/12</f>
        <v>13.435828411965176</v>
      </c>
      <c r="AW51" s="21">
        <f>EXP(-LN(2)/2)*AW50+(1-EXP(-LN(2)/2))/(LN(2)/2)*AQ51*AT51*VLOOKUP('Données projet'!$B$10,Paramètres!$A$1:$I$89,3,0)*0.475*44/12</f>
        <v>3.3399374194027889</v>
      </c>
      <c r="AX51" s="21">
        <f t="shared" si="6"/>
        <v>59.023789028285272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464.26153846153835</v>
      </c>
      <c r="O52" s="13">
        <f>N52*VLOOKUP('Données projet'!$B$9,Paramètres!$A$1:$I$89,3,0)*VLOOKUP('Données projet'!$B$9,Paramètres!$A$1:$I$89,5,0)</f>
        <v>259.52219999999994</v>
      </c>
      <c r="P52" s="13">
        <f t="shared" si="33"/>
        <v>62.620519404058925</v>
      </c>
      <c r="Q52" s="20">
        <f t="shared" si="53"/>
        <v>561.06523629540254</v>
      </c>
      <c r="R52" s="59">
        <f t="shared" si="0"/>
        <v>854.39856962873591</v>
      </c>
      <c r="S52" s="59">
        <f ca="1">AVERAGE(OFFSET($R$3,0,0,'Données projet'!$E$9+1,1))-AVERAGE(OFFSET($H$3,0,0,'Données projet'!$E$9+1,1))</f>
        <v>278.5296012747549</v>
      </c>
      <c r="T52" s="59">
        <f t="shared" si="34"/>
        <v>370.55343097937077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76.591940410948766</v>
      </c>
      <c r="AA52" s="21">
        <f>EXP(-LN(2)/25)*AA51+(1-EXP(-LN(2)/25))/(LN(2)/25)*Calculateur!V52*Calculateur!X52*VLOOKUP('Données projet'!$B$9,Paramètres!$A$1:$I$89,3,0)*0.475*44/12</f>
        <v>23.598282567317213</v>
      </c>
      <c r="AB52" s="21">
        <f>EXP(-LN(2)/2)*AB51+(1-EXP(-LN(2)/2))/(LN(2)/2)*V52*Y52*VLOOKUP('Données projet'!$B$9,Paramètres!$A$1:$I$89,3,0)*0.475*44/12</f>
        <v>5.4191791072290476</v>
      </c>
      <c r="AC52" s="22">
        <f t="shared" si="3"/>
        <v>105.60940208549502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13.793846153846165</v>
      </c>
      <c r="AI52" s="13">
        <f>IF('Données projet'!$A$62&gt;35,AI51+AH52-AQ51,IF(A52&lt;'Données projet'!$A$62,$AF$205^A52,IF(A52='Données projet'!$A$62,'Données projet'!$B$62,AI51+AH52-AQ51)))</f>
        <v>331.64307692307688</v>
      </c>
      <c r="AJ52" s="13">
        <f>AI52*VLOOKUP('Données projet'!$B$10,Paramètres!$A$1:$I$89,3,0)*VLOOKUP('Données projet'!$B$10,Paramètres!$A$1:$I$89,5,0)</f>
        <v>198.32255999999998</v>
      </c>
      <c r="AK52" s="13">
        <f t="shared" si="35"/>
        <v>49.375336669033487</v>
      </c>
      <c r="AL52" s="20">
        <f t="shared" si="4"/>
        <v>431.40717003189997</v>
      </c>
      <c r="AM52" s="59">
        <f t="shared" si="5"/>
        <v>724.74050336523328</v>
      </c>
      <c r="AN52" s="59">
        <f ca="1">AVERAGE(OFFSET($AM$3,0,0,'Données projet'!$E$10+1,1))-AVERAGE(OFFSET($H$3,0,0,'Données projet'!$E$10+1,1))</f>
        <v>283.73369613548124</v>
      </c>
      <c r="AO52" s="59">
        <f t="shared" si="36"/>
        <v>249.77804091581208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41.419565230775461</v>
      </c>
      <c r="AV52" s="21">
        <f>EXP(-LN(2)/25)*AV51+(1-EXP(-LN(2)/25))/(LN(2)/25)*Calculateur!AQ52*Calculateur!AS52*VLOOKUP('Données projet'!$B$10,Paramètres!$A$1:$I$89,3,0)*0.475*44/12</f>
        <v>13.068424977480479</v>
      </c>
      <c r="AW52" s="21">
        <f>EXP(-LN(2)/2)*AW51+(1-EXP(-LN(2)/2))/(LN(2)/2)*AQ52*AT52*VLOOKUP('Données projet'!$B$10,Paramètres!$A$1:$I$89,3,0)*0.475*44/12</f>
        <v>2.3616923979984104</v>
      </c>
      <c r="AX52" s="21">
        <f t="shared" si="6"/>
        <v>56.849682606254348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484.76923076923066</v>
      </c>
      <c r="O53" s="13">
        <f>N53*VLOOKUP('Données projet'!$B$9,Paramètres!$A$1:$I$89,3,0)*VLOOKUP('Données projet'!$B$9,Paramètres!$A$1:$I$89,5,0)</f>
        <v>270.98599999999993</v>
      </c>
      <c r="P53" s="13">
        <f t="shared" si="33"/>
        <v>65.058478958733772</v>
      </c>
      <c r="Q53" s="20">
        <f t="shared" si="53"/>
        <v>585.27746751979453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278.5296012747549</v>
      </c>
      <c r="T53" s="59">
        <f t="shared" si="34"/>
        <v>370.55343097937077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75.090019175960848</v>
      </c>
      <c r="AA53" s="21">
        <f>EXP(-LN(2)/25)*AA52+(1-EXP(-LN(2)/25))/(LN(2)/25)*Calculateur!V53*Calculateur!X53*VLOOKUP('Données projet'!$B$9,Paramètres!$A$1:$I$89,3,0)*0.475*44/12</f>
        <v>22.952986289534177</v>
      </c>
      <c r="AB53" s="21">
        <f>EXP(-LN(2)/2)*AB52+(1-EXP(-LN(2)/2))/(LN(2)/2)*V53*Y53*VLOOKUP('Données projet'!$B$9,Paramètres!$A$1:$I$89,3,0)*0.475*44/12</f>
        <v>3.8319382951861205</v>
      </c>
      <c r="AC53" s="22">
        <f t="shared" si="3"/>
        <v>101.87494376068115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13.793846153846165</v>
      </c>
      <c r="AI53" s="13">
        <f>IF('Données projet'!$A$62&gt;35,AI52+AH53-AQ52,IF(A53&lt;'Données projet'!$A$62,$AF$205^A53,IF(A53='Données projet'!$A$62,'Données projet'!$B$62,AI52+AH53-AQ52)))</f>
        <v>345.43692307692305</v>
      </c>
      <c r="AJ53" s="13">
        <f>AI53*VLOOKUP('Données projet'!$B$10,Paramètres!$A$1:$I$89,3,0)*VLOOKUP('Données projet'!$B$10,Paramètres!$A$1:$I$89,5,0)</f>
        <v>206.57128</v>
      </c>
      <c r="AK53" s="13">
        <f t="shared" si="35"/>
        <v>51.185607766999659</v>
      </c>
      <c r="AL53" s="20">
        <f t="shared" si="4"/>
        <v>448.92657952752438</v>
      </c>
      <c r="AM53" s="59">
        <f t="shared" si="5"/>
        <v>742.25991286085764</v>
      </c>
      <c r="AN53" s="59">
        <f ca="1">AVERAGE(OFFSET($AM$3,0,0,'Données projet'!$E$10+1,1))-AVERAGE(OFFSET($H$3,0,0,'Données projet'!$E$10+1,1))</f>
        <v>283.73369613548124</v>
      </c>
      <c r="AO53" s="59">
        <f t="shared" si="36"/>
        <v>249.77804091581208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40.607352820040191</v>
      </c>
      <c r="AV53" s="21">
        <f>EXP(-LN(2)/25)*AV52+(1-EXP(-LN(2)/25))/(LN(2)/25)*Calculateur!AQ53*Calculateur!AS53*VLOOKUP('Données projet'!$B$10,Paramètres!$A$1:$I$89,3,0)*0.475*44/12</f>
        <v>12.711068209232675</v>
      </c>
      <c r="AW53" s="21">
        <f>EXP(-LN(2)/2)*AW52+(1-EXP(-LN(2)/2))/(LN(2)/2)*AQ53*AT53*VLOOKUP('Données projet'!$B$10,Paramètres!$A$1:$I$89,3,0)*0.475*44/12</f>
        <v>1.6699687097013949</v>
      </c>
      <c r="AX53" s="21">
        <f t="shared" si="6"/>
        <v>54.988389738974263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505.27692307692297</v>
      </c>
      <c r="O54" s="13">
        <f>N54*VLOOKUP('Données projet'!$B$9,Paramètres!$A$1:$I$89,3,0)*VLOOKUP('Données projet'!$B$9,Paramètres!$A$1:$I$89,5,0)</f>
        <v>282.44979999999998</v>
      </c>
      <c r="P54" s="13">
        <f t="shared" si="33"/>
        <v>67.484459274997945</v>
      </c>
      <c r="Q54" s="20">
        <f t="shared" si="53"/>
        <v>609.46883490395464</v>
      </c>
      <c r="R54" s="59">
        <f t="shared" si="0"/>
        <v>902.80216823728802</v>
      </c>
      <c r="S54" s="59">
        <f ca="1">AVERAGE(OFFSET($R$3,0,0,'Données projet'!$E$9+1,1))-AVERAGE(OFFSET($H$3,0,0,'Données projet'!$E$9+1,1))</f>
        <v>278.5296012747549</v>
      </c>
      <c r="T54" s="59">
        <f t="shared" si="34"/>
        <v>370.55343097937077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73.617549700309539</v>
      </c>
      <c r="AA54" s="21">
        <f>EXP(-LN(2)/25)*AA53+(1-EXP(-LN(2)/25))/(LN(2)/25)*Calculateur!V54*Calculateur!X54*VLOOKUP('Données projet'!$B$9,Paramètres!$A$1:$I$89,3,0)*0.475*44/12</f>
        <v>22.325335672401774</v>
      </c>
      <c r="AB54" s="21">
        <f>EXP(-LN(2)/2)*AB53+(1-EXP(-LN(2)/2))/(LN(2)/2)*V54*Y54*VLOOKUP('Données projet'!$B$9,Paramètres!$A$1:$I$89,3,0)*0.475*44/12</f>
        <v>2.7095895536145242</v>
      </c>
      <c r="AC54" s="22">
        <f t="shared" si="3"/>
        <v>98.652474926325837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13.793846153846165</v>
      </c>
      <c r="AI54" s="13">
        <f>IF('Données projet'!$A$62&gt;35,AI53+AH54-AQ53,IF(A54&lt;'Données projet'!$A$62,$AF$205^A54,IF(A54='Données projet'!$A$62,'Données projet'!$B$62,AI53+AH54-AQ53)))</f>
        <v>359.23076923076923</v>
      </c>
      <c r="AJ54" s="13">
        <f>AI54*VLOOKUP('Données projet'!$B$10,Paramètres!$A$1:$I$89,3,0)*VLOOKUP('Données projet'!$B$10,Paramètres!$A$1:$I$89,5,0)</f>
        <v>214.82</v>
      </c>
      <c r="AK54" s="13">
        <f t="shared" si="35"/>
        <v>52.987481825087599</v>
      </c>
      <c r="AL54" s="20">
        <f t="shared" si="4"/>
        <v>466.43136417869431</v>
      </c>
      <c r="AM54" s="59">
        <f t="shared" si="5"/>
        <v>759.76469751202762</v>
      </c>
      <c r="AN54" s="59">
        <f ca="1">AVERAGE(OFFSET($AM$3,0,0,'Données projet'!$E$10+1,1))-AVERAGE(OFFSET($H$3,0,0,'Données projet'!$E$10+1,1))</f>
        <v>283.73369613548124</v>
      </c>
      <c r="AO54" s="59">
        <f t="shared" si="36"/>
        <v>249.77804091581208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39.811067399278784</v>
      </c>
      <c r="AV54" s="21">
        <f>EXP(-LN(2)/25)*AV53+(1-EXP(-LN(2)/25))/(LN(2)/25)*Calculateur!AQ54*Calculateur!AS54*VLOOKUP('Données projet'!$B$10,Paramètres!$A$1:$I$89,3,0)*0.475*44/12</f>
        <v>12.363483380605182</v>
      </c>
      <c r="AW54" s="21">
        <f>EXP(-LN(2)/2)*AW53+(1-EXP(-LN(2)/2))/(LN(2)/2)*AQ54*AT54*VLOOKUP('Données projet'!$B$10,Paramètres!$A$1:$I$89,3,0)*0.475*44/12</f>
        <v>1.1808461989992054</v>
      </c>
      <c r="AX54" s="21">
        <f t="shared" si="6"/>
        <v>53.355396978883171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525.78461538461522</v>
      </c>
      <c r="O55" s="13">
        <f>N55*VLOOKUP('Données projet'!$B$9,Paramètres!$A$1:$I$89,3,0)*VLOOKUP('Données projet'!$B$9,Paramètres!$A$1:$I$89,5,0)</f>
        <v>293.91359999999992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278.5296012747549</v>
      </c>
      <c r="T55" s="59">
        <f t="shared" si="34"/>
        <v>370.55343097937077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72.173954452958057</v>
      </c>
      <c r="AA55" s="21">
        <f>EXP(-LN(2)/25)*AA54+(1-EXP(-LN(2)/25))/(LN(2)/25)*Calculateur!V55*Calculateur!X55*VLOOKUP('Données projet'!$B$9,Paramètres!$A$1:$I$89,3,0)*0.475*44/12</f>
        <v>21.714848194401569</v>
      </c>
      <c r="AB55" s="21">
        <f>EXP(-LN(2)/2)*AB54+(1-EXP(-LN(2)/2))/(LN(2)/2)*V55*Y55*VLOOKUP('Données projet'!$B$9,Paramètres!$A$1:$I$89,3,0)*0.475*44/12</f>
        <v>1.9159691475930605</v>
      </c>
      <c r="AC55" s="22">
        <f t="shared" si="3"/>
        <v>95.804771794952686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13.793846153846165</v>
      </c>
      <c r="AI55" s="13">
        <f>IF('Données projet'!$A$62&gt;35,AI54+AH55-AQ54,IF(A55&lt;'Données projet'!$A$62,$AF$205^A55,IF(A55='Données projet'!$A$62,'Données projet'!$B$62,AI54+AH55-AQ54)))</f>
        <v>373.0246153846154</v>
      </c>
      <c r="AJ55" s="13">
        <f>AI55*VLOOKUP('Données projet'!$B$10,Paramètres!$A$1:$I$89,3,0)*VLOOKUP('Données projet'!$B$10,Paramètres!$A$1:$I$89,5,0)</f>
        <v>223.06872000000001</v>
      </c>
      <c r="AK55" s="13">
        <f t="shared" si="35"/>
        <v>54.78131818288734</v>
      </c>
      <c r="AL55" s="20">
        <f t="shared" si="4"/>
        <v>483.92214983519551</v>
      </c>
      <c r="AM55" s="59">
        <f t="shared" si="5"/>
        <v>777.25548316852883</v>
      </c>
      <c r="AN55" s="59">
        <f ca="1">AVERAGE(OFFSET($AM$3,0,0,'Données projet'!$E$10+1,1))-AVERAGE(OFFSET($H$3,0,0,'Données projet'!$E$10+1,1))</f>
        <v>283.73369613548124</v>
      </c>
      <c r="AO55" s="59">
        <f t="shared" si="36"/>
        <v>249.77804091581208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39.030396649932356</v>
      </c>
      <c r="AV55" s="21">
        <f>EXP(-LN(2)/25)*AV54+(1-EXP(-LN(2)/25))/(LN(2)/25)*Calculateur!AQ55*Calculateur!AS55*VLOOKUP('Données projet'!$B$10,Paramètres!$A$1:$I$89,3,0)*0.475*44/12</f>
        <v>12.025403277395199</v>
      </c>
      <c r="AW55" s="21">
        <f>EXP(-LN(2)/2)*AW54+(1-EXP(-LN(2)/2))/(LN(2)/2)*AQ55*AT55*VLOOKUP('Données projet'!$B$10,Paramètres!$A$1:$I$89,3,0)*0.475*44/12</f>
        <v>0.83498435485069755</v>
      </c>
      <c r="AX55" s="21">
        <f t="shared" si="6"/>
        <v>51.890784282178252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546.29230769230753</v>
      </c>
      <c r="O56" s="13">
        <f>N56*VLOOKUP('Données projet'!$B$9,Paramètres!$A$1:$I$89,3,0)*VLOOKUP('Données projet'!$B$9,Paramètres!$A$1:$I$89,5,0)</f>
        <v>305.37739999999991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278.5296012747549</v>
      </c>
      <c r="T56" s="59">
        <f t="shared" si="34"/>
        <v>370.55343097937077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70.758667227900972</v>
      </c>
      <c r="AA56" s="21">
        <f>EXP(-LN(2)/25)*AA55+(1-EXP(-LN(2)/25))/(LN(2)/25)*Calculateur!V56*Calculateur!X56*VLOOKUP('Données projet'!$B$9,Paramètres!$A$1:$I$89,3,0)*0.475*44/12</f>
        <v>21.121054528591422</v>
      </c>
      <c r="AB56" s="21">
        <f>EXP(-LN(2)/2)*AB55+(1-EXP(-LN(2)/2))/(LN(2)/2)*V56*Y56*VLOOKUP('Données projet'!$B$9,Paramètres!$A$1:$I$89,3,0)*0.475*44/12</f>
        <v>1.3547947768072623</v>
      </c>
      <c r="AC56" s="22">
        <f t="shared" si="3"/>
        <v>93.234516533299654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13.793846153846165</v>
      </c>
      <c r="AI56" s="13">
        <f>IF('Données projet'!$A$62&gt;35,AI55+AH56-AQ55,IF(A56&lt;'Données projet'!$A$62,$AF$205^A56,IF(A56='Données projet'!$A$62,'Données projet'!$B$62,AI55+AH56-AQ55)))</f>
        <v>386.81846153846158</v>
      </c>
      <c r="AJ56" s="13">
        <f>AI56*VLOOKUP('Données projet'!$B$10,Paramètres!$A$1:$I$89,3,0)*VLOOKUP('Données projet'!$B$10,Paramètres!$A$1:$I$89,5,0)</f>
        <v>231.31744000000003</v>
      </c>
      <c r="AK56" s="13">
        <f t="shared" si="35"/>
        <v>56.567448098598192</v>
      </c>
      <c r="AL56" s="20">
        <f t="shared" si="4"/>
        <v>501.39951343839198</v>
      </c>
      <c r="AM56" s="59">
        <f t="shared" si="5"/>
        <v>794.73284677172524</v>
      </c>
      <c r="AN56" s="59">
        <f ca="1">AVERAGE(OFFSET($AM$3,0,0,'Données projet'!$E$10+1,1))-AVERAGE(OFFSET($H$3,0,0,'Données projet'!$E$10+1,1))</f>
        <v>283.73369613548124</v>
      </c>
      <c r="AO56" s="59">
        <f t="shared" si="36"/>
        <v>249.77804091581208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38.265034377818473</v>
      </c>
      <c r="AV56" s="21">
        <f>EXP(-LN(2)/25)*AV55+(1-EXP(-LN(2)/25))/(LN(2)/25)*Calculateur!AQ56*Calculateur!AS56*VLOOKUP('Données projet'!$B$10,Paramètres!$A$1:$I$89,3,0)*0.475*44/12</f>
        <v>11.696567992386353</v>
      </c>
      <c r="AW56" s="21">
        <f>EXP(-LN(2)/2)*AW55+(1-EXP(-LN(2)/2))/(LN(2)/2)*AQ56*AT56*VLOOKUP('Données projet'!$B$10,Paramètres!$A$1:$I$89,3,0)*0.475*44/12</f>
        <v>0.59042309949960281</v>
      </c>
      <c r="AX56" s="21">
        <f t="shared" si="6"/>
        <v>50.552025469704432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566.79999999999984</v>
      </c>
      <c r="O57" s="13">
        <f>N57*VLOOKUP('Données projet'!$B$9,Paramètres!$A$1:$I$89,3,0)*VLOOKUP('Données projet'!$B$9,Paramètres!$A$1:$I$89,5,0)</f>
        <v>316.8411999999999</v>
      </c>
      <c r="P57" s="13">
        <f t="shared" si="33"/>
        <v>74.695724902330795</v>
      </c>
      <c r="Q57" s="20">
        <f t="shared" si="53"/>
        <v>681.92681087155927</v>
      </c>
      <c r="R57" s="59">
        <f t="shared" si="0"/>
        <v>975.26014420489264</v>
      </c>
      <c r="S57" s="59">
        <f ca="1">AVERAGE(OFFSET($R$3,0,0,'Données projet'!$E$9+1,1))-AVERAGE(OFFSET($H$3,0,0,'Données projet'!$E$9+1,1))</f>
        <v>278.5296012747549</v>
      </c>
      <c r="T57" s="59">
        <f t="shared" si="34"/>
        <v>370.55343097937077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0.38500000000000001</v>
      </c>
      <c r="X57" s="16">
        <f>IF(ISNA(VLOOKUP(A57,'Données projet'!$A$35:$I$55,6,0)),0%,VLOOKUP(A57,'Données projet'!$A$35:$I$55,6,0)*VLOOKUP('Données projet'!$B$9,Paramètres!$A$1:$I$89,7,0))</f>
        <v>9.240000000000001E-2</v>
      </c>
      <c r="Y57" s="16">
        <f>IF(ISNA(VLOOKUP(A57,'Données projet'!$A$35:$I$55,7,0)),0%,VLOOKUP(A57,'Données projet'!$A$35:$I$55,7,0))</f>
        <v>0.13200000000000001</v>
      </c>
      <c r="Z57" s="21">
        <f>EXP(-LN(2)/35)*Z56+(1-EXP(-LN(2)/35))/(LN(2)/35)*V57*W57*VLOOKUP('Données projet'!$B$9,Paramètres!$A$1:$I$89,3,0)*0.475*44/12</f>
        <v>231.19058838852931</v>
      </c>
      <c r="AA57" s="21">
        <f>EXP(-LN(2)/25)*AA56+(1-EXP(-LN(2)/25))/(LN(2)/25)*Calculateur!V57*Calculateur!X57*VLOOKUP('Données projet'!$B$9,Paramètres!$A$1:$I$89,3,0)*0.475*44/12</f>
        <v>59.227252728732921</v>
      </c>
      <c r="AB57" s="21">
        <f>EXP(-LN(2)/2)*AB56+(1-EXP(-LN(2)/2))/(LN(2)/2)*V57*Y57*VLOOKUP('Données projet'!$B$9,Paramètres!$A$1:$I$89,3,0)*0.475*44/12</f>
        <v>48.311379430966142</v>
      </c>
      <c r="AC57" s="22">
        <f t="shared" si="3"/>
        <v>338.7292205482284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13.793846153846165</v>
      </c>
      <c r="AI57" s="13">
        <f>IF('Données projet'!$A$62&gt;35,AI56+AH57-AQ56,IF(A57&lt;'Données projet'!$A$62,$AF$205^A57,IF(A57='Données projet'!$A$62,'Données projet'!$B$62,AI56+AH57-AQ56)))</f>
        <v>400.61230769230775</v>
      </c>
      <c r="AJ57" s="13">
        <f>AI57*VLOOKUP('Données projet'!$B$10,Paramètres!$A$1:$I$89,3,0)*VLOOKUP('Données projet'!$B$10,Paramètres!$A$1:$I$89,5,0)</f>
        <v>239.56616000000005</v>
      </c>
      <c r="AK57" s="13">
        <f t="shared" si="35"/>
        <v>58.346177865957287</v>
      </c>
      <c r="AL57" s="20">
        <f t="shared" si="4"/>
        <v>518.86398844987571</v>
      </c>
      <c r="AM57" s="59">
        <f t="shared" si="5"/>
        <v>812.19732178320896</v>
      </c>
      <c r="AN57" s="59">
        <f ca="1">AVERAGE(OFFSET($AM$3,0,0,'Données projet'!$E$10+1,1))-AVERAGE(OFFSET($H$3,0,0,'Données projet'!$E$10+1,1))</f>
        <v>283.73369613548124</v>
      </c>
      <c r="AO57" s="59">
        <f t="shared" si="36"/>
        <v>249.77804091581208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37.514680393035853</v>
      </c>
      <c r="AV57" s="21">
        <f>EXP(-LN(2)/25)*AV56+(1-EXP(-LN(2)/25))/(LN(2)/25)*Calculateur!AQ57*Calculateur!AS57*VLOOKUP('Données projet'!$B$10,Paramètres!$A$1:$I$89,3,0)*0.475*44/12</f>
        <v>11.37672472553877</v>
      </c>
      <c r="AW57" s="21">
        <f>EXP(-LN(2)/2)*AW56+(1-EXP(-LN(2)/2))/(LN(2)/2)*AQ57*AT57*VLOOKUP('Données projet'!$B$10,Paramètres!$A$1:$I$89,3,0)*0.475*44/12</f>
        <v>0.41749217742534883</v>
      </c>
      <c r="AX57" s="21">
        <f t="shared" si="6"/>
        <v>49.308897295999977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-1.1368683772161603E-13</v>
      </c>
      <c r="O58" s="13">
        <f>N58*VLOOKUP('Données projet'!$B$9,Paramètres!$A$1:$I$89,3,0)*VLOOKUP('Données projet'!$B$9,Paramètres!$A$1:$I$89,5,0)</f>
        <v>-6.3550942286383367E-14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278.5296012747549</v>
      </c>
      <c r="T58" s="59">
        <f t="shared" si="34"/>
        <v>370.55343097937077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226.65708196256534</v>
      </c>
      <c r="AA58" s="21">
        <f>EXP(-LN(2)/25)*AA57+(1-EXP(-LN(2)/25))/(LN(2)/25)*Calculateur!V58*Calculateur!X58*VLOOKUP('Données projet'!$B$9,Paramètres!$A$1:$I$89,3,0)*0.475*44/12</f>
        <v>57.607680388239864</v>
      </c>
      <c r="AB58" s="21">
        <f>EXP(-LN(2)/2)*AB57+(1-EXP(-LN(2)/2))/(LN(2)/2)*V58*Y58*VLOOKUP('Données projet'!$B$9,Paramètres!$A$1:$I$89,3,0)*0.475*44/12</f>
        <v>34.161304004112452</v>
      </c>
      <c r="AC58" s="22">
        <f t="shared" si="3"/>
        <v>318.42606635491768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13.793846153846165</v>
      </c>
      <c r="AI58" s="13">
        <f>IF('Données projet'!$A$62&gt;35,AI57+AH58-AQ57,IF(A58&lt;'Données projet'!$A$62,$AF$205^A58,IF(A58='Données projet'!$A$62,'Données projet'!$B$62,AI57+AH58-AQ57)))</f>
        <v>414.40615384615393</v>
      </c>
      <c r="AJ58" s="13">
        <f>AI58*VLOOKUP('Données projet'!$B$10,Paramètres!$A$1:$I$89,3,0)*VLOOKUP('Données projet'!$B$10,Paramètres!$A$1:$I$89,5,0)</f>
        <v>247.81488000000007</v>
      </c>
      <c r="AK58" s="13">
        <f t="shared" si="35"/>
        <v>60.117791489820576</v>
      </c>
      <c r="AL58" s="20">
        <f t="shared" si="4"/>
        <v>536.3160695114376</v>
      </c>
      <c r="AM58" s="59">
        <f t="shared" si="5"/>
        <v>829.64940284477098</v>
      </c>
      <c r="AN58" s="59">
        <f ca="1">AVERAGE(OFFSET($AM$3,0,0,'Données projet'!$E$10+1,1))-AVERAGE(OFFSET($H$3,0,0,'Données projet'!$E$10+1,1))</f>
        <v>283.73369613548124</v>
      </c>
      <c r="AO58" s="59">
        <f t="shared" si="36"/>
        <v>249.77804091581208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36.779040392224083</v>
      </c>
      <c r="AV58" s="21">
        <f>EXP(-LN(2)/25)*AV57+(1-EXP(-LN(2)/25))/(LN(2)/25)*Calculateur!AQ58*Calculateur!AS58*VLOOKUP('Données projet'!$B$10,Paramètres!$A$1:$I$89,3,0)*0.475*44/12</f>
        <v>11.065627589642961</v>
      </c>
      <c r="AW58" s="21">
        <f>EXP(-LN(2)/2)*AW57+(1-EXP(-LN(2)/2))/(LN(2)/2)*AQ58*AT58*VLOOKUP('Données projet'!$B$10,Paramètres!$A$1:$I$89,3,0)*0.475*44/12</f>
        <v>0.29521154974980141</v>
      </c>
      <c r="AX58" s="21">
        <f t="shared" si="6"/>
        <v>48.139879531616849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-1.1368683772161603E-13</v>
      </c>
      <c r="O59" s="13">
        <f>N59*VLOOKUP('Données projet'!$B$9,Paramètres!$A$1:$I$89,3,0)*VLOOKUP('Données projet'!$B$9,Paramètres!$A$1:$I$89,5,0)</f>
        <v>-6.3550942286383367E-14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278.5296012747549</v>
      </c>
      <c r="T59" s="59">
        <f t="shared" si="34"/>
        <v>370.55343097937077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222.21247483244866</v>
      </c>
      <c r="AA59" s="21">
        <f>EXP(-LN(2)/25)*AA58+(1-EXP(-LN(2)/25))/(LN(2)/25)*Calculateur!V59*Calculateur!X59*VLOOKUP('Données projet'!$B$9,Paramètres!$A$1:$I$89,3,0)*0.475*44/12</f>
        <v>56.032395338567198</v>
      </c>
      <c r="AB59" s="21">
        <f>EXP(-LN(2)/2)*AB58+(1-EXP(-LN(2)/2))/(LN(2)/2)*V59*Y59*VLOOKUP('Données projet'!$B$9,Paramètres!$A$1:$I$89,3,0)*0.475*44/12</f>
        <v>24.155689715483074</v>
      </c>
      <c r="AC59" s="22">
        <f t="shared" si="3"/>
        <v>302.40055988649891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428.20000000000005</v>
      </c>
      <c r="AG59" s="12">
        <f>VLOOKUP(A59,'Données projet'!$A$61:$I$81,9,0)</f>
        <v>13.793846153846165</v>
      </c>
      <c r="AH59" s="12">
        <f t="array" ref="AH59">INDEX(AG:AG,MIN(IF(ISNUMBER(AG59:AG255),ROW(AG59:AG255),"")))</f>
        <v>13.793846153846165</v>
      </c>
      <c r="AI59" s="13">
        <f>IF('Données projet'!$A$62&gt;35,AI58+AH59-AQ58,IF(A59&lt;'Données projet'!$A$62,$AF$205^A59,IF(A59='Données projet'!$A$62,'Données projet'!$B$62,AI58+AH59-AQ58)))</f>
        <v>428.2000000000001</v>
      </c>
      <c r="AJ59" s="13">
        <f>AI59*VLOOKUP('Données projet'!$B$10,Paramètres!$A$1:$I$89,3,0)*VLOOKUP('Données projet'!$B$10,Paramètres!$A$1:$I$89,5,0)</f>
        <v>256.06360000000012</v>
      </c>
      <c r="AK59" s="13">
        <f t="shared" si="35"/>
        <v>61.882552995500411</v>
      </c>
      <c r="AL59" s="20">
        <f t="shared" si="4"/>
        <v>553.75621646716343</v>
      </c>
      <c r="AM59" s="59">
        <f t="shared" si="5"/>
        <v>847.0895498004968</v>
      </c>
      <c r="AN59" s="59">
        <f ca="1">AVERAGE(OFFSET($AM$3,0,0,'Données projet'!$E$10+1,1))-AVERAGE(OFFSET($H$3,0,0,'Données projet'!$E$10+1,1))</f>
        <v>283.73369613548124</v>
      </c>
      <c r="AO59" s="59">
        <f t="shared" si="36"/>
        <v>249.77804091581208</v>
      </c>
      <c r="AP59" s="15">
        <f>IF(ISNA(VLOOKUP(A59,'Données projet'!$A$61:$I$81,3,0)),0,VLOOKUP(A59,'Données projet'!$A$61:$I$81,3,0))</f>
        <v>6</v>
      </c>
      <c r="AQ59" s="15">
        <f>IF(ISNA(VLOOKUP(A59,'Données projet'!$A$61:$I$81,4,0)),0,VLOOKUP(A59,'Données projet'!$A$61:$I$81,4,0))</f>
        <v>60.092307692307692</v>
      </c>
      <c r="AR59" s="16">
        <f>IF(ISNA(VLOOKUP(A59,'Données projet'!$A$61:$I$81,5,0)),0%,VLOOKUP(A59,'Données projet'!$A$61:$I$81,5,0)*VLOOKUP('Données projet'!$B$10,Paramètres!$A$1:$I$89,7,0))</f>
        <v>0.315</v>
      </c>
      <c r="AS59" s="16">
        <f>IF(ISNA(VLOOKUP(A59,'Données projet'!$A$61:$I$81,6,0)),0%,VLOOKUP(A59,'Données projet'!$A$61:$I$81,6,0)*VLOOKUP('Données projet'!$B$10,Paramètres!$A$1:$I$89,7,0))</f>
        <v>7.5600000000000001E-2</v>
      </c>
      <c r="AT59" s="16">
        <f>IF(ISNA(VLOOKUP(A59,'Données projet'!$A$61:$I$81,7,0)),0%,VLOOKUP(A59,'Données projet'!$A$61:$I$81,7,0))</f>
        <v>0.13200000000000001</v>
      </c>
      <c r="AU59" s="21">
        <f>EXP(-LN(2)/35)*AU58+(1-EXP(-LN(2)/35))/(LN(2)/35)*AQ59*AR59*VLOOKUP('Données projet'!$B$10,Paramètres!$A$1:$I$89,3,0)*0.475*44/12</f>
        <v>51.073988934152091</v>
      </c>
      <c r="AV59" s="21">
        <f>EXP(-LN(2)/25)*AV58+(1-EXP(-LN(2)/25))/(LN(2)/25)*Calculateur!AQ59*Calculateur!AS59*VLOOKUP('Données projet'!$B$10,Paramètres!$A$1:$I$89,3,0)*0.475*44/12</f>
        <v>14.352726717765847</v>
      </c>
      <c r="AW59" s="21">
        <f>EXP(-LN(2)/2)*AW58+(1-EXP(-LN(2)/2))/(LN(2)/2)*AQ59*AT59*VLOOKUP('Données projet'!$B$10,Paramètres!$A$1:$I$89,3,0)*0.475*44/12</f>
        <v>5.5794293043783174</v>
      </c>
      <c r="AX59" s="21">
        <f t="shared" si="6"/>
        <v>71.006144956296254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-1.1368683772161603E-13</v>
      </c>
      <c r="O60" s="13">
        <f>N60*VLOOKUP('Données projet'!$B$9,Paramètres!$A$1:$I$89,3,0)*VLOOKUP('Données projet'!$B$9,Paramètres!$A$1:$I$89,5,0)</f>
        <v>-6.3550942286383367E-14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278.5296012747549</v>
      </c>
      <c r="T60" s="59">
        <f t="shared" si="34"/>
        <v>370.55343097937077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217.8550237372109</v>
      </c>
      <c r="AA60" s="21">
        <f>EXP(-LN(2)/25)*AA59+(1-EXP(-LN(2)/25))/(LN(2)/25)*Calculateur!V60*Calculateur!X60*VLOOKUP('Données projet'!$B$9,Paramètres!$A$1:$I$89,3,0)*0.475*44/12</f>
        <v>54.500186541418472</v>
      </c>
      <c r="AB60" s="21">
        <f>EXP(-LN(2)/2)*AB59+(1-EXP(-LN(2)/2))/(LN(2)/2)*V60*Y60*VLOOKUP('Données projet'!$B$9,Paramètres!$A$1:$I$89,3,0)*0.475*44/12</f>
        <v>17.08065200205623</v>
      </c>
      <c r="AC60" s="22">
        <f t="shared" si="3"/>
        <v>289.43586228068563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12.05461538461538</v>
      </c>
      <c r="AI60" s="13">
        <f>IF('Données projet'!$A$62&gt;35,AI59+AH60-AQ59,IF(A60&lt;'Données projet'!$A$62,$AF$205^A60,IF(A60='Données projet'!$A$62,'Données projet'!$B$62,AI59+AH60-AQ59)))</f>
        <v>380.16230769230776</v>
      </c>
      <c r="AJ60" s="13">
        <f>AI60*VLOOKUP('Données projet'!$B$10,Paramètres!$A$1:$I$89,3,0)*VLOOKUP('Données projet'!$B$10,Paramètres!$A$1:$I$89,5,0)</f>
        <v>227.33706000000004</v>
      </c>
      <c r="AK60" s="13">
        <f t="shared" si="35"/>
        <v>55.70650197157245</v>
      </c>
      <c r="AL60" s="20">
        <f t="shared" si="4"/>
        <v>492.9675371004887</v>
      </c>
      <c r="AM60" s="59">
        <f t="shared" si="5"/>
        <v>786.30087043382196</v>
      </c>
      <c r="AN60" s="59">
        <f ca="1">AVERAGE(OFFSET($AM$3,0,0,'Données projet'!$E$10+1,1))-AVERAGE(OFFSET($H$3,0,0,'Données projet'!$E$10+1,1))</f>
        <v>283.73369613548124</v>
      </c>
      <c r="AO60" s="59">
        <f t="shared" si="36"/>
        <v>249.77804091581208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50.07245916321061</v>
      </c>
      <c r="AV60" s="21">
        <f>EXP(-LN(2)/25)*AV59+(1-EXP(-LN(2)/25))/(LN(2)/25)*Calculateur!AQ60*Calculateur!AS60*VLOOKUP('Données projet'!$B$10,Paramètres!$A$1:$I$89,3,0)*0.475*44/12</f>
        <v>13.960250650891446</v>
      </c>
      <c r="AW60" s="21">
        <f>EXP(-LN(2)/2)*AW59+(1-EXP(-LN(2)/2))/(LN(2)/2)*AQ60*AT60*VLOOKUP('Données projet'!$B$10,Paramètres!$A$1:$I$89,3,0)*0.475*44/12</f>
        <v>3.9452522962768501</v>
      </c>
      <c r="AX60" s="21">
        <f t="shared" si="6"/>
        <v>67.977962110378897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-1.1368683772161603E-13</v>
      </c>
      <c r="O61" s="13">
        <f>N61*VLOOKUP('Données projet'!$B$9,Paramètres!$A$1:$I$89,3,0)*VLOOKUP('Données projet'!$B$9,Paramètres!$A$1:$I$89,5,0)</f>
        <v>-6.3550942286383367E-14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278.5296012747549</v>
      </c>
      <c r="T61" s="59">
        <f t="shared" si="34"/>
        <v>370.55343097937077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213.58301960016803</v>
      </c>
      <c r="AA61" s="21">
        <f>EXP(-LN(2)/25)*AA60+(1-EXP(-LN(2)/25))/(LN(2)/25)*Calculateur!V61*Calculateur!X61*VLOOKUP('Données projet'!$B$9,Paramètres!$A$1:$I$89,3,0)*0.475*44/12</f>
        <v>53.009876074403138</v>
      </c>
      <c r="AB61" s="21">
        <f>EXP(-LN(2)/2)*AB60+(1-EXP(-LN(2)/2))/(LN(2)/2)*V61*Y61*VLOOKUP('Données projet'!$B$9,Paramètres!$A$1:$I$89,3,0)*0.475*44/12</f>
        <v>12.077844857741541</v>
      </c>
      <c r="AC61" s="22">
        <f t="shared" si="3"/>
        <v>278.67074053231272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12.05461538461538</v>
      </c>
      <c r="AI61" s="13">
        <f>IF('Données projet'!$A$62&gt;35,AI60+AH61-AQ60,IF(A61&lt;'Données projet'!$A$62,$AF$205^A61,IF(A61='Données projet'!$A$62,'Données projet'!$B$62,AI60+AH61-AQ60)))</f>
        <v>392.21692307692314</v>
      </c>
      <c r="AJ61" s="13">
        <f>AI61*VLOOKUP('Données projet'!$B$10,Paramètres!$A$1:$I$89,3,0)*VLOOKUP('Données projet'!$B$10,Paramètres!$A$1:$I$89,5,0)</f>
        <v>234.54572000000007</v>
      </c>
      <c r="AK61" s="13">
        <f t="shared" si="35"/>
        <v>57.264450118616011</v>
      </c>
      <c r="AL61" s="20">
        <f t="shared" si="4"/>
        <v>508.23604628992302</v>
      </c>
      <c r="AM61" s="59">
        <f t="shared" si="5"/>
        <v>801.56937962325628</v>
      </c>
      <c r="AN61" s="59">
        <f ca="1">AVERAGE(OFFSET($AM$3,0,0,'Données projet'!$E$10+1,1))-AVERAGE(OFFSET($H$3,0,0,'Données projet'!$E$10+1,1))</f>
        <v>283.73369613548124</v>
      </c>
      <c r="AO61" s="59">
        <f t="shared" si="36"/>
        <v>249.77804091581208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49.09056878020445</v>
      </c>
      <c r="AV61" s="21">
        <f>EXP(-LN(2)/25)*AV60+(1-EXP(-LN(2)/25))/(LN(2)/25)*Calculateur!AQ61*Calculateur!AS61*VLOOKUP('Données projet'!$B$10,Paramètres!$A$1:$I$89,3,0)*0.475*44/12</f>
        <v>13.578506862705144</v>
      </c>
      <c r="AW61" s="21">
        <f>EXP(-LN(2)/2)*AW60+(1-EXP(-LN(2)/2))/(LN(2)/2)*AQ61*AT61*VLOOKUP('Données projet'!$B$10,Paramètres!$A$1:$I$89,3,0)*0.475*44/12</f>
        <v>2.7897146521891591</v>
      </c>
      <c r="AX61" s="21">
        <f t="shared" si="6"/>
        <v>65.458790295098751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-1.1368683772161603E-13</v>
      </c>
      <c r="O62" s="13">
        <f>N62*VLOOKUP('Données projet'!$B$9,Paramètres!$A$1:$I$89,3,0)*VLOOKUP('Données projet'!$B$9,Paramètres!$A$1:$I$89,5,0)</f>
        <v>-6.3550942286383367E-14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278.5296012747549</v>
      </c>
      <c r="T62" s="59">
        <f t="shared" si="34"/>
        <v>370.55343097937077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209.39478685858731</v>
      </c>
      <c r="AA62" s="21">
        <f>EXP(-LN(2)/25)*AA61+(1-EXP(-LN(2)/25))/(LN(2)/25)*Calculateur!V62*Calculateur!X62*VLOOKUP('Données projet'!$B$9,Paramètres!$A$1:$I$89,3,0)*0.475*44/12</f>
        <v>51.560318225480358</v>
      </c>
      <c r="AB62" s="21">
        <f>EXP(-LN(2)/2)*AB61+(1-EXP(-LN(2)/2))/(LN(2)/2)*V62*Y62*VLOOKUP('Données projet'!$B$9,Paramètres!$A$1:$I$89,3,0)*0.475*44/12</f>
        <v>8.5403260010281166</v>
      </c>
      <c r="AC62" s="22">
        <f t="shared" si="3"/>
        <v>269.49543108509579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12.05461538461538</v>
      </c>
      <c r="AI62" s="13">
        <f>IF('Données projet'!$A$62&gt;35,AI61+AH62-AQ61,IF(A62&lt;'Données projet'!$A$62,$AF$205^A62,IF(A62='Données projet'!$A$62,'Données projet'!$B$62,AI61+AH62-AQ61)))</f>
        <v>404.27153846153851</v>
      </c>
      <c r="AJ62" s="13">
        <f>AI62*VLOOKUP('Données projet'!$B$10,Paramètres!$A$1:$I$89,3,0)*VLOOKUP('Données projet'!$B$10,Paramètres!$A$1:$I$89,5,0)</f>
        <v>241.75438000000005</v>
      </c>
      <c r="AK62" s="13">
        <f t="shared" si="35"/>
        <v>58.816833733689712</v>
      </c>
      <c r="AL62" s="20">
        <f t="shared" si="4"/>
        <v>523.49486391950961</v>
      </c>
      <c r="AM62" s="59">
        <f t="shared" si="5"/>
        <v>816.82819725284298</v>
      </c>
      <c r="AN62" s="59">
        <f ca="1">AVERAGE(OFFSET($AM$3,0,0,'Données projet'!$E$10+1,1))-AVERAGE(OFFSET($H$3,0,0,'Données projet'!$E$10+1,1))</f>
        <v>283.73369613548124</v>
      </c>
      <c r="AO62" s="59">
        <f t="shared" si="36"/>
        <v>249.77804091581208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48.12793266871504</v>
      </c>
      <c r="AV62" s="21">
        <f>EXP(-LN(2)/25)*AV61+(1-EXP(-LN(2)/25))/(LN(2)/25)*Calculateur!AQ62*Calculateur!AS62*VLOOKUP('Données projet'!$B$10,Paramètres!$A$1:$I$89,3,0)*0.475*44/12</f>
        <v>13.207201878481829</v>
      </c>
      <c r="AW62" s="21">
        <f>EXP(-LN(2)/2)*AW61+(1-EXP(-LN(2)/2))/(LN(2)/2)*AQ62*AT62*VLOOKUP('Données projet'!$B$10,Paramètres!$A$1:$I$89,3,0)*0.475*44/12</f>
        <v>1.9726261481384255</v>
      </c>
      <c r="AX62" s="21">
        <f t="shared" si="6"/>
        <v>63.307760695335297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-1.1368683772161603E-13</v>
      </c>
      <c r="O63" s="13">
        <f>N63*VLOOKUP('Données projet'!$B$9,Paramètres!$A$1:$I$89,3,0)*VLOOKUP('Données projet'!$B$9,Paramètres!$A$1:$I$89,5,0)</f>
        <v>-6.3550942286383367E-14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278.5296012747549</v>
      </c>
      <c r="T63" s="59">
        <f t="shared" si="34"/>
        <v>370.55343097937077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205.28868280649928</v>
      </c>
      <c r="AA63" s="21">
        <f>EXP(-LN(2)/25)*AA62+(1-EXP(-LN(2)/25))/(LN(2)/25)*Calculateur!V63*Calculateur!X63*VLOOKUP('Données projet'!$B$9,Paramètres!$A$1:$I$89,3,0)*0.475*44/12</f>
        <v>50.150398612165304</v>
      </c>
      <c r="AB63" s="21">
        <f>EXP(-LN(2)/2)*AB62+(1-EXP(-LN(2)/2))/(LN(2)/2)*V63*Y63*VLOOKUP('Données projet'!$B$9,Paramètres!$A$1:$I$89,3,0)*0.475*44/12</f>
        <v>6.0389224288707712</v>
      </c>
      <c r="AC63" s="22">
        <f t="shared" si="3"/>
        <v>261.47800384753538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12.05461538461538</v>
      </c>
      <c r="AI63" s="13">
        <f>IF('Données projet'!$A$62&gt;35,AI62+AH63-AQ62,IF(A63&lt;'Données projet'!$A$62,$AF$205^A63,IF(A63='Données projet'!$A$62,'Données projet'!$B$62,AI62+AH63-AQ62)))</f>
        <v>416.32615384615389</v>
      </c>
      <c r="AJ63" s="13">
        <f>AI63*VLOOKUP('Données projet'!$B$10,Paramètres!$A$1:$I$89,3,0)*VLOOKUP('Données projet'!$B$10,Paramètres!$A$1:$I$89,5,0)</f>
        <v>248.96304000000006</v>
      </c>
      <c r="AK63" s="13">
        <f t="shared" si="35"/>
        <v>60.363837788674616</v>
      </c>
      <c r="AL63" s="20">
        <f t="shared" si="4"/>
        <v>538.7443121486084</v>
      </c>
      <c r="AM63" s="59">
        <f t="shared" si="5"/>
        <v>832.07764548194177</v>
      </c>
      <c r="AN63" s="59">
        <f ca="1">AVERAGE(OFFSET($AM$3,0,0,'Données projet'!$E$10+1,1))-AVERAGE(OFFSET($H$3,0,0,'Données projet'!$E$10+1,1))</f>
        <v>283.73369613548124</v>
      </c>
      <c r="AO63" s="59">
        <f t="shared" si="36"/>
        <v>249.77804091581208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47.18417326422189</v>
      </c>
      <c r="AV63" s="21">
        <f>EXP(-LN(2)/25)*AV62+(1-EXP(-LN(2)/25))/(LN(2)/25)*Calculateur!AQ63*Calculateur!AS63*VLOOKUP('Données projet'!$B$10,Paramètres!$A$1:$I$89,3,0)*0.475*44/12</f>
        <v>12.846050248578182</v>
      </c>
      <c r="AW63" s="21">
        <f>EXP(-LN(2)/2)*AW62+(1-EXP(-LN(2)/2))/(LN(2)/2)*AQ63*AT63*VLOOKUP('Données projet'!$B$10,Paramètres!$A$1:$I$89,3,0)*0.475*44/12</f>
        <v>1.3948573260945798</v>
      </c>
      <c r="AX63" s="21">
        <f t="shared" si="6"/>
        <v>61.425080838894651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-6.3550942286383367E-14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278.5296012747549</v>
      </c>
      <c r="T64" s="59">
        <f t="shared" si="34"/>
        <v>370.55343097937077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201.26309695039652</v>
      </c>
      <c r="AA64" s="21">
        <f>EXP(-LN(2)/25)*AA63+(1-EXP(-LN(2)/25))/(LN(2)/25)*Calculateur!V64*Calculateur!X64*VLOOKUP('Données projet'!$B$9,Paramètres!$A$1:$I$89,3,0)*0.475*44/12</f>
        <v>48.779033324820801</v>
      </c>
      <c r="AB64" s="21">
        <f>EXP(-LN(2)/2)*AB63+(1-EXP(-LN(2)/2))/(LN(2)/2)*V64*Y64*VLOOKUP('Données projet'!$B$9,Paramètres!$A$1:$I$89,3,0)*0.475*44/12</f>
        <v>4.2701630005140592</v>
      </c>
      <c r="AC64" s="22">
        <f t="shared" si="3"/>
        <v>254.31229327573138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12.05461538461538</v>
      </c>
      <c r="AI64" s="13">
        <f>IF('Données projet'!$A$62&gt;35,AI63+AH64-AQ63,IF(A64&lt;'Données projet'!$A$62,$AF$205^A64,IF(A64='Données projet'!$A$62,'Données projet'!$B$62,AI63+AH64-AQ63)))</f>
        <v>428.38076923076926</v>
      </c>
      <c r="AJ64" s="13">
        <f>AI64*VLOOKUP('Données projet'!$B$10,Paramètres!$A$1:$I$89,3,0)*VLOOKUP('Données projet'!$B$10,Paramètres!$A$1:$I$89,5,0)</f>
        <v>256.17170000000004</v>
      </c>
      <c r="AK64" s="13">
        <f t="shared" si="35"/>
        <v>61.90563593470165</v>
      </c>
      <c r="AL64" s="20">
        <f t="shared" si="4"/>
        <v>553.98469341960538</v>
      </c>
      <c r="AM64" s="59">
        <f t="shared" si="5"/>
        <v>847.31802675293875</v>
      </c>
      <c r="AN64" s="59">
        <f ca="1">AVERAGE(OFFSET($AM$3,0,0,'Données projet'!$E$10+1,1))-AVERAGE(OFFSET($H$3,0,0,'Données projet'!$E$10+1,1))</f>
        <v>283.73369613548124</v>
      </c>
      <c r="AO64" s="59">
        <f t="shared" si="36"/>
        <v>249.77804091581208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46.258920406014447</v>
      </c>
      <c r="AV64" s="21">
        <f>EXP(-LN(2)/25)*AV63+(1-EXP(-LN(2)/25))/(LN(2)/25)*Calculateur!AQ64*Calculateur!AS64*VLOOKUP('Données projet'!$B$10,Paramètres!$A$1:$I$89,3,0)*0.475*44/12</f>
        <v>12.49477432898639</v>
      </c>
      <c r="AW64" s="21">
        <f>EXP(-LN(2)/2)*AW63+(1-EXP(-LN(2)/2))/(LN(2)/2)*AQ64*AT64*VLOOKUP('Données projet'!$B$10,Paramètres!$A$1:$I$89,3,0)*0.475*44/12</f>
        <v>0.98631307406921287</v>
      </c>
      <c r="AX64" s="21">
        <f t="shared" si="6"/>
        <v>59.74000780907005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-6.3550942286383367E-14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278.5296012747549</v>
      </c>
      <c r="T65" s="59">
        <f t="shared" si="34"/>
        <v>370.55343097937077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197.31645037756701</v>
      </c>
      <c r="AA65" s="21">
        <f>EXP(-LN(2)/25)*AA64+(1-EXP(-LN(2)/25))/(LN(2)/25)*Calculateur!V65*Calculateur!X65*VLOOKUP('Données projet'!$B$9,Paramètres!$A$1:$I$89,3,0)*0.475*44/12</f>
        <v>47.445168093375699</v>
      </c>
      <c r="AB65" s="21">
        <f>EXP(-LN(2)/2)*AB64+(1-EXP(-LN(2)/2))/(LN(2)/2)*V65*Y65*VLOOKUP('Données projet'!$B$9,Paramètres!$A$1:$I$89,3,0)*0.475*44/12</f>
        <v>3.0194612144353861</v>
      </c>
      <c r="AC65" s="22">
        <f t="shared" si="3"/>
        <v>247.7810796853781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12.05461538461538</v>
      </c>
      <c r="AI65" s="13">
        <f>IF('Données projet'!$A$62&gt;35,AI64+AH65-AQ64,IF(A65&lt;'Données projet'!$A$62,$AF$205^A65,IF(A65='Données projet'!$A$62,'Données projet'!$B$62,AI64+AH65-AQ64)))</f>
        <v>440.43538461538463</v>
      </c>
      <c r="AJ65" s="13">
        <f>AI65*VLOOKUP('Données projet'!$B$10,Paramètres!$A$1:$I$89,3,0)*VLOOKUP('Données projet'!$B$10,Paramètres!$A$1:$I$89,5,0)</f>
        <v>263.38036</v>
      </c>
      <c r="AK65" s="13">
        <f t="shared" si="35"/>
        <v>63.442391493835359</v>
      </c>
      <c r="AL65" s="20">
        <f t="shared" si="4"/>
        <v>569.21629218509656</v>
      </c>
      <c r="AM65" s="59">
        <f t="shared" si="5"/>
        <v>862.54962551842982</v>
      </c>
      <c r="AN65" s="59">
        <f ca="1">AVERAGE(OFFSET($AM$3,0,0,'Données projet'!$E$10+1,1))-AVERAGE(OFFSET($H$3,0,0,'Données projet'!$E$10+1,1))</f>
        <v>283.73369613548124</v>
      </c>
      <c r="AO65" s="59">
        <f t="shared" si="36"/>
        <v>249.77804091581208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45.351811192007936</v>
      </c>
      <c r="AV65" s="21">
        <f>EXP(-LN(2)/25)*AV64+(1-EXP(-LN(2)/25))/(LN(2)/25)*Calculateur!AQ65*Calculateur!AS65*VLOOKUP('Données projet'!$B$10,Paramètres!$A$1:$I$89,3,0)*0.475*44/12</f>
        <v>12.153104067888632</v>
      </c>
      <c r="AW65" s="21">
        <f>EXP(-LN(2)/2)*AW64+(1-EXP(-LN(2)/2))/(LN(2)/2)*AQ65*AT65*VLOOKUP('Données projet'!$B$10,Paramètres!$A$1:$I$89,3,0)*0.475*44/12</f>
        <v>0.69742866304729001</v>
      </c>
      <c r="AX65" s="21">
        <f t="shared" si="6"/>
        <v>58.202343922943861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-6.3550942286383367E-14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278.5296012747549</v>
      </c>
      <c r="T66" s="59">
        <f t="shared" si="34"/>
        <v>370.55343097937077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193.44719513681397</v>
      </c>
      <c r="AA66" s="21">
        <f>EXP(-LN(2)/25)*AA65+(1-EXP(-LN(2)/25))/(LN(2)/25)*Calculateur!V66*Calculateur!X66*VLOOKUP('Données projet'!$B$9,Paramètres!$A$1:$I$89,3,0)*0.475*44/12</f>
        <v>46.14777747682939</v>
      </c>
      <c r="AB66" s="21">
        <f>EXP(-LN(2)/2)*AB65+(1-EXP(-LN(2)/2))/(LN(2)/2)*V66*Y66*VLOOKUP('Données projet'!$B$9,Paramètres!$A$1:$I$89,3,0)*0.475*44/12</f>
        <v>2.1350815002570296</v>
      </c>
      <c r="AC66" s="22">
        <f t="shared" si="3"/>
        <v>241.73005411390039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12.05461538461538</v>
      </c>
      <c r="AI66" s="13">
        <f>IF('Données projet'!$A$62&gt;35,AI65+AH66-AQ65,IF(A66&lt;'Données projet'!$A$62,$AF$205^A66,IF(A66='Données projet'!$A$62,'Données projet'!$B$62,AI65+AH66-AQ65)))</f>
        <v>452.49</v>
      </c>
      <c r="AJ66" s="13">
        <f>AI66*VLOOKUP('Données projet'!$B$10,Paramètres!$A$1:$I$89,3,0)*VLOOKUP('Données projet'!$B$10,Paramètres!$A$1:$I$89,5,0)</f>
        <v>270.58902000000006</v>
      </c>
      <c r="AK66" s="13">
        <f t="shared" si="35"/>
        <v>64.974258339135972</v>
      </c>
      <c r="AL66" s="20">
        <f t="shared" si="4"/>
        <v>584.43937644066193</v>
      </c>
      <c r="AM66" s="59">
        <f t="shared" si="5"/>
        <v>877.7727097739953</v>
      </c>
      <c r="AN66" s="59">
        <f ca="1">AVERAGE(OFFSET($AM$3,0,0,'Données projet'!$E$10+1,1))-AVERAGE(OFFSET($H$3,0,0,'Données projet'!$E$10+1,1))</f>
        <v>283.73369613548124</v>
      </c>
      <c r="AO66" s="59">
        <f t="shared" si="36"/>
        <v>249.77804091581208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44.462489836406107</v>
      </c>
      <c r="AV66" s="21">
        <f>EXP(-LN(2)/25)*AV65+(1-EXP(-LN(2)/25))/(LN(2)/25)*Calculateur!AQ66*Calculateur!AS66*VLOOKUP('Données projet'!$B$10,Paramètres!$A$1:$I$89,3,0)*0.475*44/12</f>
        <v>11.820776798048252</v>
      </c>
      <c r="AW66" s="21">
        <f>EXP(-LN(2)/2)*AW65+(1-EXP(-LN(2)/2))/(LN(2)/2)*AQ66*AT66*VLOOKUP('Données projet'!$B$10,Paramètres!$A$1:$I$89,3,0)*0.475*44/12</f>
        <v>0.49315653703460649</v>
      </c>
      <c r="AX66" s="21">
        <f t="shared" si="6"/>
        <v>56.776423171488965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-6.3550942286383367E-14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278.5296012747549</v>
      </c>
      <c r="T67" s="59">
        <f t="shared" si="34"/>
        <v>370.55343097937077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189.65381363131942</v>
      </c>
      <c r="AA67" s="21">
        <f>EXP(-LN(2)/25)*AA66+(1-EXP(-LN(2)/25))/(LN(2)/25)*Calculateur!V67*Calculateur!X67*VLOOKUP('Données projet'!$B$9,Paramètres!$A$1:$I$89,3,0)*0.475*44/12</f>
        <v>44.885864074919347</v>
      </c>
      <c r="AB67" s="21">
        <f>EXP(-LN(2)/2)*AB66+(1-EXP(-LN(2)/2))/(LN(2)/2)*V67*Y67*VLOOKUP('Données projet'!$B$9,Paramètres!$A$1:$I$89,3,0)*0.475*44/12</f>
        <v>1.509730607217693</v>
      </c>
      <c r="AC67" s="22">
        <f t="shared" si="3"/>
        <v>236.04940831345647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12.05461538461538</v>
      </c>
      <c r="AI67" s="13">
        <f>IF('Données projet'!$A$62&gt;35,AI66+AH67-AQ66,IF(A67&lt;'Données projet'!$A$62,$AF$205^A67,IF(A67='Données projet'!$A$62,'Données projet'!$B$62,AI66+AH67-AQ66)))</f>
        <v>464.54461538461538</v>
      </c>
      <c r="AJ67" s="13">
        <f>AI67*VLOOKUP('Données projet'!$B$10,Paramètres!$A$1:$I$89,3,0)*VLOOKUP('Données projet'!$B$10,Paramètres!$A$1:$I$89,5,0)</f>
        <v>277.79768000000001</v>
      </c>
      <c r="AK67" s="13">
        <f t="shared" si="35"/>
        <v>66.501381678302167</v>
      </c>
      <c r="AL67" s="20">
        <f t="shared" si="4"/>
        <v>599.65419908970955</v>
      </c>
      <c r="AM67" s="59">
        <f t="shared" si="5"/>
        <v>892.98753242304292</v>
      </c>
      <c r="AN67" s="59">
        <f ca="1">AVERAGE(OFFSET($AM$3,0,0,'Données projet'!$E$10+1,1))-AVERAGE(OFFSET($H$3,0,0,'Données projet'!$E$10+1,1))</f>
        <v>283.73369613548124</v>
      </c>
      <c r="AO67" s="59">
        <f t="shared" si="36"/>
        <v>249.77804091581208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43.590607530155161</v>
      </c>
      <c r="AV67" s="21">
        <f>EXP(-LN(2)/25)*AV66+(1-EXP(-LN(2)/25))/(LN(2)/25)*Calculateur!AQ67*Calculateur!AS67*VLOOKUP('Données projet'!$B$10,Paramètres!$A$1:$I$89,3,0)*0.475*44/12</f>
        <v>11.497537034877988</v>
      </c>
      <c r="AW67" s="21">
        <f>EXP(-LN(2)/2)*AW66+(1-EXP(-LN(2)/2))/(LN(2)/2)*AQ67*AT67*VLOOKUP('Données projet'!$B$10,Paramètres!$A$1:$I$89,3,0)*0.475*44/12</f>
        <v>0.34871433152364506</v>
      </c>
      <c r="AX67" s="21">
        <f t="shared" si="6"/>
        <v>55.436858896556792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-6.3550942286383367E-14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278.5296012747549</v>
      </c>
      <c r="T68" s="59">
        <f t="shared" si="34"/>
        <v>370.55343097937077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185.93481802341336</v>
      </c>
      <c r="AA68" s="21">
        <f>EXP(-LN(2)/25)*AA67+(1-EXP(-LN(2)/25))/(LN(2)/25)*Calculateur!V68*Calculateur!X68*VLOOKUP('Données projet'!$B$9,Paramètres!$A$1:$I$89,3,0)*0.475*44/12</f>
        <v>43.658457761345673</v>
      </c>
      <c r="AB68" s="21">
        <f>EXP(-LN(2)/2)*AB67+(1-EXP(-LN(2)/2))/(LN(2)/2)*V68*Y68*VLOOKUP('Données projet'!$B$9,Paramètres!$A$1:$I$89,3,0)*0.475*44/12</f>
        <v>1.0675407501285148</v>
      </c>
      <c r="AC68" s="22">
        <f t="shared" ref="AC68:AC131" si="57">SUM(Z68:AB68)</f>
        <v>230.66081653488754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12.05461538461538</v>
      </c>
      <c r="AI68" s="13">
        <f>IF('Données projet'!$A$62&gt;35,AI67+AH68-AQ67,IF(A68&lt;'Données projet'!$A$62,$AF$205^A68,IF(A68='Données projet'!$A$62,'Données projet'!$B$62,AI67+AH68-AQ67)))</f>
        <v>476.59923076923076</v>
      </c>
      <c r="AJ68" s="13">
        <f>AI68*VLOOKUP('Données projet'!$B$10,Paramètres!$A$1:$I$89,3,0)*VLOOKUP('Données projet'!$B$10,Paramètres!$A$1:$I$89,5,0)</f>
        <v>285.00634000000002</v>
      </c>
      <c r="AK68" s="13">
        <f t="shared" si="35"/>
        <v>68.023898753685756</v>
      </c>
      <c r="AL68" s="20">
        <f t="shared" ref="AL68:AL131" si="58">(AJ68+AK68)*0.475*44/12</f>
        <v>614.86099916266949</v>
      </c>
      <c r="AM68" s="59">
        <f t="shared" ref="AM68:AM131" si="59">AL68+(AD68+AE68)*44/12</f>
        <v>908.19433249600274</v>
      </c>
      <c r="AN68" s="59">
        <f ca="1">AVERAGE(OFFSET($AM$3,0,0,'Données projet'!$E$10+1,1))-AVERAGE(OFFSET($H$3,0,0,'Données projet'!$E$10+1,1))</f>
        <v>283.73369613548124</v>
      </c>
      <c r="AO68" s="59">
        <f t="shared" si="36"/>
        <v>249.77804091581208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42.735822304134096</v>
      </c>
      <c r="AV68" s="21">
        <f>EXP(-LN(2)/25)*AV67+(1-EXP(-LN(2)/25))/(LN(2)/25)*Calculateur!AQ68*Calculateur!AS68*VLOOKUP('Données projet'!$B$10,Paramètres!$A$1:$I$89,3,0)*0.475*44/12</f>
        <v>11.183136280030055</v>
      </c>
      <c r="AW68" s="21">
        <f>EXP(-LN(2)/2)*AW67+(1-EXP(-LN(2)/2))/(LN(2)/2)*AQ68*AT68*VLOOKUP('Données projet'!$B$10,Paramètres!$A$1:$I$89,3,0)*0.475*44/12</f>
        <v>0.2465782685173033</v>
      </c>
      <c r="AX68" s="21">
        <f t="shared" ref="AX68:AX131" si="60">SUM(AU68:AW68)</f>
        <v>54.165536852681456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-6.3550942286383367E-14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278.5296012747549</v>
      </c>
      <c r="T69" s="59">
        <f t="shared" ref="T69:T132" si="88">$T$3</f>
        <v>370.55343097937077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182.288749651015</v>
      </c>
      <c r="AA69" s="21">
        <f>EXP(-LN(2)/25)*AA68+(1-EXP(-LN(2)/25))/(LN(2)/25)*Calculateur!V69*Calculateur!X69*VLOOKUP('Données projet'!$B$9,Paramètres!$A$1:$I$89,3,0)*0.475*44/12</f>
        <v>42.464614937963162</v>
      </c>
      <c r="AB69" s="21">
        <f>EXP(-LN(2)/2)*AB68+(1-EXP(-LN(2)/2))/(LN(2)/2)*V69*Y69*VLOOKUP('Données projet'!$B$9,Paramètres!$A$1:$I$89,3,0)*0.475*44/12</f>
        <v>0.75486530360884652</v>
      </c>
      <c r="AC69" s="22">
        <f t="shared" si="57"/>
        <v>225.50822989258702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488.65384615384613</v>
      </c>
      <c r="AG69" s="12">
        <f>VLOOKUP(A69,'Données projet'!$A$61:$I$81,9,0)</f>
        <v>12.05461538461538</v>
      </c>
      <c r="AH69" s="12">
        <f t="array" ref="AH69">INDEX(AG:AG,MIN(IF(ISNUMBER(AG69:AG265),ROW(AG69:AG265),"")))</f>
        <v>12.05461538461538</v>
      </c>
      <c r="AI69" s="13">
        <f>IF('Données projet'!$A$62&gt;35,AI68+AH69-AQ68,IF(A69&lt;'Données projet'!$A$62,$AF$205^A69,IF(A69='Données projet'!$A$62,'Données projet'!$B$62,AI68+AH69-AQ68)))</f>
        <v>488.65384615384613</v>
      </c>
      <c r="AJ69" s="13">
        <f>AI69*VLOOKUP('Données projet'!$B$10,Paramètres!$A$1:$I$89,3,0)*VLOOKUP('Données projet'!$B$10,Paramètres!$A$1:$I$89,5,0)</f>
        <v>292.21500000000003</v>
      </c>
      <c r="AK69" s="13">
        <f t="shared" ref="AK69:AK132" si="89">EXP(-1.0587+0.8836*LN(AJ69)+0.284)</f>
        <v>69.541939469490984</v>
      </c>
      <c r="AL69" s="20">
        <f t="shared" si="58"/>
        <v>630.06000290936356</v>
      </c>
      <c r="AM69" s="59">
        <f t="shared" si="59"/>
        <v>923.39333624269693</v>
      </c>
      <c r="AN69" s="59">
        <f ca="1">AVERAGE(OFFSET($AM$3,0,0,'Données projet'!$E$10+1,1))-AVERAGE(OFFSET($H$3,0,0,'Données projet'!$E$10+1,1))</f>
        <v>283.73369613548124</v>
      </c>
      <c r="AO69" s="59">
        <f t="shared" ref="AO69:AO132" si="90">$AO$3</f>
        <v>249.77804091581208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68.146153846153851</v>
      </c>
      <c r="AR69" s="16">
        <f>IF(ISNA(VLOOKUP(A69,'Données projet'!$A$61:$I$81,5,0)),0%,VLOOKUP(A69,'Données projet'!$A$61:$I$81,5,0)*VLOOKUP('Données projet'!$B$10,Paramètres!$A$1:$I$89,7,0))</f>
        <v>0.315</v>
      </c>
      <c r="AS69" s="16">
        <f>IF(ISNA(VLOOKUP(A69,'Données projet'!$A$61:$I$81,6,0)),0%,VLOOKUP(A69,'Données projet'!$A$61:$I$81,6,0)*VLOOKUP('Données projet'!$B$10,Paramètres!$A$1:$I$89,7,0))</f>
        <v>7.5600000000000001E-2</v>
      </c>
      <c r="AT69" s="16">
        <f>IF(ISNA(VLOOKUP(A69,'Données projet'!$A$61:$I$81,7,0)),0%,VLOOKUP(A69,'Données projet'!$A$61:$I$81,7,0))</f>
        <v>0.13200000000000001</v>
      </c>
      <c r="AU69" s="21">
        <f>EXP(-LN(2)/35)*AU68+(1-EXP(-LN(2)/35))/(LN(2)/35)*AQ69*AR69*VLOOKUP('Données projet'!$B$10,Paramètres!$A$1:$I$89,3,0)*0.475*44/12</f>
        <v>58.926496901088441</v>
      </c>
      <c r="AV69" s="21">
        <f>EXP(-LN(2)/25)*AV68+(1-EXP(-LN(2)/25))/(LN(2)/25)*Calculateur!AQ69*Calculateur!AS69*VLOOKUP('Données projet'!$B$10,Paramètres!$A$1:$I$89,3,0)*0.475*44/12</f>
        <v>14.948128718413415</v>
      </c>
      <c r="AW69" s="21">
        <f>EXP(-LN(2)/2)*AW68+(1-EXP(-LN(2)/2))/(LN(2)/2)*AQ69*AT69*VLOOKUP('Données projet'!$B$10,Paramètres!$A$1:$I$89,3,0)*0.475*44/12</f>
        <v>6.2648439306852666</v>
      </c>
      <c r="AX69" s="21">
        <f t="shared" si="60"/>
        <v>80.13946955018713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-6.3550942286383367E-14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278.5296012747549</v>
      </c>
      <c r="T70" s="59">
        <f t="shared" si="88"/>
        <v>370.55343097937077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178.71417845551724</v>
      </c>
      <c r="AA70" s="21">
        <f>EXP(-LN(2)/25)*AA69+(1-EXP(-LN(2)/25))/(LN(2)/25)*Calculateur!V70*Calculateur!X70*VLOOKUP('Données projet'!$B$9,Paramètres!$A$1:$I$89,3,0)*0.475*44/12</f>
        <v>41.303417809367517</v>
      </c>
      <c r="AB70" s="21">
        <f>EXP(-LN(2)/2)*AB69+(1-EXP(-LN(2)/2))/(LN(2)/2)*V70*Y70*VLOOKUP('Données projet'!$B$9,Paramètres!$A$1:$I$89,3,0)*0.475*44/12</f>
        <v>0.5337703750642574</v>
      </c>
      <c r="AC70" s="22">
        <f t="shared" si="57"/>
        <v>220.55136663994901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9.9715384615384544</v>
      </c>
      <c r="AI70" s="13">
        <f>IF('Données projet'!$A$62&gt;35,AI69+AH70-AQ69,IF(A70&lt;'Données projet'!$A$62,$AF$205^A70,IF(A70='Données projet'!$A$62,'Données projet'!$B$62,AI69+AH70-AQ69)))</f>
        <v>430.47923076923075</v>
      </c>
      <c r="AJ70" s="13">
        <f>AI70*VLOOKUP('Données projet'!$B$10,Paramètres!$A$1:$I$89,3,0)*VLOOKUP('Données projet'!$B$10,Paramètres!$A$1:$I$89,5,0)</f>
        <v>257.42658</v>
      </c>
      <c r="AK70" s="13">
        <f t="shared" si="89"/>
        <v>62.173511644566837</v>
      </c>
      <c r="AL70" s="20">
        <f t="shared" si="58"/>
        <v>556.63682628095387</v>
      </c>
      <c r="AM70" s="59">
        <f t="shared" si="59"/>
        <v>849.97015961428724</v>
      </c>
      <c r="AN70" s="59">
        <f ca="1">AVERAGE(OFFSET($AM$3,0,0,'Données projet'!$E$10+1,1))-AVERAGE(OFFSET($H$3,0,0,'Données projet'!$E$10+1,1))</f>
        <v>283.73369613548124</v>
      </c>
      <c r="AO70" s="59">
        <f t="shared" si="90"/>
        <v>249.77804091581208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57.770984238472266</v>
      </c>
      <c r="AV70" s="21">
        <f>EXP(-LN(2)/25)*AV69+(1-EXP(-LN(2)/25))/(LN(2)/25)*Calculateur!AQ70*Calculateur!AS70*VLOOKUP('Données projet'!$B$10,Paramètres!$A$1:$I$89,3,0)*0.475*44/12</f>
        <v>14.539371352520474</v>
      </c>
      <c r="AW70" s="21">
        <f>EXP(-LN(2)/2)*AW69+(1-EXP(-LN(2)/2))/(LN(2)/2)*AQ70*AT70*VLOOKUP('Données projet'!$B$10,Paramètres!$A$1:$I$89,3,0)*0.475*44/12</f>
        <v>4.4299136264629375</v>
      </c>
      <c r="AX70" s="21">
        <f t="shared" si="60"/>
        <v>76.740269217455676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-6.3550942286383367E-14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278.5296012747549</v>
      </c>
      <c r="T71" s="59">
        <f t="shared" si="88"/>
        <v>370.55343097937077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175.20970242089007</v>
      </c>
      <c r="AA71" s="21">
        <f>EXP(-LN(2)/25)*AA70+(1-EXP(-LN(2)/25))/(LN(2)/25)*Calculateur!V71*Calculateur!X71*VLOOKUP('Données projet'!$B$9,Paramètres!$A$1:$I$89,3,0)*0.475*44/12</f>
        <v>40.173973677318017</v>
      </c>
      <c r="AB71" s="21">
        <f>EXP(-LN(2)/2)*AB70+(1-EXP(-LN(2)/2))/(LN(2)/2)*V71*Y71*VLOOKUP('Données projet'!$B$9,Paramètres!$A$1:$I$89,3,0)*0.475*44/12</f>
        <v>0.37743265180442326</v>
      </c>
      <c r="AC71" s="22">
        <f t="shared" si="57"/>
        <v>215.76110875001248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9.9715384615384544</v>
      </c>
      <c r="AI71" s="13">
        <f>IF('Données projet'!$A$62&gt;35,AI70+AH71-AQ70,IF(A71&lt;'Données projet'!$A$62,$AF$205^A71,IF(A71='Données projet'!$A$62,'Données projet'!$B$62,AI70+AH71-AQ70)))</f>
        <v>440.4507692307692</v>
      </c>
      <c r="AJ71" s="13">
        <f>AI71*VLOOKUP('Données projet'!$B$10,Paramètres!$A$1:$I$89,3,0)*VLOOKUP('Données projet'!$B$10,Paramètres!$A$1:$I$89,5,0)</f>
        <v>263.38956000000002</v>
      </c>
      <c r="AK71" s="13">
        <f t="shared" si="89"/>
        <v>63.444349611612601</v>
      </c>
      <c r="AL71" s="20">
        <f t="shared" si="58"/>
        <v>569.23572590689196</v>
      </c>
      <c r="AM71" s="59">
        <f t="shared" si="59"/>
        <v>862.56905924022522</v>
      </c>
      <c r="AN71" s="59">
        <f ca="1">AVERAGE(OFFSET($AM$3,0,0,'Données projet'!$E$10+1,1))-AVERAGE(OFFSET($H$3,0,0,'Données projet'!$E$10+1,1))</f>
        <v>283.73369613548124</v>
      </c>
      <c r="AO71" s="59">
        <f t="shared" si="90"/>
        <v>249.77804091581208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56.638130474376865</v>
      </c>
      <c r="AV71" s="21">
        <f>EXP(-LN(2)/25)*AV70+(1-EXP(-LN(2)/25))/(LN(2)/25)*Calculateur!AQ71*Calculateur!AS71*VLOOKUP('Données projet'!$B$10,Paramètres!$A$1:$I$89,3,0)*0.475*44/12</f>
        <v>14.141791478293493</v>
      </c>
      <c r="AW71" s="21">
        <f>EXP(-LN(2)/2)*AW70+(1-EXP(-LN(2)/2))/(LN(2)/2)*AQ71*AT71*VLOOKUP('Données projet'!$B$10,Paramètres!$A$1:$I$89,3,0)*0.475*44/12</f>
        <v>3.1324219653426337</v>
      </c>
      <c r="AX71" s="21">
        <f t="shared" si="60"/>
        <v>73.912343918012994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-6.3550942286383367E-14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278.5296012747549</v>
      </c>
      <c r="T72" s="59">
        <f t="shared" si="88"/>
        <v>370.55343097937077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171.77394702378263</v>
      </c>
      <c r="AA72" s="21">
        <f>EXP(-LN(2)/25)*AA71+(1-EXP(-LN(2)/25))/(LN(2)/25)*Calculateur!V72*Calculateur!X72*VLOOKUP('Données projet'!$B$9,Paramètres!$A$1:$I$89,3,0)*0.475*44/12</f>
        <v>39.075414254454301</v>
      </c>
      <c r="AB72" s="21">
        <f>EXP(-LN(2)/2)*AB71+(1-EXP(-LN(2)/2))/(LN(2)/2)*V72*Y72*VLOOKUP('Données projet'!$B$9,Paramètres!$A$1:$I$89,3,0)*0.475*44/12</f>
        <v>0.2668851875321287</v>
      </c>
      <c r="AC72" s="22">
        <f t="shared" si="57"/>
        <v>211.11624646576905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9.9715384615384544</v>
      </c>
      <c r="AI72" s="13">
        <f>IF('Données projet'!$A$62&gt;35,AI71+AH72-AQ71,IF(A72&lt;'Données projet'!$A$62,$AF$205^A72,IF(A72='Données projet'!$A$62,'Données projet'!$B$62,AI71+AH72-AQ71)))</f>
        <v>450.42230769230764</v>
      </c>
      <c r="AJ72" s="13">
        <f>AI72*VLOOKUP('Données projet'!$B$10,Paramètres!$A$1:$I$89,3,0)*VLOOKUP('Données projet'!$B$10,Paramètres!$A$1:$I$89,5,0)</f>
        <v>269.35253999999998</v>
      </c>
      <c r="AK72" s="13">
        <f t="shared" si="89"/>
        <v>64.711842740845071</v>
      </c>
      <c r="AL72" s="20">
        <f t="shared" si="58"/>
        <v>581.8287999403052</v>
      </c>
      <c r="AM72" s="59">
        <f t="shared" si="59"/>
        <v>875.16213327363857</v>
      </c>
      <c r="AN72" s="59">
        <f ca="1">AVERAGE(OFFSET($AM$3,0,0,'Données projet'!$E$10+1,1))-AVERAGE(OFFSET($H$3,0,0,'Données projet'!$E$10+1,1))</f>
        <v>283.73369613548124</v>
      </c>
      <c r="AO72" s="59">
        <f t="shared" si="90"/>
        <v>249.77804091581208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55.527491281622808</v>
      </c>
      <c r="AV72" s="21">
        <f>EXP(-LN(2)/25)*AV71+(1-EXP(-LN(2)/25))/(LN(2)/25)*Calculateur!AQ72*Calculateur!AS72*VLOOKUP('Données projet'!$B$10,Paramètres!$A$1:$I$89,3,0)*0.475*44/12</f>
        <v>13.755083446635066</v>
      </c>
      <c r="AW72" s="21">
        <f>EXP(-LN(2)/2)*AW71+(1-EXP(-LN(2)/2))/(LN(2)/2)*AQ72*AT72*VLOOKUP('Données projet'!$B$10,Paramètres!$A$1:$I$89,3,0)*0.475*44/12</f>
        <v>2.2149568132314692</v>
      </c>
      <c r="AX72" s="21">
        <f t="shared" si="60"/>
        <v>71.497531541489337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-6.3550942286383367E-14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278.5296012747549</v>
      </c>
      <c r="T73" s="59">
        <f t="shared" si="88"/>
        <v>370.55343097937077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168.40556469440858</v>
      </c>
      <c r="AA73" s="21">
        <f>EXP(-LN(2)/25)*AA72+(1-EXP(-LN(2)/25))/(LN(2)/25)*Calculateur!V73*Calculateur!X73*VLOOKUP('Données projet'!$B$9,Paramètres!$A$1:$I$89,3,0)*0.475*44/12</f>
        <v>38.006894996779522</v>
      </c>
      <c r="AB73" s="21">
        <f>EXP(-LN(2)/2)*AB72+(1-EXP(-LN(2)/2))/(LN(2)/2)*V73*Y73*VLOOKUP('Données projet'!$B$9,Paramètres!$A$1:$I$89,3,0)*0.475*44/12</f>
        <v>0.18871632590221163</v>
      </c>
      <c r="AC73" s="22">
        <f t="shared" si="57"/>
        <v>206.60117601709032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9.9715384615384544</v>
      </c>
      <c r="AI73" s="13">
        <f>IF('Données projet'!$A$62&gt;35,AI72+AH73-AQ72,IF(A73&lt;'Données projet'!$A$62,$AF$205^A73,IF(A73='Données projet'!$A$62,'Données projet'!$B$62,AI72+AH73-AQ72)))</f>
        <v>460.39384615384608</v>
      </c>
      <c r="AJ73" s="13">
        <f>AI73*VLOOKUP('Données projet'!$B$10,Paramètres!$A$1:$I$89,3,0)*VLOOKUP('Données projet'!$B$10,Paramètres!$A$1:$I$89,5,0)</f>
        <v>275.31551999999994</v>
      </c>
      <c r="AK73" s="13">
        <f t="shared" si="89"/>
        <v>65.976073607419792</v>
      </c>
      <c r="AL73" s="20">
        <f t="shared" si="58"/>
        <v>594.41619219958932</v>
      </c>
      <c r="AM73" s="59">
        <f t="shared" si="59"/>
        <v>887.74952553292269</v>
      </c>
      <c r="AN73" s="59">
        <f ca="1">AVERAGE(OFFSET($AM$3,0,0,'Données projet'!$E$10+1,1))-AVERAGE(OFFSET($H$3,0,0,'Données projet'!$E$10+1,1))</f>
        <v>283.73369613548124</v>
      </c>
      <c r="AO73" s="59">
        <f t="shared" si="90"/>
        <v>249.77804091581208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54.438631046015637</v>
      </c>
      <c r="AV73" s="21">
        <f>EXP(-LN(2)/25)*AV72+(1-EXP(-LN(2)/25))/(LN(2)/25)*Calculateur!AQ73*Calculateur!AS73*VLOOKUP('Données projet'!$B$10,Paramètres!$A$1:$I$89,3,0)*0.475*44/12</f>
        <v>13.378949966438428</v>
      </c>
      <c r="AW73" s="21">
        <f>EXP(-LN(2)/2)*AW72+(1-EXP(-LN(2)/2))/(LN(2)/2)*AQ73*AT73*VLOOKUP('Données projet'!$B$10,Paramètres!$A$1:$I$89,3,0)*0.475*44/12</f>
        <v>1.5662109826713173</v>
      </c>
      <c r="AX73" s="21">
        <f t="shared" si="60"/>
        <v>69.383791995125392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-6.3550942286383367E-14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278.5296012747549</v>
      </c>
      <c r="T74" s="59">
        <f t="shared" si="88"/>
        <v>370.55343097937077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165.10323428800319</v>
      </c>
      <c r="AA74" s="21">
        <f>EXP(-LN(2)/25)*AA73+(1-EXP(-LN(2)/25))/(LN(2)/25)*Calculateur!V74*Calculateur!X74*VLOOKUP('Données projet'!$B$9,Paramètres!$A$1:$I$89,3,0)*0.475*44/12</f>
        <v>36.967594454396846</v>
      </c>
      <c r="AB74" s="21">
        <f>EXP(-LN(2)/2)*AB73+(1-EXP(-LN(2)/2))/(LN(2)/2)*V74*Y74*VLOOKUP('Données projet'!$B$9,Paramètres!$A$1:$I$89,3,0)*0.475*44/12</f>
        <v>0.13344259376606435</v>
      </c>
      <c r="AC74" s="22">
        <f t="shared" si="57"/>
        <v>202.2042713361661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9.9715384615384544</v>
      </c>
      <c r="AI74" s="13">
        <f>IF('Données projet'!$A$62&gt;35,AI73+AH74-AQ73,IF(A74&lt;'Données projet'!$A$62,$AF$205^A74,IF(A74='Données projet'!$A$62,'Données projet'!$B$62,AI73+AH74-AQ73)))</f>
        <v>470.36538461538453</v>
      </c>
      <c r="AJ74" s="13">
        <f>AI74*VLOOKUP('Données projet'!$B$10,Paramètres!$A$1:$I$89,3,0)*VLOOKUP('Données projet'!$B$10,Paramètres!$A$1:$I$89,5,0)</f>
        <v>281.27849999999995</v>
      </c>
      <c r="AK74" s="13">
        <f t="shared" si="89"/>
        <v>67.23712100524989</v>
      </c>
      <c r="AL74" s="20">
        <f t="shared" si="58"/>
        <v>606.99803991747683</v>
      </c>
      <c r="AM74" s="59">
        <f t="shared" si="59"/>
        <v>900.3313732508102</v>
      </c>
      <c r="AN74" s="59">
        <f ca="1">AVERAGE(OFFSET($AM$3,0,0,'Données projet'!$E$10+1,1))-AVERAGE(OFFSET($H$3,0,0,'Données projet'!$E$10+1,1))</f>
        <v>283.73369613548124</v>
      </c>
      <c r="AO74" s="59">
        <f t="shared" si="90"/>
        <v>249.77804091581208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53.371122695489554</v>
      </c>
      <c r="AV74" s="21">
        <f>EXP(-LN(2)/25)*AV73+(1-EXP(-LN(2)/25))/(LN(2)/25)*Calculateur!AQ74*Calculateur!AS74*VLOOKUP('Données projet'!$B$10,Paramètres!$A$1:$I$89,3,0)*0.475*44/12</f>
        <v>13.013101876037769</v>
      </c>
      <c r="AW74" s="21">
        <f>EXP(-LN(2)/2)*AW73+(1-EXP(-LN(2)/2))/(LN(2)/2)*AQ74*AT74*VLOOKUP('Données projet'!$B$10,Paramètres!$A$1:$I$89,3,0)*0.475*44/12</f>
        <v>1.1074784066157348</v>
      </c>
      <c r="AX74" s="21">
        <f t="shared" si="60"/>
        <v>67.491702978143067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-6.3550942286383367E-14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278.5296012747549</v>
      </c>
      <c r="T75" s="59">
        <f t="shared" si="88"/>
        <v>370.55343097937077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161.86566056664478</v>
      </c>
      <c r="AA75" s="21">
        <f>EXP(-LN(2)/25)*AA74+(1-EXP(-LN(2)/25))/(LN(2)/25)*Calculateur!V75*Calculateur!X75*VLOOKUP('Données projet'!$B$9,Paramètres!$A$1:$I$89,3,0)*0.475*44/12</f>
        <v>35.956713640000061</v>
      </c>
      <c r="AB75" s="21">
        <f>EXP(-LN(2)/2)*AB74+(1-EXP(-LN(2)/2))/(LN(2)/2)*V75*Y75*VLOOKUP('Données projet'!$B$9,Paramètres!$A$1:$I$89,3,0)*0.475*44/12</f>
        <v>9.4358162951105815E-2</v>
      </c>
      <c r="AC75" s="22">
        <f t="shared" si="57"/>
        <v>197.91673236959593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9.9715384615384544</v>
      </c>
      <c r="AI75" s="13">
        <f>IF('Données projet'!$A$62&gt;35,AI74+AH75-AQ74,IF(A75&lt;'Données projet'!$A$62,$AF$205^A75,IF(A75='Données projet'!$A$62,'Données projet'!$B$62,AI74+AH75-AQ74)))</f>
        <v>480.33692307692297</v>
      </c>
      <c r="AJ75" s="13">
        <f>AI75*VLOOKUP('Données projet'!$B$10,Paramètres!$A$1:$I$89,3,0)*VLOOKUP('Données projet'!$B$10,Paramètres!$A$1:$I$89,5,0)</f>
        <v>287.24147999999997</v>
      </c>
      <c r="AK75" s="13">
        <f t="shared" si="89"/>
        <v>68.495060196585953</v>
      </c>
      <c r="AL75" s="20">
        <f t="shared" si="58"/>
        <v>619.57447417572041</v>
      </c>
      <c r="AM75" s="59">
        <f t="shared" si="59"/>
        <v>912.90780750905378</v>
      </c>
      <c r="AN75" s="59">
        <f ca="1">AVERAGE(OFFSET($AM$3,0,0,'Données projet'!$E$10+1,1))-AVERAGE(OFFSET($H$3,0,0,'Données projet'!$E$10+1,1))</f>
        <v>283.73369613548124</v>
      </c>
      <c r="AO75" s="59">
        <f t="shared" si="90"/>
        <v>249.77804091581208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52.324547532601493</v>
      </c>
      <c r="AV75" s="21">
        <f>EXP(-LN(2)/25)*AV74+(1-EXP(-LN(2)/25))/(LN(2)/25)*Calculateur!AQ75*Calculateur!AS75*VLOOKUP('Données projet'!$B$10,Paramètres!$A$1:$I$89,3,0)*0.475*44/12</f>
        <v>12.657257920908231</v>
      </c>
      <c r="AW75" s="21">
        <f>EXP(-LN(2)/2)*AW74+(1-EXP(-LN(2)/2))/(LN(2)/2)*AQ75*AT75*VLOOKUP('Données projet'!$B$10,Paramètres!$A$1:$I$89,3,0)*0.475*44/12</f>
        <v>0.78310549133565877</v>
      </c>
      <c r="AX75" s="21">
        <f t="shared" si="60"/>
        <v>65.764910944845383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-6.3550942286383367E-14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278.5296012747549</v>
      </c>
      <c r="T76" s="59">
        <f t="shared" si="88"/>
        <v>370.55343097937077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158.69157369123721</v>
      </c>
      <c r="AA76" s="21">
        <f>EXP(-LN(2)/25)*AA75+(1-EXP(-LN(2)/25))/(LN(2)/25)*Calculateur!V76*Calculateur!X76*VLOOKUP('Données projet'!$B$9,Paramètres!$A$1:$I$89,3,0)*0.475*44/12</f>
        <v>34.973475414632865</v>
      </c>
      <c r="AB76" s="21">
        <f>EXP(-LN(2)/2)*AB75+(1-EXP(-LN(2)/2))/(LN(2)/2)*V76*Y76*VLOOKUP('Données projet'!$B$9,Paramètres!$A$1:$I$89,3,0)*0.475*44/12</f>
        <v>6.6721296883032175E-2</v>
      </c>
      <c r="AC76" s="22">
        <f t="shared" si="57"/>
        <v>193.73177040275311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9.9715384615384544</v>
      </c>
      <c r="AI76" s="13">
        <f>IF('Données projet'!$A$62&gt;35,AI75+AH76-AQ75,IF(A76&lt;'Données projet'!$A$62,$AF$205^A76,IF(A76='Données projet'!$A$62,'Données projet'!$B$62,AI75+AH76-AQ75)))</f>
        <v>490.30846153846142</v>
      </c>
      <c r="AJ76" s="13">
        <f>AI76*VLOOKUP('Données projet'!$B$10,Paramètres!$A$1:$I$89,3,0)*VLOOKUP('Données projet'!$B$10,Paramètres!$A$1:$I$89,5,0)</f>
        <v>293.20445999999993</v>
      </c>
      <c r="AK76" s="13">
        <f t="shared" si="89"/>
        <v>69.749963140285985</v>
      </c>
      <c r="AL76" s="20">
        <f t="shared" si="58"/>
        <v>632.14562030266472</v>
      </c>
      <c r="AM76" s="59">
        <f t="shared" si="59"/>
        <v>925.4789536359981</v>
      </c>
      <c r="AN76" s="59">
        <f ca="1">AVERAGE(OFFSET($AM$3,0,0,'Données projet'!$E$10+1,1))-AVERAGE(OFFSET($H$3,0,0,'Données projet'!$E$10+1,1))</f>
        <v>283.73369613548124</v>
      </c>
      <c r="AO76" s="59">
        <f t="shared" si="90"/>
        <v>249.77804091581208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51.298495070309848</v>
      </c>
      <c r="AV76" s="21">
        <f>EXP(-LN(2)/25)*AV75+(1-EXP(-LN(2)/25))/(LN(2)/25)*Calculateur!AQ76*Calculateur!AS76*VLOOKUP('Données projet'!$B$10,Paramètres!$A$1:$I$89,3,0)*0.475*44/12</f>
        <v>12.311144537444729</v>
      </c>
      <c r="AW76" s="21">
        <f>EXP(-LN(2)/2)*AW75+(1-EXP(-LN(2)/2))/(LN(2)/2)*AQ76*AT76*VLOOKUP('Données projet'!$B$10,Paramètres!$A$1:$I$89,3,0)*0.475*44/12</f>
        <v>0.55373920330786752</v>
      </c>
      <c r="AX76" s="21">
        <f t="shared" si="60"/>
        <v>64.163378811062444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-6.3550942286383367E-14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278.5296012747549</v>
      </c>
      <c r="T77" s="59">
        <f t="shared" si="88"/>
        <v>370.55343097937077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155.57972872345456</v>
      </c>
      <c r="AA77" s="21">
        <f>EXP(-LN(2)/25)*AA76+(1-EXP(-LN(2)/25))/(LN(2)/25)*Calculateur!V77*Calculateur!X77*VLOOKUP('Données projet'!$B$9,Paramètres!$A$1:$I$89,3,0)*0.475*44/12</f>
        <v>34.017123890244591</v>
      </c>
      <c r="AB77" s="21">
        <f>EXP(-LN(2)/2)*AB76+(1-EXP(-LN(2)/2))/(LN(2)/2)*V77*Y77*VLOOKUP('Données projet'!$B$9,Paramètres!$A$1:$I$89,3,0)*0.475*44/12</f>
        <v>4.7179081475552907E-2</v>
      </c>
      <c r="AC77" s="22">
        <f t="shared" si="57"/>
        <v>189.6440316951747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9.9715384615384544</v>
      </c>
      <c r="AI77" s="13">
        <f>IF('Données projet'!$A$62&gt;35,AI76+AH77-AQ76,IF(A77&lt;'Données projet'!$A$62,$AF$205^A77,IF(A77='Données projet'!$A$62,'Données projet'!$B$62,AI76+AH77-AQ76)))</f>
        <v>500.27999999999986</v>
      </c>
      <c r="AJ77" s="13">
        <f>AI77*VLOOKUP('Données projet'!$B$10,Paramètres!$A$1:$I$89,3,0)*VLOOKUP('Données projet'!$B$10,Paramètres!$A$1:$I$89,5,0)</f>
        <v>299.16743999999994</v>
      </c>
      <c r="AK77" s="13">
        <f t="shared" si="89"/>
        <v>71.001898700991546</v>
      </c>
      <c r="AL77" s="20">
        <f t="shared" si="58"/>
        <v>644.71159823756022</v>
      </c>
      <c r="AM77" s="59">
        <f t="shared" si="59"/>
        <v>938.0449315708936</v>
      </c>
      <c r="AN77" s="59">
        <f ca="1">AVERAGE(OFFSET($AM$3,0,0,'Données projet'!$E$10+1,1))-AVERAGE(OFFSET($H$3,0,0,'Données projet'!$E$10+1,1))</f>
        <v>283.73369613548124</v>
      </c>
      <c r="AO77" s="59">
        <f t="shared" si="90"/>
        <v>249.77804091581208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50.292562870973534</v>
      </c>
      <c r="AV77" s="21">
        <f>EXP(-LN(2)/25)*AV76+(1-EXP(-LN(2)/25))/(LN(2)/25)*Calculateur!AQ77*Calculateur!AS77*VLOOKUP('Données projet'!$B$10,Paramètres!$A$1:$I$89,3,0)*0.475*44/12</f>
        <v>11.97449564265335</v>
      </c>
      <c r="AW77" s="21">
        <f>EXP(-LN(2)/2)*AW76+(1-EXP(-LN(2)/2))/(LN(2)/2)*AQ77*AT77*VLOOKUP('Données projet'!$B$10,Paramètres!$A$1:$I$89,3,0)*0.475*44/12</f>
        <v>0.39155274566782944</v>
      </c>
      <c r="AX77" s="21">
        <f t="shared" si="60"/>
        <v>62.658611259294716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-6.3550942286383367E-14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278.5296012747549</v>
      </c>
      <c r="T78" s="59">
        <f t="shared" si="88"/>
        <v>370.55343097937077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152.52890513745211</v>
      </c>
      <c r="AA78" s="21">
        <f>EXP(-LN(2)/25)*AA77+(1-EXP(-LN(2)/25))/(LN(2)/25)*Calculateur!V78*Calculateur!X78*VLOOKUP('Données projet'!$B$9,Paramètres!$A$1:$I$89,3,0)*0.475*44/12</f>
        <v>33.086923848583055</v>
      </c>
      <c r="AB78" s="21">
        <f>EXP(-LN(2)/2)*AB77+(1-EXP(-LN(2)/2))/(LN(2)/2)*V78*Y78*VLOOKUP('Données projet'!$B$9,Paramètres!$A$1:$I$89,3,0)*0.475*44/12</f>
        <v>3.3360648441516087E-2</v>
      </c>
      <c r="AC78" s="22">
        <f t="shared" si="57"/>
        <v>185.6491896344767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9.9715384615384544</v>
      </c>
      <c r="AI78" s="13">
        <f>IF('Données projet'!$A$62&gt;35,AI77+AH78-AQ77,IF(A78&lt;'Données projet'!$A$62,$AF$205^A78,IF(A78='Données projet'!$A$62,'Données projet'!$B$62,AI77+AH78-AQ77)))</f>
        <v>510.2515384615383</v>
      </c>
      <c r="AJ78" s="13">
        <f>AI78*VLOOKUP('Données projet'!$B$10,Paramètres!$A$1:$I$89,3,0)*VLOOKUP('Données projet'!$B$10,Paramètres!$A$1:$I$89,5,0)</f>
        <v>305.13041999999996</v>
      </c>
      <c r="AK78" s="13">
        <f t="shared" si="89"/>
        <v>72.250932841155517</v>
      </c>
      <c r="AL78" s="20">
        <f t="shared" si="58"/>
        <v>657.27252286501243</v>
      </c>
      <c r="AM78" s="59">
        <f t="shared" si="59"/>
        <v>950.60585619834569</v>
      </c>
      <c r="AN78" s="59">
        <f ca="1">AVERAGE(OFFSET($AM$3,0,0,'Données projet'!$E$10+1,1))-AVERAGE(OFFSET($H$3,0,0,'Données projet'!$E$10+1,1))</f>
        <v>283.73369613548124</v>
      </c>
      <c r="AO78" s="59">
        <f t="shared" si="90"/>
        <v>249.77804091581208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49.306356388508149</v>
      </c>
      <c r="AV78" s="21">
        <f>EXP(-LN(2)/25)*AV77+(1-EXP(-LN(2)/25))/(LN(2)/25)*Calculateur!AQ78*Calculateur!AS78*VLOOKUP('Données projet'!$B$10,Paramètres!$A$1:$I$89,3,0)*0.475*44/12</f>
        <v>11.647052429593636</v>
      </c>
      <c r="AW78" s="21">
        <f>EXP(-LN(2)/2)*AW77+(1-EXP(-LN(2)/2))/(LN(2)/2)*AQ78*AT78*VLOOKUP('Données projet'!$B$10,Paramètres!$A$1:$I$89,3,0)*0.475*44/12</f>
        <v>0.27686960165393376</v>
      </c>
      <c r="AX78" s="21">
        <f t="shared" si="60"/>
        <v>61.23027841975572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-6.3550942286383367E-14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278.5296012747549</v>
      </c>
      <c r="T79" s="59">
        <f t="shared" si="88"/>
        <v>370.55343097937077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149.53790634115254</v>
      </c>
      <c r="AA79" s="21">
        <f>EXP(-LN(2)/25)*AA78+(1-EXP(-LN(2)/25))/(LN(2)/25)*Calculateur!V79*Calculateur!X79*VLOOKUP('Données projet'!$B$9,Paramètres!$A$1:$I$89,3,0)*0.475*44/12</f>
        <v>32.182160175977849</v>
      </c>
      <c r="AB79" s="21">
        <f>EXP(-LN(2)/2)*AB78+(1-EXP(-LN(2)/2))/(LN(2)/2)*V79*Y79*VLOOKUP('Données projet'!$B$9,Paramètres!$A$1:$I$89,3,0)*0.475*44/12</f>
        <v>2.3589540737776454E-2</v>
      </c>
      <c r="AC79" s="22">
        <f t="shared" si="57"/>
        <v>181.74365605786818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>
        <f>VLOOKUP(A79,'Données projet'!$A$61:$I$81,2,0)</f>
        <v>520.22307692307686</v>
      </c>
      <c r="AG79" s="12">
        <f>VLOOKUP(A79,'Données projet'!$A$61:$I$81,9,0)</f>
        <v>9.9715384615384544</v>
      </c>
      <c r="AH79" s="12">
        <f t="array" ref="AH79">INDEX(AG:AG,MIN(IF(ISNUMBER(AG79:AG275),ROW(AG79:AG275),"")))</f>
        <v>9.9715384615384544</v>
      </c>
      <c r="AI79" s="13">
        <f>IF('Données projet'!$A$62&gt;35,AI78+AH79-AQ78,IF(A79&lt;'Données projet'!$A$62,$AF$205^A79,IF(A79='Données projet'!$A$62,'Données projet'!$B$62,AI78+AH79-AQ78)))</f>
        <v>520.22307692307675</v>
      </c>
      <c r="AJ79" s="13">
        <f>AI79*VLOOKUP('Données projet'!$B$10,Paramètres!$A$1:$I$89,3,0)*VLOOKUP('Données projet'!$B$10,Paramètres!$A$1:$I$89,5,0)</f>
        <v>311.09339999999992</v>
      </c>
      <c r="AK79" s="13">
        <f t="shared" si="89"/>
        <v>73.497128797635312</v>
      </c>
      <c r="AL79" s="20">
        <f t="shared" si="58"/>
        <v>669.82850432254793</v>
      </c>
      <c r="AM79" s="59">
        <f t="shared" si="59"/>
        <v>963.1618376558813</v>
      </c>
      <c r="AN79" s="59">
        <f ca="1">AVERAGE(OFFSET($AM$3,0,0,'Données projet'!$E$10+1,1))-AVERAGE(OFFSET($H$3,0,0,'Données projet'!$E$10+1,1))</f>
        <v>283.73369613548124</v>
      </c>
      <c r="AO79" s="59">
        <f t="shared" si="90"/>
        <v>249.77804091581208</v>
      </c>
      <c r="AP79" s="15">
        <f>IF(ISNA(VLOOKUP(A79,'Données projet'!$A$61:$I$81,3,0)),0,VLOOKUP(A79,'Données projet'!$A$61:$I$81,3,0))</f>
        <v>8</v>
      </c>
      <c r="AQ79" s="15">
        <f>IF(ISNA(VLOOKUP(A79,'Données projet'!$A$61:$I$81,4,0)),0,VLOOKUP(A79,'Données projet'!$A$61:$I$81,4,0))</f>
        <v>520.22307692307686</v>
      </c>
      <c r="AR79" s="16">
        <f>IF(ISNA(VLOOKUP(A79,'Données projet'!$A$61:$I$81,5,0)),0%,VLOOKUP(A79,'Données projet'!$A$61:$I$81,5,0)*VLOOKUP('Données projet'!$B$10,Paramètres!$A$1:$I$89,7,0))</f>
        <v>0.315</v>
      </c>
      <c r="AS79" s="16">
        <f>IF(ISNA(VLOOKUP(A79,'Données projet'!$A$61:$I$81,6,0)),0%,VLOOKUP(A79,'Données projet'!$A$61:$I$81,6,0)*VLOOKUP('Données projet'!$B$10,Paramètres!$A$1:$I$89,7,0))</f>
        <v>7.5600000000000001E-2</v>
      </c>
      <c r="AT79" s="16">
        <f>IF(ISNA(VLOOKUP(A79,'Données projet'!$A$61:$I$81,7,0)),0%,VLOOKUP(A79,'Données projet'!$A$61:$I$81,7,0))</f>
        <v>0.13200000000000001</v>
      </c>
      <c r="AU79" s="21">
        <f>EXP(-LN(2)/35)*AU78+(1-EXP(-LN(2)/35))/(LN(2)/35)*AQ79*AR79*VLOOKUP('Données projet'!$B$10,Paramètres!$A$1:$I$89,3,0)*0.475*44/12</f>
        <v>178.3354045436154</v>
      </c>
      <c r="AV79" s="21">
        <f>EXP(-LN(2)/25)*AV78+(1-EXP(-LN(2)/25))/(LN(2)/25)*Calculateur!AQ79*Calculateur!AS79*VLOOKUP('Données projet'!$B$10,Paramètres!$A$1:$I$89,3,0)*0.475*44/12</f>
        <v>42.404740514995794</v>
      </c>
      <c r="AW79" s="21">
        <f>EXP(-LN(2)/2)*AW78+(1-EXP(-LN(2)/2))/(LN(2)/2)*AQ79*AT79*VLOOKUP('Données projet'!$B$10,Paramètres!$A$1:$I$89,3,0)*0.475*44/12</f>
        <v>46.690135716440125</v>
      </c>
      <c r="AX79" s="21">
        <f t="shared" si="60"/>
        <v>267.4302807750513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-6.3550942286383367E-14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278.5296012747549</v>
      </c>
      <c r="T80" s="59">
        <f t="shared" si="88"/>
        <v>370.55343097937077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146.60555920691925</v>
      </c>
      <c r="AA80" s="21">
        <f>EXP(-LN(2)/25)*AA79+(1-EXP(-LN(2)/25))/(LN(2)/25)*Calculateur!V80*Calculateur!X80*VLOOKUP('Données projet'!$B$9,Paramètres!$A$1:$I$89,3,0)*0.475*44/12</f>
        <v>31.302137313579482</v>
      </c>
      <c r="AB80" s="21">
        <f>EXP(-LN(2)/2)*AB79+(1-EXP(-LN(2)/2))/(LN(2)/2)*V80*Y80*VLOOKUP('Données projet'!$B$9,Paramètres!$A$1:$I$89,3,0)*0.475*44/12</f>
        <v>1.6680324220758044E-2</v>
      </c>
      <c r="AC80" s="22">
        <f t="shared" si="57"/>
        <v>177.92437684471952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-6.7984728957526396E-14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283.73369613548124</v>
      </c>
      <c r="AO80" s="59">
        <f t="shared" si="90"/>
        <v>249.77804091581208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174.83835603437134</v>
      </c>
      <c r="AV80" s="21">
        <f>EXP(-LN(2)/25)*AV79+(1-EXP(-LN(2)/25))/(LN(2)/25)*Calculateur!AQ80*Calculateur!AS80*VLOOKUP('Données projet'!$B$10,Paramètres!$A$1:$I$89,3,0)*0.475*44/12</f>
        <v>41.245180655644845</v>
      </c>
      <c r="AW80" s="21">
        <f>EXP(-LN(2)/2)*AW79+(1-EXP(-LN(2)/2))/(LN(2)/2)*AQ80*AT80*VLOOKUP('Données projet'!$B$10,Paramètres!$A$1:$I$89,3,0)*0.475*44/12</f>
        <v>33.014911579615038</v>
      </c>
      <c r="AX80" s="21">
        <f t="shared" si="60"/>
        <v>249.09844826963123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-6.3550942286383367E-14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278.5296012747549</v>
      </c>
      <c r="T81" s="59">
        <f t="shared" si="88"/>
        <v>370.55343097937077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143.73071361143315</v>
      </c>
      <c r="AA81" s="21">
        <f>EXP(-LN(2)/25)*AA80+(1-EXP(-LN(2)/25))/(LN(2)/25)*Calculateur!V81*Calculateur!X81*VLOOKUP('Données projet'!$B$9,Paramètres!$A$1:$I$89,3,0)*0.475*44/12</f>
        <v>30.446178722631792</v>
      </c>
      <c r="AB81" s="21">
        <f>EXP(-LN(2)/2)*AB80+(1-EXP(-LN(2)/2))/(LN(2)/2)*V81*Y81*VLOOKUP('Données projet'!$B$9,Paramètres!$A$1:$I$89,3,0)*0.475*44/12</f>
        <v>1.1794770368888227E-2</v>
      </c>
      <c r="AC81" s="22">
        <f t="shared" si="57"/>
        <v>174.18868710443382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-6.7984728957526396E-14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283.73369613548124</v>
      </c>
      <c r="AO81" s="59">
        <f t="shared" si="90"/>
        <v>249.77804091581208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171.4098825134046</v>
      </c>
      <c r="AV81" s="21">
        <f>EXP(-LN(2)/25)*AV80+(1-EXP(-LN(2)/25))/(LN(2)/25)*Calculateur!AQ81*Calculateur!AS81*VLOOKUP('Données projet'!$B$10,Paramètres!$A$1:$I$89,3,0)*0.475*44/12</f>
        <v>40.117329021626453</v>
      </c>
      <c r="AW81" s="21">
        <f>EXP(-LN(2)/2)*AW80+(1-EXP(-LN(2)/2))/(LN(2)/2)*AQ81*AT81*VLOOKUP('Données projet'!$B$10,Paramètres!$A$1:$I$89,3,0)*0.475*44/12</f>
        <v>23.345067858220066</v>
      </c>
      <c r="AX81" s="21">
        <f t="shared" si="60"/>
        <v>234.87227939325112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-6.3550942286383367E-14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278.5296012747549</v>
      </c>
      <c r="T82" s="59">
        <f t="shared" si="88"/>
        <v>370.55343097937077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140.91224198459184</v>
      </c>
      <c r="AA82" s="21">
        <f>EXP(-LN(2)/25)*AA81+(1-EXP(-LN(2)/25))/(LN(2)/25)*Calculateur!V82*Calculateur!X82*VLOOKUP('Données projet'!$B$9,Paramètres!$A$1:$I$89,3,0)*0.475*44/12</f>
        <v>29.613626364366471</v>
      </c>
      <c r="AB82" s="21">
        <f>EXP(-LN(2)/2)*AB81+(1-EXP(-LN(2)/2))/(LN(2)/2)*V82*Y82*VLOOKUP('Données projet'!$B$9,Paramètres!$A$1:$I$89,3,0)*0.475*44/12</f>
        <v>8.3401621103790218E-3</v>
      </c>
      <c r="AC82" s="22">
        <f t="shared" si="57"/>
        <v>170.5342085110687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-6.7984728957526396E-14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283.73369613548124</v>
      </c>
      <c r="AO82" s="59">
        <f t="shared" si="90"/>
        <v>249.77804091581208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168.04863926702163</v>
      </c>
      <c r="AV82" s="21">
        <f>EXP(-LN(2)/25)*AV81+(1-EXP(-LN(2)/25))/(LN(2)/25)*Calculateur!AQ82*Calculateur!AS82*VLOOKUP('Données projet'!$B$10,Paramètres!$A$1:$I$89,3,0)*0.475*44/12</f>
        <v>39.020318549851432</v>
      </c>
      <c r="AW82" s="21">
        <f>EXP(-LN(2)/2)*AW81+(1-EXP(-LN(2)/2))/(LN(2)/2)*AQ82*AT82*VLOOKUP('Données projet'!$B$10,Paramètres!$A$1:$I$89,3,0)*0.475*44/12</f>
        <v>16.507455789807523</v>
      </c>
      <c r="AX82" s="21">
        <f t="shared" si="60"/>
        <v>223.57641360668057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-6.3550942286383367E-14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278.5296012747549</v>
      </c>
      <c r="T83" s="59">
        <f t="shared" si="88"/>
        <v>370.55343097937077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138.14903886725494</v>
      </c>
      <c r="AA83" s="21">
        <f>EXP(-LN(2)/25)*AA82+(1-EXP(-LN(2)/25))/(LN(2)/25)*Calculateur!V83*Calculateur!X83*VLOOKUP('Données projet'!$B$9,Paramètres!$A$1:$I$89,3,0)*0.475*44/12</f>
        <v>28.803840194119942</v>
      </c>
      <c r="AB83" s="21">
        <f>EXP(-LN(2)/2)*AB82+(1-EXP(-LN(2)/2))/(LN(2)/2)*V83*Y83*VLOOKUP('Données projet'!$B$9,Paramètres!$A$1:$I$89,3,0)*0.475*44/12</f>
        <v>5.8973851844441134E-3</v>
      </c>
      <c r="AC83" s="22">
        <f t="shared" si="57"/>
        <v>166.95877644655934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-6.7984728957526396E-14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283.73369613548124</v>
      </c>
      <c r="AO83" s="59">
        <f t="shared" si="90"/>
        <v>249.77804091581208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164.7533079505443</v>
      </c>
      <c r="AV83" s="21">
        <f>EXP(-LN(2)/25)*AV82+(1-EXP(-LN(2)/25))/(LN(2)/25)*Calculateur!AQ83*Calculateur!AS83*VLOOKUP('Données projet'!$B$10,Paramètres!$A$1:$I$89,3,0)*0.475*44/12</f>
        <v>37.953305887116372</v>
      </c>
      <c r="AW83" s="21">
        <f>EXP(-LN(2)/2)*AW82+(1-EXP(-LN(2)/2))/(LN(2)/2)*AQ83*AT83*VLOOKUP('Données projet'!$B$10,Paramètres!$A$1:$I$89,3,0)*0.475*44/12</f>
        <v>11.672533929110037</v>
      </c>
      <c r="AX83" s="21">
        <f t="shared" si="60"/>
        <v>214.3791477667707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-6.3550942286383367E-14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278.5296012747549</v>
      </c>
      <c r="T84" s="59">
        <f t="shared" si="88"/>
        <v>370.55343097937077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135.44002047766153</v>
      </c>
      <c r="AA84" s="21">
        <f>EXP(-LN(2)/25)*AA83+(1-EXP(-LN(2)/25))/(LN(2)/25)*Calculateur!V84*Calculateur!X84*VLOOKUP('Données projet'!$B$9,Paramètres!$A$1:$I$89,3,0)*0.475*44/12</f>
        <v>28.01619766928361</v>
      </c>
      <c r="AB84" s="21">
        <f>EXP(-LN(2)/2)*AB83+(1-EXP(-LN(2)/2))/(LN(2)/2)*V84*Y84*VLOOKUP('Données projet'!$B$9,Paramètres!$A$1:$I$89,3,0)*0.475*44/12</f>
        <v>4.1700810551895109E-3</v>
      </c>
      <c r="AC84" s="22">
        <f t="shared" si="57"/>
        <v>163.46038822800031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-6.7984728957526396E-14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283.73369613548124</v>
      </c>
      <c r="AO84" s="59">
        <f t="shared" si="90"/>
        <v>249.77804091581208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161.52259607122946</v>
      </c>
      <c r="AV84" s="21">
        <f>EXP(-LN(2)/25)*AV83+(1-EXP(-LN(2)/25))/(LN(2)/25)*Calculateur!AQ84*Calculateur!AS84*VLOOKUP('Données projet'!$B$10,Paramètres!$A$1:$I$89,3,0)*0.475*44/12</f>
        <v>36.915470741755563</v>
      </c>
      <c r="AW84" s="21">
        <f>EXP(-LN(2)/2)*AW83+(1-EXP(-LN(2)/2))/(LN(2)/2)*AQ84*AT84*VLOOKUP('Données projet'!$B$10,Paramètres!$A$1:$I$89,3,0)*0.475*44/12</f>
        <v>8.2537278949037631</v>
      </c>
      <c r="AX84" s="21">
        <f t="shared" si="60"/>
        <v>206.69179470788879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-6.3550942286383367E-14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278.5296012747549</v>
      </c>
      <c r="T85" s="59">
        <f t="shared" si="88"/>
        <v>370.55343097937077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132.78412428634999</v>
      </c>
      <c r="AA85" s="21">
        <f>EXP(-LN(2)/25)*AA84+(1-EXP(-LN(2)/25))/(LN(2)/25)*Calculateur!V85*Calculateur!X85*VLOOKUP('Données projet'!$B$9,Paramètres!$A$1:$I$89,3,0)*0.475*44/12</f>
        <v>27.250093270709247</v>
      </c>
      <c r="AB85" s="21">
        <f>EXP(-LN(2)/2)*AB84+(1-EXP(-LN(2)/2))/(LN(2)/2)*V85*Y85*VLOOKUP('Données projet'!$B$9,Paramètres!$A$1:$I$89,3,0)*0.475*44/12</f>
        <v>2.9486925922220567E-3</v>
      </c>
      <c r="AC85" s="22">
        <f t="shared" si="57"/>
        <v>160.03716624965145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-6.7984728957526396E-14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283.73369613548124</v>
      </c>
      <c r="AO85" s="59">
        <f t="shared" si="90"/>
        <v>249.77804091581208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158.35523648132829</v>
      </c>
      <c r="AV85" s="21">
        <f>EXP(-LN(2)/25)*AV84+(1-EXP(-LN(2)/25))/(LN(2)/25)*Calculateur!AQ85*Calculateur!AS85*VLOOKUP('Données projet'!$B$10,Paramètres!$A$1:$I$89,3,0)*0.475*44/12</f>
        <v>35.906015253022019</v>
      </c>
      <c r="AW85" s="21">
        <f>EXP(-LN(2)/2)*AW84+(1-EXP(-LN(2)/2))/(LN(2)/2)*AQ85*AT85*VLOOKUP('Données projet'!$B$10,Paramètres!$A$1:$I$89,3,0)*0.475*44/12</f>
        <v>5.8362669645550191</v>
      </c>
      <c r="AX85" s="21">
        <f t="shared" si="60"/>
        <v>200.09751869890533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-6.3550942286383367E-14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278.5296012747549</v>
      </c>
      <c r="T86" s="59">
        <f t="shared" si="88"/>
        <v>370.55343097937077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130.18030859941337</v>
      </c>
      <c r="AA86" s="21">
        <f>EXP(-LN(2)/25)*AA85+(1-EXP(-LN(2)/25))/(LN(2)/25)*Calculateur!V86*Calculateur!X86*VLOOKUP('Données projet'!$B$9,Paramètres!$A$1:$I$89,3,0)*0.475*44/12</f>
        <v>26.50493803720158</v>
      </c>
      <c r="AB86" s="21">
        <f>EXP(-LN(2)/2)*AB85+(1-EXP(-LN(2)/2))/(LN(2)/2)*V86*Y86*VLOOKUP('Données projet'!$B$9,Paramètres!$A$1:$I$89,3,0)*0.475*44/12</f>
        <v>2.0850405275947555E-3</v>
      </c>
      <c r="AC86" s="22">
        <f t="shared" si="57"/>
        <v>156.68733167714254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-6.7984728957526396E-14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283.73369613548124</v>
      </c>
      <c r="AO86" s="59">
        <f t="shared" si="90"/>
        <v>249.77804091581208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155.2499868810865</v>
      </c>
      <c r="AV86" s="21">
        <f>EXP(-LN(2)/25)*AV85+(1-EXP(-LN(2)/25))/(LN(2)/25)*Calculateur!AQ86*Calculateur!AS86*VLOOKUP('Données projet'!$B$10,Paramètres!$A$1:$I$89,3,0)*0.475*44/12</f>
        <v>34.924163377712851</v>
      </c>
      <c r="AW86" s="21">
        <f>EXP(-LN(2)/2)*AW85+(1-EXP(-LN(2)/2))/(LN(2)/2)*AQ86*AT86*VLOOKUP('Données projet'!$B$10,Paramètres!$A$1:$I$89,3,0)*0.475*44/12</f>
        <v>4.1268639474518825</v>
      </c>
      <c r="AX86" s="21">
        <f t="shared" si="60"/>
        <v>194.30101420625124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-6.3550942286383367E-14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278.5296012747549</v>
      </c>
      <c r="T87" s="59">
        <f t="shared" si="88"/>
        <v>370.55343097937077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127.6275521499268</v>
      </c>
      <c r="AA87" s="21">
        <f>EXP(-LN(2)/25)*AA86+(1-EXP(-LN(2)/25))/(LN(2)/25)*Calculateur!V87*Calculateur!X87*VLOOKUP('Données projet'!$B$9,Paramètres!$A$1:$I$89,3,0)*0.475*44/12</f>
        <v>25.78015911274019</v>
      </c>
      <c r="AB87" s="21">
        <f>EXP(-LN(2)/2)*AB86+(1-EXP(-LN(2)/2))/(LN(2)/2)*V87*Y87*VLOOKUP('Données projet'!$B$9,Paramètres!$A$1:$I$89,3,0)*0.475*44/12</f>
        <v>1.4743462961110284E-3</v>
      </c>
      <c r="AC87" s="22">
        <f t="shared" si="57"/>
        <v>153.4091856089631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-6.7984728957526396E-14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283.73369613548124</v>
      </c>
      <c r="AO87" s="59">
        <f t="shared" si="90"/>
        <v>249.77804091581208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152.20562933149023</v>
      </c>
      <c r="AV87" s="21">
        <f>EXP(-LN(2)/25)*AV86+(1-EXP(-LN(2)/25))/(LN(2)/25)*Calculateur!AQ87*Calculateur!AS87*VLOOKUP('Données projet'!$B$10,Paramètres!$A$1:$I$89,3,0)*0.475*44/12</f>
        <v>33.969160293567363</v>
      </c>
      <c r="AW87" s="21">
        <f>EXP(-LN(2)/2)*AW86+(1-EXP(-LN(2)/2))/(LN(2)/2)*AQ87*AT87*VLOOKUP('Données projet'!$B$10,Paramètres!$A$1:$I$89,3,0)*0.475*44/12</f>
        <v>2.91813348227751</v>
      </c>
      <c r="AX87" s="21">
        <f t="shared" si="60"/>
        <v>189.09292310733511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-6.3550942286383367E-14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278.5296012747549</v>
      </c>
      <c r="T88" s="59">
        <f t="shared" si="88"/>
        <v>370.55343097937077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125.12485369738698</v>
      </c>
      <c r="AA88" s="21">
        <f>EXP(-LN(2)/25)*AA87+(1-EXP(-LN(2)/25))/(LN(2)/25)*Calculateur!V88*Calculateur!X88*VLOOKUP('Données projet'!$B$9,Paramètres!$A$1:$I$89,3,0)*0.475*44/12</f>
        <v>25.075199306082663</v>
      </c>
      <c r="AB88" s="21">
        <f>EXP(-LN(2)/2)*AB87+(1-EXP(-LN(2)/2))/(LN(2)/2)*V88*Y88*VLOOKUP('Données projet'!$B$9,Paramètres!$A$1:$I$89,3,0)*0.475*44/12</f>
        <v>1.0425202637973777E-3</v>
      </c>
      <c r="AC88" s="22">
        <f t="shared" si="57"/>
        <v>150.20109552373344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-6.7984728957526396E-14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283.73369613548124</v>
      </c>
      <c r="AO88" s="59">
        <f t="shared" si="90"/>
        <v>249.77804091581208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149.22096977656679</v>
      </c>
      <c r="AV88" s="21">
        <f>EXP(-LN(2)/25)*AV87+(1-EXP(-LN(2)/25))/(LN(2)/25)*Calculateur!AQ88*Calculateur!AS88*VLOOKUP('Données projet'!$B$10,Paramètres!$A$1:$I$89,3,0)*0.475*44/12</f>
        <v>33.040271818979264</v>
      </c>
      <c r="AW88" s="21">
        <f>EXP(-LN(2)/2)*AW87+(1-EXP(-LN(2)/2))/(LN(2)/2)*AQ88*AT88*VLOOKUP('Données projet'!$B$10,Paramètres!$A$1:$I$89,3,0)*0.475*44/12</f>
        <v>2.0634319737259412</v>
      </c>
      <c r="AX88" s="21">
        <f t="shared" si="60"/>
        <v>184.32467356927199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-6.3550942286383367E-14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278.5296012747549</v>
      </c>
      <c r="T89" s="59">
        <f t="shared" si="88"/>
        <v>370.55343097937077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122.67123163500614</v>
      </c>
      <c r="AA89" s="21">
        <f>EXP(-LN(2)/25)*AA88+(1-EXP(-LN(2)/25))/(LN(2)/25)*Calculateur!V89*Calculateur!X89*VLOOKUP('Données projet'!$B$9,Paramètres!$A$1:$I$89,3,0)*0.475*44/12</f>
        <v>24.389516662410411</v>
      </c>
      <c r="AB89" s="21">
        <f>EXP(-LN(2)/2)*AB88+(1-EXP(-LN(2)/2))/(LN(2)/2)*V89*Y89*VLOOKUP('Données projet'!$B$9,Paramètres!$A$1:$I$89,3,0)*0.475*44/12</f>
        <v>7.3717314805551418E-4</v>
      </c>
      <c r="AC89" s="22">
        <f t="shared" si="57"/>
        <v>147.06148547056461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-6.7984728957526396E-14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283.73369613548124</v>
      </c>
      <c r="AO89" s="59">
        <f t="shared" si="90"/>
        <v>249.77804091581208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146.29483757505281</v>
      </c>
      <c r="AV89" s="21">
        <f>EXP(-LN(2)/25)*AV88+(1-EXP(-LN(2)/25))/(LN(2)/25)*Calculateur!AQ89*Calculateur!AS89*VLOOKUP('Données projet'!$B$10,Paramètres!$A$1:$I$89,3,0)*0.475*44/12</f>
        <v>32.136783848576897</v>
      </c>
      <c r="AW89" s="21">
        <f>EXP(-LN(2)/2)*AW88+(1-EXP(-LN(2)/2))/(LN(2)/2)*AQ89*AT89*VLOOKUP('Données projet'!$B$10,Paramètres!$A$1:$I$89,3,0)*0.475*44/12</f>
        <v>1.459066741138755</v>
      </c>
      <c r="AX89" s="21">
        <f t="shared" si="60"/>
        <v>179.89068816476845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-6.3550942286383367E-14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278.5296012747549</v>
      </c>
      <c r="T90" s="59">
        <f t="shared" si="88"/>
        <v>370.55343097937077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120.26572360470689</v>
      </c>
      <c r="AA90" s="21">
        <f>EXP(-LN(2)/25)*AA89+(1-EXP(-LN(2)/25))/(LN(2)/25)*Calculateur!V90*Calculateur!X90*VLOOKUP('Données projet'!$B$9,Paramètres!$A$1:$I$89,3,0)*0.475*44/12</f>
        <v>23.72258404668786</v>
      </c>
      <c r="AB90" s="21">
        <f>EXP(-LN(2)/2)*AB89+(1-EXP(-LN(2)/2))/(LN(2)/2)*V90*Y90*VLOOKUP('Données projet'!$B$9,Paramètres!$A$1:$I$89,3,0)*0.475*44/12</f>
        <v>5.2126013189868886E-4</v>
      </c>
      <c r="AC90" s="22">
        <f t="shared" si="57"/>
        <v>143.98882891152667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-6.7984728957526396E-14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283.73369613548124</v>
      </c>
      <c r="AO90" s="59">
        <f t="shared" si="90"/>
        <v>249.77804091581208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143.42608504124613</v>
      </c>
      <c r="AV90" s="21">
        <f>EXP(-LN(2)/25)*AV89+(1-EXP(-LN(2)/25))/(LN(2)/25)*Calculateur!AQ90*Calculateur!AS90*VLOOKUP('Données projet'!$B$10,Paramètres!$A$1:$I$89,3,0)*0.475*44/12</f>
        <v>31.258001804237548</v>
      </c>
      <c r="AW90" s="21">
        <f>EXP(-LN(2)/2)*AW89+(1-EXP(-LN(2)/2))/(LN(2)/2)*AQ90*AT90*VLOOKUP('Données projet'!$B$10,Paramètres!$A$1:$I$89,3,0)*0.475*44/12</f>
        <v>1.0317159868629706</v>
      </c>
      <c r="AX90" s="21">
        <f t="shared" si="60"/>
        <v>175.71580283234664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-6.3550942286383367E-14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278.5296012747549</v>
      </c>
      <c r="T91" s="59">
        <f t="shared" si="88"/>
        <v>370.55343097937077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117.9073861196668</v>
      </c>
      <c r="AA91" s="21">
        <f>EXP(-LN(2)/25)*AA90+(1-EXP(-LN(2)/25))/(LN(2)/25)*Calculateur!V91*Calculateur!X91*VLOOKUP('Données projet'!$B$9,Paramètres!$A$1:$I$89,3,0)*0.475*44/12</f>
        <v>23.073888738414706</v>
      </c>
      <c r="AB91" s="21">
        <f>EXP(-LN(2)/2)*AB90+(1-EXP(-LN(2)/2))/(LN(2)/2)*V91*Y91*VLOOKUP('Données projet'!$B$9,Paramètres!$A$1:$I$89,3,0)*0.475*44/12</f>
        <v>3.6858657402775709E-4</v>
      </c>
      <c r="AC91" s="22">
        <f t="shared" si="57"/>
        <v>140.98164344465553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-6.7984728957526396E-14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283.73369613548124</v>
      </c>
      <c r="AO91" s="59">
        <f t="shared" si="90"/>
        <v>249.77804091581208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140.61358699486109</v>
      </c>
      <c r="AV91" s="21">
        <f>EXP(-LN(2)/25)*AV90+(1-EXP(-LN(2)/25))/(LN(2)/25)*Calculateur!AQ91*Calculateur!AS91*VLOOKUP('Données projet'!$B$10,Paramètres!$A$1:$I$89,3,0)*0.475*44/12</f>
        <v>30.403250101113798</v>
      </c>
      <c r="AW91" s="21">
        <f>EXP(-LN(2)/2)*AW90+(1-EXP(-LN(2)/2))/(LN(2)/2)*AQ91*AT91*VLOOKUP('Données projet'!$B$10,Paramètres!$A$1:$I$89,3,0)*0.475*44/12</f>
        <v>0.7295333705693775</v>
      </c>
      <c r="AX91" s="21">
        <f t="shared" si="60"/>
        <v>171.74637046654428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-6.3550942286383367E-14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278.5296012747549</v>
      </c>
      <c r="T92" s="59">
        <f t="shared" si="88"/>
        <v>370.55343097937077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115.59529419426451</v>
      </c>
      <c r="AA92" s="21">
        <f>EXP(-LN(2)/25)*AA91+(1-EXP(-LN(2)/25))/(LN(2)/25)*Calculateur!V92*Calculateur!X92*VLOOKUP('Données projet'!$B$9,Paramètres!$A$1:$I$89,3,0)*0.475*44/12</f>
        <v>22.442932037459684</v>
      </c>
      <c r="AB92" s="21">
        <f>EXP(-LN(2)/2)*AB91+(1-EXP(-LN(2)/2))/(LN(2)/2)*V92*Y92*VLOOKUP('Données projet'!$B$9,Paramètres!$A$1:$I$89,3,0)*0.475*44/12</f>
        <v>2.6063006594934443E-4</v>
      </c>
      <c r="AC92" s="22">
        <f t="shared" si="57"/>
        <v>138.03848686179015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-6.7984728957526396E-14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283.73369613548124</v>
      </c>
      <c r="AO92" s="59">
        <f t="shared" si="90"/>
        <v>249.77804091581208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137.85624031971128</v>
      </c>
      <c r="AV92" s="21">
        <f>EXP(-LN(2)/25)*AV91+(1-EXP(-LN(2)/25))/(LN(2)/25)*Calculateur!AQ92*Calculateur!AS92*VLOOKUP('Données projet'!$B$10,Paramètres!$A$1:$I$89,3,0)*0.475*44/12</f>
        <v>29.571871628261405</v>
      </c>
      <c r="AW92" s="21">
        <f>EXP(-LN(2)/2)*AW91+(1-EXP(-LN(2)/2))/(LN(2)/2)*AQ92*AT92*VLOOKUP('Données projet'!$B$10,Paramètres!$A$1:$I$89,3,0)*0.475*44/12</f>
        <v>0.51585799343148531</v>
      </c>
      <c r="AX92" s="21">
        <f t="shared" si="60"/>
        <v>167.94396994140419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-6.3550942286383367E-14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278.5296012747549</v>
      </c>
      <c r="T93" s="59">
        <f t="shared" si="88"/>
        <v>370.55343097937077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113.32854098128254</v>
      </c>
      <c r="AA93" s="21">
        <f>EXP(-LN(2)/25)*AA92+(1-EXP(-LN(2)/25))/(LN(2)/25)*Calculateur!V93*Calculateur!X93*VLOOKUP('Données projet'!$B$9,Paramètres!$A$1:$I$89,3,0)*0.475*44/12</f>
        <v>21.829228880672847</v>
      </c>
      <c r="AB93" s="21">
        <f>EXP(-LN(2)/2)*AB92+(1-EXP(-LN(2)/2))/(LN(2)/2)*V93*Y93*VLOOKUP('Données projet'!$B$9,Paramètres!$A$1:$I$89,3,0)*0.475*44/12</f>
        <v>1.8429328701387854E-4</v>
      </c>
      <c r="AC93" s="22">
        <f t="shared" si="57"/>
        <v>135.15795415524241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-6.7984728957526396E-14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283.73369613548124</v>
      </c>
      <c r="AO93" s="59">
        <f t="shared" si="90"/>
        <v>249.77804091581208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135.15296353104571</v>
      </c>
      <c r="AV93" s="21">
        <f>EXP(-LN(2)/25)*AV92+(1-EXP(-LN(2)/25))/(LN(2)/25)*Calculateur!AQ93*Calculateur!AS93*VLOOKUP('Données projet'!$B$10,Paramètres!$A$1:$I$89,3,0)*0.475*44/12</f>
        <v>28.763227243469455</v>
      </c>
      <c r="AW93" s="21">
        <f>EXP(-LN(2)/2)*AW92+(1-EXP(-LN(2)/2))/(LN(2)/2)*AQ93*AT93*VLOOKUP('Données projet'!$B$10,Paramètres!$A$1:$I$89,3,0)*0.475*44/12</f>
        <v>0.36476668528468875</v>
      </c>
      <c r="AX93" s="21">
        <f t="shared" si="60"/>
        <v>164.28095745979985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-6.3550942286383367E-14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278.5296012747549</v>
      </c>
      <c r="T94" s="59">
        <f t="shared" si="88"/>
        <v>370.55343097937077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111.1062374162242</v>
      </c>
      <c r="AA94" s="21">
        <f>EXP(-LN(2)/25)*AA93+(1-EXP(-LN(2)/25))/(LN(2)/25)*Calculateur!V94*Calculateur!X94*VLOOKUP('Données projet'!$B$9,Paramètres!$A$1:$I$89,3,0)*0.475*44/12</f>
        <v>21.232307468981592</v>
      </c>
      <c r="AB94" s="21">
        <f>EXP(-LN(2)/2)*AB93+(1-EXP(-LN(2)/2))/(LN(2)/2)*V94*Y94*VLOOKUP('Données projet'!$B$9,Paramètres!$A$1:$I$89,3,0)*0.475*44/12</f>
        <v>1.3031503297467222E-4</v>
      </c>
      <c r="AC94" s="22">
        <f t="shared" si="57"/>
        <v>132.33867520023878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-6.7984728957526396E-14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283.73369613548124</v>
      </c>
      <c r="AO94" s="59">
        <f t="shared" si="90"/>
        <v>249.77804091581208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132.50269635136988</v>
      </c>
      <c r="AV94" s="21">
        <f>EXP(-LN(2)/25)*AV93+(1-EXP(-LN(2)/25))/(LN(2)/25)*Calculateur!AQ94*Calculateur!AS94*VLOOKUP('Données projet'!$B$10,Paramètres!$A$1:$I$89,3,0)*0.475*44/12</f>
        <v>27.976695281904401</v>
      </c>
      <c r="AW94" s="21">
        <f>EXP(-LN(2)/2)*AW93+(1-EXP(-LN(2)/2))/(LN(2)/2)*AQ94*AT94*VLOOKUP('Données projet'!$B$10,Paramètres!$A$1:$I$89,3,0)*0.475*44/12</f>
        <v>0.25792899671574265</v>
      </c>
      <c r="AX94" s="21">
        <f t="shared" si="60"/>
        <v>160.73732062999002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-6.3550942286383367E-14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278.5296012747549</v>
      </c>
      <c r="T95" s="59">
        <f t="shared" si="88"/>
        <v>370.55343097937077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108.92751186860532</v>
      </c>
      <c r="AA95" s="21">
        <f>EXP(-LN(2)/25)*AA94+(1-EXP(-LN(2)/25))/(LN(2)/25)*Calculateur!V95*Calculateur!X95*VLOOKUP('Données projet'!$B$9,Paramètres!$A$1:$I$89,3,0)*0.475*44/12</f>
        <v>20.651708904683769</v>
      </c>
      <c r="AB95" s="21">
        <f>EXP(-LN(2)/2)*AB94+(1-EXP(-LN(2)/2))/(LN(2)/2)*V95*Y95*VLOOKUP('Données projet'!$B$9,Paramètres!$A$1:$I$89,3,0)*0.475*44/12</f>
        <v>9.2146643506939272E-5</v>
      </c>
      <c r="AC95" s="22">
        <f t="shared" si="57"/>
        <v>129.57931291993259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-6.7984728957526396E-14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283.73369613548124</v>
      </c>
      <c r="AO95" s="59">
        <f t="shared" si="90"/>
        <v>249.77804091581208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129.9043992945841</v>
      </c>
      <c r="AV95" s="21">
        <f>EXP(-LN(2)/25)*AV94+(1-EXP(-LN(2)/25))/(LN(2)/25)*Calculateur!AQ95*Calculateur!AS95*VLOOKUP('Données projet'!$B$10,Paramètres!$A$1:$I$89,3,0)*0.475*44/12</f>
        <v>27.211671078190264</v>
      </c>
      <c r="AW95" s="21">
        <f>EXP(-LN(2)/2)*AW94+(1-EXP(-LN(2)/2))/(LN(2)/2)*AQ95*AT95*VLOOKUP('Données projet'!$B$10,Paramètres!$A$1:$I$89,3,0)*0.475*44/12</f>
        <v>0.18238334264234438</v>
      </c>
      <c r="AX95" s="21">
        <f t="shared" si="60"/>
        <v>157.29845371541668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-6.3550942286383367E-14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278.5296012747549</v>
      </c>
      <c r="T96" s="59">
        <f t="shared" si="88"/>
        <v>370.55343097937077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106.79150980008389</v>
      </c>
      <c r="AA96" s="21">
        <f>EXP(-LN(2)/25)*AA95+(1-EXP(-LN(2)/25))/(LN(2)/25)*Calculateur!V96*Calculateur!X96*VLOOKUP('Données projet'!$B$9,Paramètres!$A$1:$I$89,3,0)*0.475*44/12</f>
        <v>20.086986838659019</v>
      </c>
      <c r="AB96" s="21">
        <f>EXP(-LN(2)/2)*AB95+(1-EXP(-LN(2)/2))/(LN(2)/2)*V96*Y96*VLOOKUP('Données projet'!$B$9,Paramètres!$A$1:$I$89,3,0)*0.475*44/12</f>
        <v>6.5157516487336108E-5</v>
      </c>
      <c r="AC96" s="22">
        <f t="shared" si="57"/>
        <v>126.87856179625939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-6.7984728957526396E-14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283.73369613548124</v>
      </c>
      <c r="AO96" s="59">
        <f t="shared" si="90"/>
        <v>249.77804091581208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127.35705325827718</v>
      </c>
      <c r="AV96" s="21">
        <f>EXP(-LN(2)/25)*AV95+(1-EXP(-LN(2)/25))/(LN(2)/25)*Calculateur!AQ96*Calculateur!AS96*VLOOKUP('Données projet'!$B$10,Paramètres!$A$1:$I$89,3,0)*0.475*44/12</f>
        <v>26.467566501557563</v>
      </c>
      <c r="AW96" s="21">
        <f>EXP(-LN(2)/2)*AW95+(1-EXP(-LN(2)/2))/(LN(2)/2)*AQ96*AT96*VLOOKUP('Données projet'!$B$10,Paramètres!$A$1:$I$89,3,0)*0.475*44/12</f>
        <v>0.12896449835787133</v>
      </c>
      <c r="AX96" s="21">
        <f t="shared" si="60"/>
        <v>153.95358425819262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-6.3550942286383367E-14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278.5296012747549</v>
      </c>
      <c r="T97" s="59">
        <f t="shared" si="88"/>
        <v>370.55343097937077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104.69739342929354</v>
      </c>
      <c r="AA97" s="21">
        <f>EXP(-LN(2)/25)*AA96+(1-EXP(-LN(2)/25))/(LN(2)/25)*Calculateur!V97*Calculateur!X97*VLOOKUP('Données projet'!$B$9,Paramètres!$A$1:$I$89,3,0)*0.475*44/12</f>
        <v>19.537707127227161</v>
      </c>
      <c r="AB97" s="21">
        <f>EXP(-LN(2)/2)*AB96+(1-EXP(-LN(2)/2))/(LN(2)/2)*V97*Y97*VLOOKUP('Données projet'!$B$9,Paramètres!$A$1:$I$89,3,0)*0.475*44/12</f>
        <v>4.6073321753469636E-5</v>
      </c>
      <c r="AC97" s="22">
        <f t="shared" si="57"/>
        <v>124.23514662984246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-6.7984728957526396E-14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283.73369613548124</v>
      </c>
      <c r="AO97" s="59">
        <f t="shared" si="90"/>
        <v>249.77804091581208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124.85965912401457</v>
      </c>
      <c r="AV97" s="21">
        <f>EXP(-LN(2)/25)*AV96+(1-EXP(-LN(2)/25))/(LN(2)/25)*Calculateur!AQ97*Calculateur!AS97*VLOOKUP('Données projet'!$B$10,Paramètres!$A$1:$I$89,3,0)*0.475*44/12</f>
        <v>25.743809503703641</v>
      </c>
      <c r="AW97" s="21">
        <f>EXP(-LN(2)/2)*AW96+(1-EXP(-LN(2)/2))/(LN(2)/2)*AQ97*AT97*VLOOKUP('Données projet'!$B$10,Paramètres!$A$1:$I$89,3,0)*0.475*44/12</f>
        <v>9.1191671321172188E-2</v>
      </c>
      <c r="AX97" s="21">
        <f t="shared" si="60"/>
        <v>150.69466029903938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-6.3550942286383367E-14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278.5296012747549</v>
      </c>
      <c r="T98" s="59">
        <f t="shared" si="88"/>
        <v>370.55343097937077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102.64434140324953</v>
      </c>
      <c r="AA98" s="21">
        <f>EXP(-LN(2)/25)*AA97+(1-EXP(-LN(2)/25))/(LN(2)/25)*Calculateur!V98*Calculateur!X98*VLOOKUP('Données projet'!$B$9,Paramètres!$A$1:$I$89,3,0)*0.475*44/12</f>
        <v>19.003447498389772</v>
      </c>
      <c r="AB98" s="21">
        <f>EXP(-LN(2)/2)*AB97+(1-EXP(-LN(2)/2))/(LN(2)/2)*V98*Y98*VLOOKUP('Données projet'!$B$9,Paramètres!$A$1:$I$89,3,0)*0.475*44/12</f>
        <v>3.2578758243668054E-5</v>
      </c>
      <c r="AC98" s="22">
        <f t="shared" si="57"/>
        <v>121.64782148039754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-6.7984728957526396E-14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283.73369613548124</v>
      </c>
      <c r="AO98" s="59">
        <f t="shared" si="90"/>
        <v>249.77804091581208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122.41123736546484</v>
      </c>
      <c r="AV98" s="21">
        <f>EXP(-LN(2)/25)*AV97+(1-EXP(-LN(2)/25))/(LN(2)/25)*Calculateur!AQ98*Calculateur!AS98*VLOOKUP('Données projet'!$B$10,Paramètres!$A$1:$I$89,3,0)*0.475*44/12</f>
        <v>25.039843679016762</v>
      </c>
      <c r="AW98" s="21">
        <f>EXP(-LN(2)/2)*AW97+(1-EXP(-LN(2)/2))/(LN(2)/2)*AQ98*AT98*VLOOKUP('Données projet'!$B$10,Paramètres!$A$1:$I$89,3,0)*0.475*44/12</f>
        <v>6.4482249178935663E-2</v>
      </c>
      <c r="AX98" s="21">
        <f t="shared" si="60"/>
        <v>147.51556329366053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-6.3550942286383367E-14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278.5296012747549</v>
      </c>
      <c r="T99" s="59">
        <f t="shared" si="88"/>
        <v>370.55343097937077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100.63154847519814</v>
      </c>
      <c r="AA99" s="21">
        <f>EXP(-LN(2)/25)*AA98+(1-EXP(-LN(2)/25))/(LN(2)/25)*Calculateur!V99*Calculateur!X99*VLOOKUP('Données projet'!$B$9,Paramètres!$A$1:$I$89,3,0)*0.475*44/12</f>
        <v>18.483797227198433</v>
      </c>
      <c r="AB99" s="21">
        <f>EXP(-LN(2)/2)*AB98+(1-EXP(-LN(2)/2))/(LN(2)/2)*V99*Y99*VLOOKUP('Données projet'!$B$9,Paramètres!$A$1:$I$89,3,0)*0.475*44/12</f>
        <v>2.3036660876734818E-5</v>
      </c>
      <c r="AC99" s="22">
        <f t="shared" si="57"/>
        <v>119.11536873905746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-6.7984728957526396E-14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283.73369613548124</v>
      </c>
      <c r="AO99" s="59">
        <f t="shared" si="90"/>
        <v>249.77804091581208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120.01082766421047</v>
      </c>
      <c r="AV99" s="21">
        <f>EXP(-LN(2)/25)*AV98+(1-EXP(-LN(2)/25))/(LN(2)/25)*Calculateur!AQ99*Calculateur!AS99*VLOOKUP('Données projet'!$B$10,Paramètres!$A$1:$I$89,3,0)*0.475*44/12</f>
        <v>24.355127836825901</v>
      </c>
      <c r="AW99" s="21">
        <f>EXP(-LN(2)/2)*AW98+(1-EXP(-LN(2)/2))/(LN(2)/2)*AQ99*AT99*VLOOKUP('Données projet'!$B$10,Paramètres!$A$1:$I$89,3,0)*0.475*44/12</f>
        <v>4.5595835660586094E-2</v>
      </c>
      <c r="AX99" s="21">
        <f t="shared" si="60"/>
        <v>144.41155133669693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-6.3550942286383367E-14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278.5296012747549</v>
      </c>
      <c r="T100" s="59">
        <f t="shared" si="88"/>
        <v>370.55343097937077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98.658225188783391</v>
      </c>
      <c r="AA100" s="21">
        <f>EXP(-LN(2)/25)*AA99+(1-EXP(-LN(2)/25))/(LN(2)/25)*Calculateur!V100*Calculateur!X100*VLOOKUP('Données projet'!$B$9,Paramètres!$A$1:$I$89,3,0)*0.475*44/12</f>
        <v>17.978356820000041</v>
      </c>
      <c r="AB100" s="21">
        <f>EXP(-LN(2)/2)*AB99+(1-EXP(-LN(2)/2))/(LN(2)/2)*V100*Y100*VLOOKUP('Données projet'!$B$9,Paramètres!$A$1:$I$89,3,0)*0.475*44/12</f>
        <v>1.6289379121834027E-5</v>
      </c>
      <c r="AC100" s="22">
        <f t="shared" si="57"/>
        <v>116.63659829816255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-6.7984728957526396E-14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283.73369613548124</v>
      </c>
      <c r="AO100" s="59">
        <f t="shared" si="90"/>
        <v>249.77804091581208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117.65748853309233</v>
      </c>
      <c r="AV100" s="21">
        <f>EXP(-LN(2)/25)*AV99+(1-EXP(-LN(2)/25))/(LN(2)/25)*Calculateur!AQ100*Calculateur!AS100*VLOOKUP('Données projet'!$B$10,Paramètres!$A$1:$I$89,3,0)*0.475*44/12</f>
        <v>23.689135585347387</v>
      </c>
      <c r="AW100" s="21">
        <f>EXP(-LN(2)/2)*AW99+(1-EXP(-LN(2)/2))/(LN(2)/2)*AQ100*AT100*VLOOKUP('Données projet'!$B$10,Paramètres!$A$1:$I$89,3,0)*0.475*44/12</f>
        <v>3.2241124589467832E-2</v>
      </c>
      <c r="AX100" s="21">
        <f t="shared" si="60"/>
        <v>141.37886524302917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-6.3550942286383367E-14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278.5296012747549</v>
      </c>
      <c r="T101" s="59">
        <f t="shared" si="88"/>
        <v>370.55343097937077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96.723597568406873</v>
      </c>
      <c r="AA101" s="21">
        <f>EXP(-LN(2)/25)*AA100+(1-EXP(-LN(2)/25))/(LN(2)/25)*Calculateur!V101*Calculateur!X101*VLOOKUP('Données projet'!$B$9,Paramètres!$A$1:$I$89,3,0)*0.475*44/12</f>
        <v>17.486737707316443</v>
      </c>
      <c r="AB101" s="21">
        <f>EXP(-LN(2)/2)*AB100+(1-EXP(-LN(2)/2))/(LN(2)/2)*V101*Y101*VLOOKUP('Données projet'!$B$9,Paramètres!$A$1:$I$89,3,0)*0.475*44/12</f>
        <v>1.1518330438367409E-5</v>
      </c>
      <c r="AC101" s="22">
        <f t="shared" si="57"/>
        <v>114.21034679405375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-6.7984728957526396E-14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283.73369613548124</v>
      </c>
      <c r="AO101" s="59">
        <f t="shared" si="90"/>
        <v>249.77804091581208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115.35029694694029</v>
      </c>
      <c r="AV101" s="21">
        <f>EXP(-LN(2)/25)*AV100+(1-EXP(-LN(2)/25))/(LN(2)/25)*Calculateur!AQ101*Calculateur!AS101*VLOOKUP('Données projet'!$B$10,Paramètres!$A$1:$I$89,3,0)*0.475*44/12</f>
        <v>23.041354927008566</v>
      </c>
      <c r="AW101" s="21">
        <f>EXP(-LN(2)/2)*AW100+(1-EXP(-LN(2)/2))/(LN(2)/2)*AQ101*AT101*VLOOKUP('Données projet'!$B$10,Paramètres!$A$1:$I$89,3,0)*0.475*44/12</f>
        <v>2.2797917830293047E-2</v>
      </c>
      <c r="AX101" s="21">
        <f t="shared" si="60"/>
        <v>138.41444979177916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-6.3550942286383367E-14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278.5296012747549</v>
      </c>
      <c r="T102" s="59">
        <f t="shared" si="88"/>
        <v>370.55343097937077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94.826906815659598</v>
      </c>
      <c r="AA102" s="21">
        <f>EXP(-LN(2)/25)*AA101+(1-EXP(-LN(2)/25))/(LN(2)/25)*Calculateur!V102*Calculateur!X102*VLOOKUP('Données projet'!$B$9,Paramètres!$A$1:$I$89,3,0)*0.475*44/12</f>
        <v>17.008561945122306</v>
      </c>
      <c r="AB102" s="21">
        <f>EXP(-LN(2)/2)*AB101+(1-EXP(-LN(2)/2))/(LN(2)/2)*V102*Y102*VLOOKUP('Données projet'!$B$9,Paramètres!$A$1:$I$89,3,0)*0.475*44/12</f>
        <v>8.1446895609170135E-6</v>
      </c>
      <c r="AC102" s="22">
        <f t="shared" si="57"/>
        <v>111.83547690547147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-6.7984728957526396E-14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283.73369613548124</v>
      </c>
      <c r="AO102" s="59">
        <f t="shared" si="90"/>
        <v>249.77804091581208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113.08834798054478</v>
      </c>
      <c r="AV102" s="21">
        <f>EXP(-LN(2)/25)*AV101+(1-EXP(-LN(2)/25))/(LN(2)/25)*Calculateur!AQ102*Calculateur!AS102*VLOOKUP('Données projet'!$B$10,Paramètres!$A$1:$I$89,3,0)*0.475*44/12</f>
        <v>22.411287864837323</v>
      </c>
      <c r="AW102" s="21">
        <f>EXP(-LN(2)/2)*AW101+(1-EXP(-LN(2)/2))/(LN(2)/2)*AQ102*AT102*VLOOKUP('Données projet'!$B$10,Paramètres!$A$1:$I$89,3,0)*0.475*44/12</f>
        <v>1.6120562294733916E-2</v>
      </c>
      <c r="AX102" s="21">
        <f t="shared" si="60"/>
        <v>135.51575640767683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-6.3550942286383367E-14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278.5296012747549</v>
      </c>
      <c r="T103" s="59">
        <f t="shared" si="88"/>
        <v>370.55343097937077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92.967409011706579</v>
      </c>
      <c r="AA103" s="21">
        <f>EXP(-LN(2)/25)*AA102+(1-EXP(-LN(2)/25))/(LN(2)/25)*Calculateur!V103*Calculateur!X103*VLOOKUP('Données projet'!$B$9,Paramètres!$A$1:$I$89,3,0)*0.475*44/12</f>
        <v>16.543461924291538</v>
      </c>
      <c r="AB103" s="21">
        <f>EXP(-LN(2)/2)*AB102+(1-EXP(-LN(2)/2))/(LN(2)/2)*V103*Y103*VLOOKUP('Données projet'!$B$9,Paramètres!$A$1:$I$89,3,0)*0.475*44/12</f>
        <v>5.7591652191837045E-6</v>
      </c>
      <c r="AC103" s="22">
        <f t="shared" si="57"/>
        <v>109.51087669516333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-6.7984728957526396E-14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283.73369613548124</v>
      </c>
      <c r="AO103" s="59">
        <f t="shared" si="90"/>
        <v>249.77804091581208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110.87075445372764</v>
      </c>
      <c r="AV103" s="21">
        <f>EXP(-LN(2)/25)*AV102+(1-EXP(-LN(2)/25))/(LN(2)/25)*Calculateur!AQ103*Calculateur!AS103*VLOOKUP('Données projet'!$B$10,Paramètres!$A$1:$I$89,3,0)*0.475*44/12</f>
        <v>21.79845001961494</v>
      </c>
      <c r="AW103" s="21">
        <f>EXP(-LN(2)/2)*AW102+(1-EXP(-LN(2)/2))/(LN(2)/2)*AQ103*AT103*VLOOKUP('Données projet'!$B$10,Paramètres!$A$1:$I$89,3,0)*0.475*44/12</f>
        <v>1.1398958915146523E-2</v>
      </c>
      <c r="AX103" s="21">
        <f t="shared" si="60"/>
        <v>132.68060343225773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-6.3550942286383367E-14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278.5296012747549</v>
      </c>
      <c r="T104" s="59">
        <f t="shared" si="88"/>
        <v>370.55343097937077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91.144374825507398</v>
      </c>
      <c r="AA104" s="21">
        <f>EXP(-LN(2)/25)*AA103+(1-EXP(-LN(2)/25))/(LN(2)/25)*Calculateur!V104*Calculateur!X104*VLOOKUP('Données projet'!$B$9,Paramètres!$A$1:$I$89,3,0)*0.475*44/12</f>
        <v>16.091080087988935</v>
      </c>
      <c r="AB104" s="21">
        <f>EXP(-LN(2)/2)*AB103+(1-EXP(-LN(2)/2))/(LN(2)/2)*V104*Y104*VLOOKUP('Données projet'!$B$9,Paramètres!$A$1:$I$89,3,0)*0.475*44/12</f>
        <v>4.0723447804585067E-6</v>
      </c>
      <c r="AC104" s="22">
        <f t="shared" si="57"/>
        <v>107.23545898584112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-6.7984728957526396E-14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283.73369613548124</v>
      </c>
      <c r="AO104" s="59">
        <f t="shared" si="90"/>
        <v>249.77804091581208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108.6966465833729</v>
      </c>
      <c r="AV104" s="21">
        <f>EXP(-LN(2)/25)*AV103+(1-EXP(-LN(2)/25))/(LN(2)/25)*Calculateur!AQ104*Calculateur!AS104*VLOOKUP('Données projet'!$B$10,Paramètres!$A$1:$I$89,3,0)*0.475*44/12</f>
        <v>21.202370257497904</v>
      </c>
      <c r="AW104" s="21">
        <f>EXP(-LN(2)/2)*AW103+(1-EXP(-LN(2)/2))/(LN(2)/2)*AQ104*AT104*VLOOKUP('Données projet'!$B$10,Paramètres!$A$1:$I$89,3,0)*0.475*44/12</f>
        <v>8.0602811473669579E-3</v>
      </c>
      <c r="AX104" s="21">
        <f t="shared" si="60"/>
        <v>129.90707712201817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-6.3550942286383367E-14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278.5296012747549</v>
      </c>
      <c r="T105" s="59">
        <f t="shared" si="88"/>
        <v>370.55343097937077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89.357089227758536</v>
      </c>
      <c r="AA105" s="21">
        <f>EXP(-LN(2)/25)*AA104+(1-EXP(-LN(2)/25))/(LN(2)/25)*Calculateur!V105*Calculateur!X105*VLOOKUP('Données projet'!$B$9,Paramètres!$A$1:$I$89,3,0)*0.475*44/12</f>
        <v>15.651068656789752</v>
      </c>
      <c r="AB105" s="21">
        <f>EXP(-LN(2)/2)*AB104+(1-EXP(-LN(2)/2))/(LN(2)/2)*V105*Y105*VLOOKUP('Données projet'!$B$9,Paramètres!$A$1:$I$89,3,0)*0.475*44/12</f>
        <v>2.8795826095918523E-6</v>
      </c>
      <c r="AC105" s="22">
        <f t="shared" si="57"/>
        <v>105.00816076413089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-6.7984728957526396E-14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283.73369613548124</v>
      </c>
      <c r="AO105" s="59">
        <f t="shared" si="90"/>
        <v>249.77804091581208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106.56517164228094</v>
      </c>
      <c r="AV105" s="21">
        <f>EXP(-LN(2)/25)*AV104+(1-EXP(-LN(2)/25))/(LN(2)/25)*Calculateur!AQ105*Calculateur!AS105*VLOOKUP('Données projet'!$B$10,Paramètres!$A$1:$I$89,3,0)*0.475*44/12</f>
        <v>20.622590327822429</v>
      </c>
      <c r="AW105" s="21">
        <f>EXP(-LN(2)/2)*AW104+(1-EXP(-LN(2)/2))/(LN(2)/2)*AQ105*AT105*VLOOKUP('Données projet'!$B$10,Paramètres!$A$1:$I$89,3,0)*0.475*44/12</f>
        <v>5.6994794575732617E-3</v>
      </c>
      <c r="AX105" s="21">
        <f t="shared" si="60"/>
        <v>127.19346144956094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-6.3550942286383367E-14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278.5296012747549</v>
      </c>
      <c r="T106" s="59">
        <f t="shared" si="88"/>
        <v>370.55343097937077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87.604851210444949</v>
      </c>
      <c r="AA106" s="21">
        <f>EXP(-LN(2)/25)*AA105+(1-EXP(-LN(2)/25))/(LN(2)/25)*Calculateur!V106*Calculateur!X106*VLOOKUP('Données projet'!$B$9,Paramètres!$A$1:$I$89,3,0)*0.475*44/12</f>
        <v>15.223089361315907</v>
      </c>
      <c r="AB106" s="21">
        <f>EXP(-LN(2)/2)*AB105+(1-EXP(-LN(2)/2))/(LN(2)/2)*V106*Y106*VLOOKUP('Données projet'!$B$9,Paramètres!$A$1:$I$89,3,0)*0.475*44/12</f>
        <v>2.0361723902292534E-6</v>
      </c>
      <c r="AC106" s="22">
        <f t="shared" si="57"/>
        <v>102.82794260793324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-6.7984728957526396E-14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283.73369613548124</v>
      </c>
      <c r="AO106" s="59">
        <f t="shared" si="90"/>
        <v>249.77804091581208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104.47549362471247</v>
      </c>
      <c r="AV106" s="21">
        <f>EXP(-LN(2)/25)*AV105+(1-EXP(-LN(2)/25))/(LN(2)/25)*Calculateur!AQ106*Calculateur!AS106*VLOOKUP('Données projet'!$B$10,Paramètres!$A$1:$I$89,3,0)*0.475*44/12</f>
        <v>20.058664510813234</v>
      </c>
      <c r="AW106" s="21">
        <f>EXP(-LN(2)/2)*AW105+(1-EXP(-LN(2)/2))/(LN(2)/2)*AQ106*AT106*VLOOKUP('Données projet'!$B$10,Paramètres!$A$1:$I$89,3,0)*0.475*44/12</f>
        <v>4.030140573683479E-3</v>
      </c>
      <c r="AX106" s="21">
        <f t="shared" si="60"/>
        <v>124.53818827609939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-6.3550942286383367E-14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278.5296012747549</v>
      </c>
      <c r="T107" s="59">
        <f t="shared" si="88"/>
        <v>370.55343097937077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85.886973511891227</v>
      </c>
      <c r="AA107" s="21">
        <f>EXP(-LN(2)/25)*AA106+(1-EXP(-LN(2)/25))/(LN(2)/25)*Calculateur!V107*Calculateur!X107*VLOOKUP('Données projet'!$B$9,Paramètres!$A$1:$I$89,3,0)*0.475*44/12</f>
        <v>14.806813182183246</v>
      </c>
      <c r="AB107" s="21">
        <f>EXP(-LN(2)/2)*AB106+(1-EXP(-LN(2)/2))/(LN(2)/2)*V107*Y107*VLOOKUP('Données projet'!$B$9,Paramètres!$A$1:$I$89,3,0)*0.475*44/12</f>
        <v>1.4397913047959261E-6</v>
      </c>
      <c r="AC107" s="22">
        <f t="shared" si="57"/>
        <v>100.69378813386578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-6.7984728957526396E-14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283.73369613548124</v>
      </c>
      <c r="AO107" s="59">
        <f t="shared" si="90"/>
        <v>249.77804091581208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102.42679291849078</v>
      </c>
      <c r="AV107" s="21">
        <f>EXP(-LN(2)/25)*AV106+(1-EXP(-LN(2)/25))/(LN(2)/25)*Calculateur!AQ107*Calculateur!AS107*VLOOKUP('Données projet'!$B$10,Paramètres!$A$1:$I$89,3,0)*0.475*44/12</f>
        <v>19.510159274925723</v>
      </c>
      <c r="AW107" s="21">
        <f>EXP(-LN(2)/2)*AW106+(1-EXP(-LN(2)/2))/(LN(2)/2)*AQ107*AT107*VLOOKUP('Données projet'!$B$10,Paramètres!$A$1:$I$89,3,0)*0.475*44/12</f>
        <v>2.8497397287866309E-3</v>
      </c>
      <c r="AX107" s="21">
        <f t="shared" si="60"/>
        <v>121.93980193314529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-6.3550942286383367E-14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278.5296012747549</v>
      </c>
      <c r="T108" s="59">
        <f t="shared" si="88"/>
        <v>370.55343097937077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84.202782347204206</v>
      </c>
      <c r="AA108" s="21">
        <f>EXP(-LN(2)/25)*AA107+(1-EXP(-LN(2)/25))/(LN(2)/25)*Calculateur!V108*Calculateur!X108*VLOOKUP('Données projet'!$B$9,Paramètres!$A$1:$I$89,3,0)*0.475*44/12</f>
        <v>14.401920097059982</v>
      </c>
      <c r="AB108" s="21">
        <f>EXP(-LN(2)/2)*AB107+(1-EXP(-LN(2)/2))/(LN(2)/2)*V108*Y108*VLOOKUP('Données projet'!$B$9,Paramètres!$A$1:$I$89,3,0)*0.475*44/12</f>
        <v>1.0180861951146267E-6</v>
      </c>
      <c r="AC108" s="22">
        <f t="shared" si="57"/>
        <v>98.604703462350386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-6.7984728957526396E-14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283.73369613548124</v>
      </c>
      <c r="AO108" s="59">
        <f t="shared" si="90"/>
        <v>249.77804091581208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100.41826598353404</v>
      </c>
      <c r="AV108" s="21">
        <f>EXP(-LN(2)/25)*AV107+(1-EXP(-LN(2)/25))/(LN(2)/25)*Calculateur!AQ108*Calculateur!AS108*VLOOKUP('Données projet'!$B$10,Paramètres!$A$1:$I$89,3,0)*0.475*44/12</f>
        <v>18.976652943558193</v>
      </c>
      <c r="AW108" s="21">
        <f>EXP(-LN(2)/2)*AW107+(1-EXP(-LN(2)/2))/(LN(2)/2)*AQ108*AT108*VLOOKUP('Données projet'!$B$10,Paramètres!$A$1:$I$89,3,0)*0.475*44/12</f>
        <v>2.0150702868417395E-3</v>
      </c>
      <c r="AX108" s="21">
        <f t="shared" si="60"/>
        <v>119.39693399737908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-6.3550942286383367E-14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278.5296012747549</v>
      </c>
      <c r="T109" s="59">
        <f t="shared" si="88"/>
        <v>370.55343097937077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82.551617144001526</v>
      </c>
      <c r="AA109" s="21">
        <f>EXP(-LN(2)/25)*AA108+(1-EXP(-LN(2)/25))/(LN(2)/25)*Calculateur!V109*Calculateur!X109*VLOOKUP('Données projet'!$B$9,Paramètres!$A$1:$I$89,3,0)*0.475*44/12</f>
        <v>14.008098834641816</v>
      </c>
      <c r="AB109" s="21">
        <f>EXP(-LN(2)/2)*AB108+(1-EXP(-LN(2)/2))/(LN(2)/2)*V109*Y109*VLOOKUP('Données projet'!$B$9,Paramètres!$A$1:$I$89,3,0)*0.475*44/12</f>
        <v>7.1989565239796306E-7</v>
      </c>
      <c r="AC109" s="22">
        <f t="shared" si="57"/>
        <v>96.559716698538992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-6.7984728957526396E-14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283.73369613548124</v>
      </c>
      <c r="AO109" s="59">
        <f t="shared" si="90"/>
        <v>249.77804091581208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98.449125036691342</v>
      </c>
      <c r="AV109" s="21">
        <f>EXP(-LN(2)/25)*AV108+(1-EXP(-LN(2)/25))/(LN(2)/25)*Calculateur!AQ109*Calculateur!AS109*VLOOKUP('Données projet'!$B$10,Paramètres!$A$1:$I$89,3,0)*0.475*44/12</f>
        <v>18.457735370877788</v>
      </c>
      <c r="AW109" s="21">
        <f>EXP(-LN(2)/2)*AW108+(1-EXP(-LN(2)/2))/(LN(2)/2)*AQ109*AT109*VLOOKUP('Données projet'!$B$10,Paramètres!$A$1:$I$89,3,0)*0.475*44/12</f>
        <v>1.4248698643933154E-3</v>
      </c>
      <c r="AX109" s="21">
        <f t="shared" si="60"/>
        <v>116.90828527743352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-6.3550942286383367E-14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278.5296012747549</v>
      </c>
      <c r="T110" s="59">
        <f t="shared" si="88"/>
        <v>370.55343097937077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80.932830283322318</v>
      </c>
      <c r="AA110" s="21">
        <f>EXP(-LN(2)/25)*AA109+(1-EXP(-LN(2)/25))/(LN(2)/25)*Calculateur!V110*Calculateur!X110*VLOOKUP('Données projet'!$B$9,Paramètres!$A$1:$I$89,3,0)*0.475*44/12</f>
        <v>13.625046635354634</v>
      </c>
      <c r="AB110" s="21">
        <f>EXP(-LN(2)/2)*AB109+(1-EXP(-LN(2)/2))/(LN(2)/2)*V110*Y110*VLOOKUP('Données projet'!$B$9,Paramètres!$A$1:$I$89,3,0)*0.475*44/12</f>
        <v>5.0904309755731334E-7</v>
      </c>
      <c r="AC110" s="22">
        <f t="shared" si="57"/>
        <v>94.557877427720058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-6.7984728957526396E-14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283.73369613548124</v>
      </c>
      <c r="AO110" s="59">
        <f t="shared" si="90"/>
        <v>249.77804091581208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96.518597742758843</v>
      </c>
      <c r="AV110" s="21">
        <f>EXP(-LN(2)/25)*AV109+(1-EXP(-LN(2)/25))/(LN(2)/25)*Calculateur!AQ110*Calculateur!AS110*VLOOKUP('Données projet'!$B$10,Paramètres!$A$1:$I$89,3,0)*0.475*44/12</f>
        <v>17.953007626511017</v>
      </c>
      <c r="AW110" s="21">
        <f>EXP(-LN(2)/2)*AW109+(1-EXP(-LN(2)/2))/(LN(2)/2)*AQ110*AT110*VLOOKUP('Données projet'!$B$10,Paramètres!$A$1:$I$89,3,0)*0.475*44/12</f>
        <v>1.0075351434208697E-3</v>
      </c>
      <c r="AX110" s="21">
        <f t="shared" si="60"/>
        <v>114.47261290441328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-6.3550942286383367E-14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278.5296012747549</v>
      </c>
      <c r="T111" s="59">
        <f t="shared" si="88"/>
        <v>370.55343097937077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79.345786845618534</v>
      </c>
      <c r="AA111" s="21">
        <f>EXP(-LN(2)/25)*AA110+(1-EXP(-LN(2)/25))/(LN(2)/25)*Calculateur!V111*Calculateur!X111*VLOOKUP('Données projet'!$B$9,Paramètres!$A$1:$I$89,3,0)*0.475*44/12</f>
        <v>13.252469018600799</v>
      </c>
      <c r="AB111" s="21">
        <f>EXP(-LN(2)/2)*AB110+(1-EXP(-LN(2)/2))/(LN(2)/2)*V111*Y111*VLOOKUP('Données projet'!$B$9,Paramètres!$A$1:$I$89,3,0)*0.475*44/12</f>
        <v>3.5994782619898153E-7</v>
      </c>
      <c r="AC111" s="22">
        <f t="shared" si="57"/>
        <v>92.598256224167159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-6.7984728957526396E-14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283.73369613548124</v>
      </c>
      <c r="AO111" s="59">
        <f t="shared" si="90"/>
        <v>249.77804091581208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94.625926911554984</v>
      </c>
      <c r="AV111" s="21">
        <f>EXP(-LN(2)/25)*AV110+(1-EXP(-LN(2)/25))/(LN(2)/25)*Calculateur!AQ111*Calculateur!AS111*VLOOKUP('Données projet'!$B$10,Paramètres!$A$1:$I$89,3,0)*0.475*44/12</f>
        <v>17.462081688856433</v>
      </c>
      <c r="AW111" s="21">
        <f>EXP(-LN(2)/2)*AW110+(1-EXP(-LN(2)/2))/(LN(2)/2)*AQ111*AT111*VLOOKUP('Données projet'!$B$10,Paramètres!$A$1:$I$89,3,0)*0.475*44/12</f>
        <v>7.1243493219665772E-4</v>
      </c>
      <c r="AX111" s="21">
        <f t="shared" si="60"/>
        <v>112.08872103534361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-6.3550942286383367E-14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278.5296012747549</v>
      </c>
      <c r="T112" s="59">
        <f t="shared" si="88"/>
        <v>370.55343097937077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77.789864361727211</v>
      </c>
      <c r="AA112" s="21">
        <f>EXP(-LN(2)/25)*AA111+(1-EXP(-LN(2)/25))/(LN(2)/25)*Calculateur!V112*Calculateur!X112*VLOOKUP('Données projet'!$B$9,Paramètres!$A$1:$I$89,3,0)*0.475*44/12</f>
        <v>12.890079556370104</v>
      </c>
      <c r="AB112" s="21">
        <f>EXP(-LN(2)/2)*AB111+(1-EXP(-LN(2)/2))/(LN(2)/2)*V112*Y112*VLOOKUP('Données projet'!$B$9,Paramètres!$A$1:$I$89,3,0)*0.475*44/12</f>
        <v>2.5452154877865667E-7</v>
      </c>
      <c r="AC112" s="22">
        <f t="shared" si="57"/>
        <v>90.67994417261886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-6.7984728957526396E-14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283.73369613548124</v>
      </c>
      <c r="AO112" s="59">
        <f t="shared" si="90"/>
        <v>249.77804091581208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92.770370200935815</v>
      </c>
      <c r="AV112" s="21">
        <f>EXP(-LN(2)/25)*AV111+(1-EXP(-LN(2)/25))/(LN(2)/25)*Calculateur!AQ112*Calculateur!AS112*VLOOKUP('Données projet'!$B$10,Paramètres!$A$1:$I$89,3,0)*0.475*44/12</f>
        <v>16.984580146783689</v>
      </c>
      <c r="AW112" s="21">
        <f>EXP(-LN(2)/2)*AW111+(1-EXP(-LN(2)/2))/(LN(2)/2)*AQ112*AT112*VLOOKUP('Données projet'!$B$10,Paramètres!$A$1:$I$89,3,0)*0.475*44/12</f>
        <v>5.0376757171043487E-4</v>
      </c>
      <c r="AX112" s="21">
        <f t="shared" si="60"/>
        <v>109.75545411529122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-6.3550942286383367E-14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278.5296012747549</v>
      </c>
      <c r="T113" s="59">
        <f t="shared" si="88"/>
        <v>370.55343097937077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76.264452568725986</v>
      </c>
      <c r="AA113" s="21">
        <f>EXP(-LN(2)/25)*AA112+(1-EXP(-LN(2)/25))/(LN(2)/25)*Calculateur!V113*Calculateur!X113*VLOOKUP('Données projet'!$B$9,Paramètres!$A$1:$I$89,3,0)*0.475*44/12</f>
        <v>12.53759965304134</v>
      </c>
      <c r="AB113" s="21">
        <f>EXP(-LN(2)/2)*AB112+(1-EXP(-LN(2)/2))/(LN(2)/2)*V113*Y113*VLOOKUP('Données projet'!$B$9,Paramètres!$A$1:$I$89,3,0)*0.475*44/12</f>
        <v>1.7997391309949077E-7</v>
      </c>
      <c r="AC113" s="22">
        <f t="shared" si="57"/>
        <v>88.802052401741236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-6.7984728957526396E-14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283.73369613548124</v>
      </c>
      <c r="AO113" s="59">
        <f t="shared" si="90"/>
        <v>249.77804091581208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90.951199825634049</v>
      </c>
      <c r="AV113" s="21">
        <f>EXP(-LN(2)/25)*AV112+(1-EXP(-LN(2)/25))/(LN(2)/25)*Calculateur!AQ113*Calculateur!AS113*VLOOKUP('Données projet'!$B$10,Paramètres!$A$1:$I$89,3,0)*0.475*44/12</f>
        <v>16.520135909489639</v>
      </c>
      <c r="AW113" s="21">
        <f>EXP(-LN(2)/2)*AW112+(1-EXP(-LN(2)/2))/(LN(2)/2)*AQ113*AT113*VLOOKUP('Données projet'!$B$10,Paramètres!$A$1:$I$89,3,0)*0.475*44/12</f>
        <v>3.5621746609832886E-4</v>
      </c>
      <c r="AX113" s="21">
        <f t="shared" si="60"/>
        <v>107.47169195258978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-6.3550942286383367E-14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278.5296012747549</v>
      </c>
      <c r="T114" s="59">
        <f t="shared" si="88"/>
        <v>370.55343097937077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74.768953170576196</v>
      </c>
      <c r="AA114" s="21">
        <f>EXP(-LN(2)/25)*AA113+(1-EXP(-LN(2)/25))/(LN(2)/25)*Calculateur!V114*Calculateur!X114*VLOOKUP('Données projet'!$B$9,Paramètres!$A$1:$I$89,3,0)*0.475*44/12</f>
        <v>12.194758331205215</v>
      </c>
      <c r="AB114" s="21">
        <f>EXP(-LN(2)/2)*AB113+(1-EXP(-LN(2)/2))/(LN(2)/2)*V114*Y114*VLOOKUP('Données projet'!$B$9,Paramètres!$A$1:$I$89,3,0)*0.475*44/12</f>
        <v>1.2726077438932834E-7</v>
      </c>
      <c r="AC114" s="22">
        <f t="shared" si="57"/>
        <v>86.96371162904218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-6.7984728957526396E-14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283.73369613548124</v>
      </c>
      <c r="AO114" s="59">
        <f t="shared" si="90"/>
        <v>249.77804091581208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89.167702271807585</v>
      </c>
      <c r="AV114" s="21">
        <f>EXP(-LN(2)/25)*AV113+(1-EXP(-LN(2)/25))/(LN(2)/25)*Calculateur!AQ114*Calculateur!AS114*VLOOKUP('Données projet'!$B$10,Paramètres!$A$1:$I$89,3,0)*0.475*44/12</f>
        <v>16.068391924288456</v>
      </c>
      <c r="AW114" s="21">
        <f>EXP(-LN(2)/2)*AW113+(1-EXP(-LN(2)/2))/(LN(2)/2)*AQ114*AT114*VLOOKUP('Données projet'!$B$10,Paramètres!$A$1:$I$89,3,0)*0.475*44/12</f>
        <v>2.5188378585521743E-4</v>
      </c>
      <c r="AX114" s="21">
        <f t="shared" si="60"/>
        <v>105.2363460798819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-6.3550942286383367E-14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278.5296012747549</v>
      </c>
      <c r="T115" s="59">
        <f t="shared" si="88"/>
        <v>370.55343097937077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73.302779603459555</v>
      </c>
      <c r="AA115" s="21">
        <f>EXP(-LN(2)/25)*AA114+(1-EXP(-LN(2)/25))/(LN(2)/25)*Calculateur!V115*Calculateur!X115*VLOOKUP('Données projet'!$B$9,Paramètres!$A$1:$I$89,3,0)*0.475*44/12</f>
        <v>11.861292023343939</v>
      </c>
      <c r="AB115" s="21">
        <f>EXP(-LN(2)/2)*AB114+(1-EXP(-LN(2)/2))/(LN(2)/2)*V115*Y115*VLOOKUP('Données projet'!$B$9,Paramètres!$A$1:$I$89,3,0)*0.475*44/12</f>
        <v>8.9986956549745383E-8</v>
      </c>
      <c r="AC115" s="22">
        <f t="shared" si="57"/>
        <v>85.164071716790446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-6.7984728957526396E-14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283.73369613548124</v>
      </c>
      <c r="AO115" s="59">
        <f t="shared" si="90"/>
        <v>249.77804091581208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87.419178017185558</v>
      </c>
      <c r="AV115" s="21">
        <f>EXP(-LN(2)/25)*AV114+(1-EXP(-LN(2)/25))/(LN(2)/25)*Calculateur!AQ115*Calculateur!AS115*VLOOKUP('Données projet'!$B$10,Paramètres!$A$1:$I$89,3,0)*0.475*44/12</f>
        <v>15.629000902118781</v>
      </c>
      <c r="AW115" s="21">
        <f>EXP(-LN(2)/2)*AW114+(1-EXP(-LN(2)/2))/(LN(2)/2)*AQ115*AT115*VLOOKUP('Données projet'!$B$10,Paramètres!$A$1:$I$89,3,0)*0.475*44/12</f>
        <v>1.7810873304916443E-4</v>
      </c>
      <c r="AX115" s="21">
        <f t="shared" si="60"/>
        <v>103.04835702803739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-6.3550942286383367E-14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278.5296012747549</v>
      </c>
      <c r="T116" s="59">
        <f t="shared" si="88"/>
        <v>370.55343097937077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71.865356805716502</v>
      </c>
      <c r="AA116" s="21">
        <f>EXP(-LN(2)/25)*AA115+(1-EXP(-LN(2)/25))/(LN(2)/25)*Calculateur!V116*Calculateur!X116*VLOOKUP('Données projet'!$B$9,Paramètres!$A$1:$I$89,3,0)*0.475*44/12</f>
        <v>11.536944369207362</v>
      </c>
      <c r="AB116" s="21">
        <f>EXP(-LN(2)/2)*AB115+(1-EXP(-LN(2)/2))/(LN(2)/2)*V116*Y116*VLOOKUP('Données projet'!$B$9,Paramètres!$A$1:$I$89,3,0)*0.475*44/12</f>
        <v>6.3630387194664168E-8</v>
      </c>
      <c r="AC116" s="22">
        <f t="shared" si="57"/>
        <v>83.402301238554244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-6.7984728957526396E-14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283.73369613548124</v>
      </c>
      <c r="AO116" s="59">
        <f t="shared" si="90"/>
        <v>249.77804091581208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85.704941256702185</v>
      </c>
      <c r="AV116" s="21">
        <f>EXP(-LN(2)/25)*AV115+(1-EXP(-LN(2)/25))/(LN(2)/25)*Calculateur!AQ116*Calculateur!AS116*VLOOKUP('Données projet'!$B$10,Paramètres!$A$1:$I$89,3,0)*0.475*44/12</f>
        <v>15.201625050556906</v>
      </c>
      <c r="AW116" s="21">
        <f>EXP(-LN(2)/2)*AW115+(1-EXP(-LN(2)/2))/(LN(2)/2)*AQ116*AT116*VLOOKUP('Données projet'!$B$10,Paramètres!$A$1:$I$89,3,0)*0.475*44/12</f>
        <v>1.2594189292760872E-4</v>
      </c>
      <c r="AX116" s="21">
        <f t="shared" si="60"/>
        <v>100.90669224915202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-6.3550942286383367E-14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278.5296012747549</v>
      </c>
      <c r="T117" s="59">
        <f t="shared" si="88"/>
        <v>370.55343097937077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70.456120992295851</v>
      </c>
      <c r="AA117" s="21">
        <f>EXP(-LN(2)/25)*AA116+(1-EXP(-LN(2)/25))/(LN(2)/25)*Calculateur!V117*Calculateur!X117*VLOOKUP('Données projet'!$B$9,Paramètres!$A$1:$I$89,3,0)*0.475*44/12</f>
        <v>11.221466018729849</v>
      </c>
      <c r="AB117" s="21">
        <f>EXP(-LN(2)/2)*AB116+(1-EXP(-LN(2)/2))/(LN(2)/2)*V117*Y117*VLOOKUP('Données projet'!$B$9,Paramètres!$A$1:$I$89,3,0)*0.475*44/12</f>
        <v>4.4993478274872691E-8</v>
      </c>
      <c r="AC117" s="22">
        <f t="shared" si="57"/>
        <v>81.677587056019192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-6.7984728957526396E-14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283.73369613548124</v>
      </c>
      <c r="AO117" s="59">
        <f t="shared" si="90"/>
        <v>249.77804091581208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84.024319633510714</v>
      </c>
      <c r="AV117" s="21">
        <f>EXP(-LN(2)/25)*AV116+(1-EXP(-LN(2)/25))/(LN(2)/25)*Calculateur!AQ117*Calculateur!AS117*VLOOKUP('Données projet'!$B$10,Paramètres!$A$1:$I$89,3,0)*0.475*44/12</f>
        <v>14.78593581413071</v>
      </c>
      <c r="AW117" s="21">
        <f>EXP(-LN(2)/2)*AW116+(1-EXP(-LN(2)/2))/(LN(2)/2)*AQ117*AT117*VLOOKUP('Données projet'!$B$10,Paramètres!$A$1:$I$89,3,0)*0.475*44/12</f>
        <v>8.9054366524582215E-5</v>
      </c>
      <c r="AX117" s="21">
        <f t="shared" si="60"/>
        <v>98.81034450200795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-6.3550942286383367E-14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278.5296012747549</v>
      </c>
      <c r="T118" s="59">
        <f t="shared" si="88"/>
        <v>370.55343097937077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69.074519433627401</v>
      </c>
      <c r="AA118" s="21">
        <f>EXP(-LN(2)/25)*AA117+(1-EXP(-LN(2)/25))/(LN(2)/25)*Calculateur!V118*Calculateur!X118*VLOOKUP('Données projet'!$B$9,Paramètres!$A$1:$I$89,3,0)*0.475*44/12</f>
        <v>10.914614440336431</v>
      </c>
      <c r="AB118" s="21">
        <f>EXP(-LN(2)/2)*AB117+(1-EXP(-LN(2)/2))/(LN(2)/2)*V118*Y118*VLOOKUP('Données projet'!$B$9,Paramètres!$A$1:$I$89,3,0)*0.475*44/12</f>
        <v>3.1815193597332084E-8</v>
      </c>
      <c r="AC118" s="22">
        <f t="shared" si="57"/>
        <v>79.989133905779028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-6.7984728957526396E-14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283.73369613548124</v>
      </c>
      <c r="AO118" s="59">
        <f t="shared" si="90"/>
        <v>249.77804091581208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82.376653975272049</v>
      </c>
      <c r="AV118" s="21">
        <f>EXP(-LN(2)/25)*AV117+(1-EXP(-LN(2)/25))/(LN(2)/25)*Calculateur!AQ118*Calculateur!AS118*VLOOKUP('Données projet'!$B$10,Paramètres!$A$1:$I$89,3,0)*0.475*44/12</f>
        <v>14.381613621734735</v>
      </c>
      <c r="AW118" s="21">
        <f>EXP(-LN(2)/2)*AW117+(1-EXP(-LN(2)/2))/(LN(2)/2)*AQ118*AT118*VLOOKUP('Données projet'!$B$10,Paramètres!$A$1:$I$89,3,0)*0.475*44/12</f>
        <v>6.2970946463804359E-5</v>
      </c>
      <c r="AX118" s="21">
        <f t="shared" si="60"/>
        <v>96.758330567953237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-6.3550942286383367E-14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278.5296012747549</v>
      </c>
      <c r="T119" s="59">
        <f t="shared" si="88"/>
        <v>370.55343097937077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67.720010238830696</v>
      </c>
      <c r="AA119" s="21">
        <f>EXP(-LN(2)/25)*AA118+(1-EXP(-LN(2)/25))/(LN(2)/25)*Calculateur!V119*Calculateur!X119*VLOOKUP('Données projet'!$B$9,Paramètres!$A$1:$I$89,3,0)*0.475*44/12</f>
        <v>10.616153734490803</v>
      </c>
      <c r="AB119" s="21">
        <f>EXP(-LN(2)/2)*AB118+(1-EXP(-LN(2)/2))/(LN(2)/2)*V119*Y119*VLOOKUP('Données projet'!$B$9,Paramètres!$A$1:$I$89,3,0)*0.475*44/12</f>
        <v>2.2496739137436346E-8</v>
      </c>
      <c r="AC119" s="22">
        <f t="shared" si="57"/>
        <v>78.336163995818239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-6.7984728957526396E-14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283.73369613548124</v>
      </c>
      <c r="AO119" s="59">
        <f t="shared" si="90"/>
        <v>249.77804091581208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80.761298035614629</v>
      </c>
      <c r="AV119" s="21">
        <f>EXP(-LN(2)/25)*AV118+(1-EXP(-LN(2)/25))/(LN(2)/25)*Calculateur!AQ119*Calculateur!AS119*VLOOKUP('Données projet'!$B$10,Paramètres!$A$1:$I$89,3,0)*0.475*44/12</f>
        <v>13.988347640952208</v>
      </c>
      <c r="AW119" s="21">
        <f>EXP(-LN(2)/2)*AW118+(1-EXP(-LN(2)/2))/(LN(2)/2)*AQ119*AT119*VLOOKUP('Données projet'!$B$10,Paramètres!$A$1:$I$89,3,0)*0.475*44/12</f>
        <v>4.4527183262291107E-5</v>
      </c>
      <c r="AX119" s="21">
        <f t="shared" si="60"/>
        <v>94.749690203750106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-6.3550942286383367E-14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278.5296012747549</v>
      </c>
      <c r="T120" s="59">
        <f t="shared" si="88"/>
        <v>370.55343097937077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66.392062143174925</v>
      </c>
      <c r="AA120" s="21">
        <f>EXP(-LN(2)/25)*AA119+(1-EXP(-LN(2)/25))/(LN(2)/25)*Calculateur!V120*Calculateur!X120*VLOOKUP('Données projet'!$B$9,Paramètres!$A$1:$I$89,3,0)*0.475*44/12</f>
        <v>10.32585445234189</v>
      </c>
      <c r="AB120" s="21">
        <f>EXP(-LN(2)/2)*AB119+(1-EXP(-LN(2)/2))/(LN(2)/2)*V120*Y120*VLOOKUP('Données projet'!$B$9,Paramètres!$A$1:$I$89,3,0)*0.475*44/12</f>
        <v>1.5907596798666042E-8</v>
      </c>
      <c r="AC120" s="22">
        <f t="shared" si="57"/>
        <v>76.717916611424414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-6.7984728957526396E-14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283.73369613548124</v>
      </c>
      <c r="AO120" s="59">
        <f t="shared" si="90"/>
        <v>249.77804091581208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79.17761824066406</v>
      </c>
      <c r="AV120" s="21">
        <f>EXP(-LN(2)/25)*AV119+(1-EXP(-LN(2)/25))/(LN(2)/25)*Calculateur!AQ120*Calculateur!AS120*VLOOKUP('Données projet'!$B$10,Paramètres!$A$1:$I$89,3,0)*0.475*44/12</f>
        <v>13.605835539095137</v>
      </c>
      <c r="AW120" s="21">
        <f>EXP(-LN(2)/2)*AW119+(1-EXP(-LN(2)/2))/(LN(2)/2)*AQ120*AT120*VLOOKUP('Données projet'!$B$10,Paramètres!$A$1:$I$89,3,0)*0.475*44/12</f>
        <v>3.1485473231902179E-5</v>
      </c>
      <c r="AX120" s="21">
        <f t="shared" si="60"/>
        <v>92.783485265232429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-6.3550942286383367E-14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278.5296012747549</v>
      </c>
      <c r="T121" s="59">
        <f t="shared" si="88"/>
        <v>370.55343097937077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65.090154299706612</v>
      </c>
      <c r="AA121" s="21">
        <f>EXP(-LN(2)/25)*AA120+(1-EXP(-LN(2)/25))/(LN(2)/25)*Calculateur!V121*Calculateur!X121*VLOOKUP('Données projet'!$B$9,Paramètres!$A$1:$I$89,3,0)*0.475*44/12</f>
        <v>10.043493419329515</v>
      </c>
      <c r="AB121" s="21">
        <f>EXP(-LN(2)/2)*AB120+(1-EXP(-LN(2)/2))/(LN(2)/2)*V121*Y121*VLOOKUP('Données projet'!$B$9,Paramètres!$A$1:$I$89,3,0)*0.475*44/12</f>
        <v>1.1248369568718173E-8</v>
      </c>
      <c r="AC121" s="22">
        <f t="shared" si="57"/>
        <v>75.133647730284508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-6.7984728957526396E-14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283.73369613548124</v>
      </c>
      <c r="AO121" s="59">
        <f t="shared" si="90"/>
        <v>249.77804091581208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77.624993440543165</v>
      </c>
      <c r="AV121" s="21">
        <f>EXP(-LN(2)/25)*AV120+(1-EXP(-LN(2)/25))/(LN(2)/25)*Calculateur!AQ121*Calculateur!AS121*VLOOKUP('Données projet'!$B$10,Paramètres!$A$1:$I$89,3,0)*0.475*44/12</f>
        <v>13.233783250778787</v>
      </c>
      <c r="AW121" s="21">
        <f>EXP(-LN(2)/2)*AW120+(1-EXP(-LN(2)/2))/(LN(2)/2)*AQ121*AT121*VLOOKUP('Données projet'!$B$10,Paramètres!$A$1:$I$89,3,0)*0.475*44/12</f>
        <v>2.2263591631145554E-5</v>
      </c>
      <c r="AX121" s="21">
        <f t="shared" si="60"/>
        <v>90.858798954913581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-6.3550942286383367E-14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278.5296012747549</v>
      </c>
      <c r="T122" s="59">
        <f t="shared" si="88"/>
        <v>370.55343097937077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63.813776074963336</v>
      </c>
      <c r="AA122" s="21">
        <f>EXP(-LN(2)/25)*AA121+(1-EXP(-LN(2)/25))/(LN(2)/25)*Calculateur!V122*Calculateur!X122*VLOOKUP('Données projet'!$B$9,Paramètres!$A$1:$I$89,3,0)*0.475*44/12</f>
        <v>9.7688535636135843</v>
      </c>
      <c r="AB122" s="21">
        <f>EXP(-LN(2)/2)*AB121+(1-EXP(-LN(2)/2))/(LN(2)/2)*V122*Y122*VLOOKUP('Données projet'!$B$9,Paramètres!$A$1:$I$89,3,0)*0.475*44/12</f>
        <v>7.953798399333021E-9</v>
      </c>
      <c r="AC122" s="22">
        <f t="shared" si="57"/>
        <v>73.582629646530719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-6.7984728957526396E-14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283.73369613548124</v>
      </c>
      <c r="AO122" s="59">
        <f t="shared" si="90"/>
        <v>249.77804091581208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76.102814665745029</v>
      </c>
      <c r="AV122" s="21">
        <f>EXP(-LN(2)/25)*AV121+(1-EXP(-LN(2)/25))/(LN(2)/25)*Calculateur!AQ122*Calculateur!AS122*VLOOKUP('Données projet'!$B$10,Paramètres!$A$1:$I$89,3,0)*0.475*44/12</f>
        <v>12.871904751851826</v>
      </c>
      <c r="AW122" s="21">
        <f>EXP(-LN(2)/2)*AW121+(1-EXP(-LN(2)/2))/(LN(2)/2)*AQ122*AT122*VLOOKUP('Données projet'!$B$10,Paramètres!$A$1:$I$89,3,0)*0.475*44/12</f>
        <v>1.574273661595109E-5</v>
      </c>
      <c r="AX122" s="21">
        <f t="shared" si="60"/>
        <v>88.974735160333481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-6.3550942286383367E-14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278.5296012747549</v>
      </c>
      <c r="T123" s="59">
        <f t="shared" si="88"/>
        <v>370.55343097937077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62.562426848693427</v>
      </c>
      <c r="AA123" s="21">
        <f>EXP(-LN(2)/25)*AA122+(1-EXP(-LN(2)/25))/(LN(2)/25)*Calculateur!V123*Calculateur!X123*VLOOKUP('Données projet'!$B$9,Paramètres!$A$1:$I$89,3,0)*0.475*44/12</f>
        <v>9.5017237491948894</v>
      </c>
      <c r="AB123" s="21">
        <f>EXP(-LN(2)/2)*AB122+(1-EXP(-LN(2)/2))/(LN(2)/2)*V123*Y123*VLOOKUP('Données projet'!$B$9,Paramètres!$A$1:$I$89,3,0)*0.475*44/12</f>
        <v>5.6241847843590864E-9</v>
      </c>
      <c r="AC123" s="22">
        <f t="shared" si="57"/>
        <v>72.064150603512502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-6.7984728957526396E-14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283.73369613548124</v>
      </c>
      <c r="AO123" s="59">
        <f t="shared" si="90"/>
        <v>249.77804091581208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74.61048488828331</v>
      </c>
      <c r="AV123" s="21">
        <f>EXP(-LN(2)/25)*AV122+(1-EXP(-LN(2)/25))/(LN(2)/25)*Calculateur!AQ123*Calculateur!AS123*VLOOKUP('Données projet'!$B$10,Paramètres!$A$1:$I$89,3,0)*0.475*44/12</f>
        <v>12.519921839508386</v>
      </c>
      <c r="AW123" s="21">
        <f>EXP(-LN(2)/2)*AW122+(1-EXP(-LN(2)/2))/(LN(2)/2)*AQ123*AT123*VLOOKUP('Données projet'!$B$10,Paramètres!$A$1:$I$89,3,0)*0.475*44/12</f>
        <v>1.1131795815572777E-5</v>
      </c>
      <c r="AX123" s="21">
        <f t="shared" si="60"/>
        <v>87.13041785958751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-6.3550942286383367E-14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278.5296012747549</v>
      </c>
      <c r="T124" s="59">
        <f t="shared" si="88"/>
        <v>370.55343097937077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61.335615817503005</v>
      </c>
      <c r="AA124" s="21">
        <f>EXP(-LN(2)/25)*AA123+(1-EXP(-LN(2)/25))/(LN(2)/25)*Calculateur!V124*Calculateur!X124*VLOOKUP('Données projet'!$B$9,Paramètres!$A$1:$I$89,3,0)*0.475*44/12</f>
        <v>9.2418986135992203</v>
      </c>
      <c r="AB124" s="21">
        <f>EXP(-LN(2)/2)*AB123+(1-EXP(-LN(2)/2))/(LN(2)/2)*V124*Y124*VLOOKUP('Données projet'!$B$9,Paramètres!$A$1:$I$89,3,0)*0.475*44/12</f>
        <v>3.9768991996665105E-9</v>
      </c>
      <c r="AC124" s="22">
        <f t="shared" si="57"/>
        <v>70.577514435079124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-6.7984728957526396E-14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283.73369613548124</v>
      </c>
      <c r="AO124" s="59">
        <f t="shared" si="90"/>
        <v>249.77804091581208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73.14741878752632</v>
      </c>
      <c r="AV124" s="21">
        <f>EXP(-LN(2)/25)*AV123+(1-EXP(-LN(2)/25))/(LN(2)/25)*Calculateur!AQ124*Calculateur!AS124*VLOOKUP('Données projet'!$B$10,Paramètres!$A$1:$I$89,3,0)*0.475*44/12</f>
        <v>12.177563918412956</v>
      </c>
      <c r="AW124" s="21">
        <f>EXP(-LN(2)/2)*AW123+(1-EXP(-LN(2)/2))/(LN(2)/2)*AQ124*AT124*VLOOKUP('Données projet'!$B$10,Paramètres!$A$1:$I$89,3,0)*0.475*44/12</f>
        <v>7.8713683079755448E-6</v>
      </c>
      <c r="AX124" s="21">
        <f t="shared" si="60"/>
        <v>85.324990577307588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-6.3550942286383367E-14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278.5296012747549</v>
      </c>
      <c r="T125" s="59">
        <f t="shared" si="88"/>
        <v>370.55343097937077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60.132861802353389</v>
      </c>
      <c r="AA125" s="21">
        <f>EXP(-LN(2)/25)*AA124+(1-EXP(-LN(2)/25))/(LN(2)/25)*Calculateur!V125*Calculateur!X125*VLOOKUP('Données projet'!$B$9,Paramètres!$A$1:$I$89,3,0)*0.475*44/12</f>
        <v>8.989178410000024</v>
      </c>
      <c r="AB125" s="21">
        <f>EXP(-LN(2)/2)*AB124+(1-EXP(-LN(2)/2))/(LN(2)/2)*V125*Y125*VLOOKUP('Données projet'!$B$9,Paramètres!$A$1:$I$89,3,0)*0.475*44/12</f>
        <v>2.8120923921795432E-9</v>
      </c>
      <c r="AC125" s="22">
        <f t="shared" si="57"/>
        <v>69.122040215165498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-6.7984728957526396E-14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283.73369613548124</v>
      </c>
      <c r="AO125" s="59">
        <f t="shared" si="90"/>
        <v>249.77804091581208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71.713042520622977</v>
      </c>
      <c r="AV125" s="21">
        <f>EXP(-LN(2)/25)*AV124+(1-EXP(-LN(2)/25))/(LN(2)/25)*Calculateur!AQ125*Calculateur!AS125*VLOOKUP('Données projet'!$B$10,Paramètres!$A$1:$I$89,3,0)*0.475*44/12</f>
        <v>11.844567792673699</v>
      </c>
      <c r="AW125" s="21">
        <f>EXP(-LN(2)/2)*AW124+(1-EXP(-LN(2)/2))/(LN(2)/2)*AQ125*AT125*VLOOKUP('Données projet'!$B$10,Paramètres!$A$1:$I$89,3,0)*0.475*44/12</f>
        <v>5.5658979077863884E-6</v>
      </c>
      <c r="AX125" s="21">
        <f t="shared" si="60"/>
        <v>83.557615879194586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-6.3550942286383367E-14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278.5296012747549</v>
      </c>
      <c r="T126" s="59">
        <f t="shared" si="88"/>
        <v>370.55343097937077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58.953693059833341</v>
      </c>
      <c r="AA126" s="21">
        <f>EXP(-LN(2)/25)*AA125+(1-EXP(-LN(2)/25))/(LN(2)/25)*Calculateur!V126*Calculateur!X126*VLOOKUP('Données projet'!$B$9,Paramètres!$A$1:$I$89,3,0)*0.475*44/12</f>
        <v>8.7433688536582252</v>
      </c>
      <c r="AB126" s="21">
        <f>EXP(-LN(2)/2)*AB125+(1-EXP(-LN(2)/2))/(LN(2)/2)*V126*Y126*VLOOKUP('Données projet'!$B$9,Paramètres!$A$1:$I$89,3,0)*0.475*44/12</f>
        <v>1.9884495998332552E-9</v>
      </c>
      <c r="AC126" s="22">
        <f t="shared" si="57"/>
        <v>67.69706191548002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-6.7984728957526396E-14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283.73369613548124</v>
      </c>
      <c r="AO126" s="59">
        <f t="shared" si="90"/>
        <v>249.77804091581208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70.306793497430476</v>
      </c>
      <c r="AV126" s="21">
        <f>EXP(-LN(2)/25)*AV125+(1-EXP(-LN(2)/25))/(LN(2)/25)*Calculateur!AQ126*Calculateur!AS126*VLOOKUP('Données projet'!$B$10,Paramètres!$A$1:$I$89,3,0)*0.475*44/12</f>
        <v>11.520677463504287</v>
      </c>
      <c r="AW126" s="21">
        <f>EXP(-LN(2)/2)*AW125+(1-EXP(-LN(2)/2))/(LN(2)/2)*AQ126*AT126*VLOOKUP('Données projet'!$B$10,Paramètres!$A$1:$I$89,3,0)*0.475*44/12</f>
        <v>3.9356841539877724E-6</v>
      </c>
      <c r="AX126" s="21">
        <f t="shared" si="60"/>
        <v>81.827474896618909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-6.3550942286383367E-14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278.5296012747549</v>
      </c>
      <c r="T127" s="59">
        <f t="shared" si="88"/>
        <v>370.55343097937077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57.797647097132199</v>
      </c>
      <c r="AA127" s="21">
        <f>EXP(-LN(2)/25)*AA126+(1-EXP(-LN(2)/25))/(LN(2)/25)*Calculateur!V127*Calculateur!X127*VLOOKUP('Données projet'!$B$9,Paramètres!$A$1:$I$89,3,0)*0.475*44/12</f>
        <v>8.5042809725611566</v>
      </c>
      <c r="AB127" s="21">
        <f>EXP(-LN(2)/2)*AB126+(1-EXP(-LN(2)/2))/(LN(2)/2)*V127*Y127*VLOOKUP('Données projet'!$B$9,Paramètres!$A$1:$I$89,3,0)*0.475*44/12</f>
        <v>1.4060461960897716E-9</v>
      </c>
      <c r="AC127" s="22">
        <f t="shared" si="57"/>
        <v>66.301928071099411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-6.7984728957526396E-14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283.73369613548124</v>
      </c>
      <c r="AO127" s="59">
        <f t="shared" si="90"/>
        <v>249.77804091581208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68.928120159855567</v>
      </c>
      <c r="AV127" s="21">
        <f>EXP(-LN(2)/25)*AV126+(1-EXP(-LN(2)/25))/(LN(2)/25)*Calculateur!AQ127*Calculateur!AS127*VLOOKUP('Données projet'!$B$10,Paramètres!$A$1:$I$89,3,0)*0.475*44/12</f>
        <v>11.205643932418665</v>
      </c>
      <c r="AW127" s="21">
        <f>EXP(-LN(2)/2)*AW126+(1-EXP(-LN(2)/2))/(LN(2)/2)*AQ127*AT127*VLOOKUP('Données projet'!$B$10,Paramètres!$A$1:$I$89,3,0)*0.475*44/12</f>
        <v>2.7829489538931942E-6</v>
      </c>
      <c r="AX127" s="21">
        <f t="shared" si="60"/>
        <v>80.133766875223188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-6.3550942286383367E-14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278.5296012747549</v>
      </c>
      <c r="T128" s="59">
        <f t="shared" si="88"/>
        <v>370.55343097937077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56.664270490641215</v>
      </c>
      <c r="AA128" s="21">
        <f>EXP(-LN(2)/25)*AA127+(1-EXP(-LN(2)/25))/(LN(2)/25)*Calculateur!V128*Calculateur!X128*VLOOKUP('Données projet'!$B$9,Paramètres!$A$1:$I$89,3,0)*0.475*44/12</f>
        <v>8.2717309621457726</v>
      </c>
      <c r="AB128" s="21">
        <f>EXP(-LN(2)/2)*AB127+(1-EXP(-LN(2)/2))/(LN(2)/2)*V128*Y128*VLOOKUP('Données projet'!$B$9,Paramètres!$A$1:$I$89,3,0)*0.475*44/12</f>
        <v>9.9422479991662762E-10</v>
      </c>
      <c r="AC128" s="22">
        <f t="shared" si="57"/>
        <v>64.936001453781202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-6.7984728957526396E-14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283.73369613548124</v>
      </c>
      <c r="AO128" s="59">
        <f t="shared" si="90"/>
        <v>249.77804091581208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67.5764817655228</v>
      </c>
      <c r="AV128" s="21">
        <f>EXP(-LN(2)/25)*AV127+(1-EXP(-LN(2)/25))/(LN(2)/25)*Calculateur!AQ128*Calculateur!AS128*VLOOKUP('Données projet'!$B$10,Paramètres!$A$1:$I$89,3,0)*0.475*44/12</f>
        <v>10.899225009807473</v>
      </c>
      <c r="AW128" s="21">
        <f>EXP(-LN(2)/2)*AW127+(1-EXP(-LN(2)/2))/(LN(2)/2)*AQ128*AT128*VLOOKUP('Données projet'!$B$10,Paramètres!$A$1:$I$89,3,0)*0.475*44/12</f>
        <v>1.9678420769938862E-6</v>
      </c>
      <c r="AX128" s="21">
        <f t="shared" si="60"/>
        <v>78.475708743172362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-6.3550942286383367E-14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278.5296012747549</v>
      </c>
      <c r="T129" s="59">
        <f t="shared" si="88"/>
        <v>370.55343097937077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55.553118708112045</v>
      </c>
      <c r="AA129" s="21">
        <f>EXP(-LN(2)/25)*AA128+(1-EXP(-LN(2)/25))/(LN(2)/25)*Calculateur!V129*Calculateur!X129*VLOOKUP('Données projet'!$B$9,Paramètres!$A$1:$I$89,3,0)*0.475*44/12</f>
        <v>8.0455400439944711</v>
      </c>
      <c r="AB129" s="21">
        <f>EXP(-LN(2)/2)*AB128+(1-EXP(-LN(2)/2))/(LN(2)/2)*V129*Y129*VLOOKUP('Données projet'!$B$9,Paramètres!$A$1:$I$89,3,0)*0.475*44/12</f>
        <v>7.030230980448858E-10</v>
      </c>
      <c r="AC129" s="22">
        <f t="shared" si="57"/>
        <v>63.598658752809541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-6.7984728957526396E-14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283.73369613548124</v>
      </c>
      <c r="AO129" s="59">
        <f t="shared" si="90"/>
        <v>249.77804091581208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66.251348175684882</v>
      </c>
      <c r="AV129" s="21">
        <f>EXP(-LN(2)/25)*AV128+(1-EXP(-LN(2)/25))/(LN(2)/25)*Calculateur!AQ129*Calculateur!AS129*VLOOKUP('Données projet'!$B$10,Paramètres!$A$1:$I$89,3,0)*0.475*44/12</f>
        <v>10.601185128748956</v>
      </c>
      <c r="AW129" s="21">
        <f>EXP(-LN(2)/2)*AW128+(1-EXP(-LN(2)/2))/(LN(2)/2)*AQ129*AT129*VLOOKUP('Données projet'!$B$10,Paramètres!$A$1:$I$89,3,0)*0.475*44/12</f>
        <v>1.3914744769465971E-6</v>
      </c>
      <c r="AX129" s="21">
        <f t="shared" si="60"/>
        <v>76.852534695908304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-6.3550942286383367E-14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278.5296012747549</v>
      </c>
      <c r="T130" s="59">
        <f t="shared" si="88"/>
        <v>370.55343097937077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54.463755934302604</v>
      </c>
      <c r="AA130" s="21">
        <f>EXP(-LN(2)/25)*AA129+(1-EXP(-LN(2)/25))/(LN(2)/25)*Calculateur!V130*Calculateur!X130*VLOOKUP('Données projet'!$B$9,Paramètres!$A$1:$I$89,3,0)*0.475*44/12</f>
        <v>7.8255343283948795</v>
      </c>
      <c r="AB130" s="21">
        <f>EXP(-LN(2)/2)*AB129+(1-EXP(-LN(2)/2))/(LN(2)/2)*V130*Y130*VLOOKUP('Données projet'!$B$9,Paramètres!$A$1:$I$89,3,0)*0.475*44/12</f>
        <v>4.9711239995831381E-10</v>
      </c>
      <c r="AC130" s="22">
        <f t="shared" si="57"/>
        <v>62.289290263194594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-6.7984728957526396E-14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283.73369613548124</v>
      </c>
      <c r="AO130" s="59">
        <f t="shared" si="90"/>
        <v>249.77804091581208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64.952199647292005</v>
      </c>
      <c r="AV130" s="21">
        <f>EXP(-LN(2)/25)*AV129+(1-EXP(-LN(2)/25))/(LN(2)/25)*Calculateur!AQ130*Calculateur!AS130*VLOOKUP('Données projet'!$B$10,Paramètres!$A$1:$I$89,3,0)*0.475*44/12</f>
        <v>10.311295163911218</v>
      </c>
      <c r="AW130" s="21">
        <f>EXP(-LN(2)/2)*AW129+(1-EXP(-LN(2)/2))/(LN(2)/2)*AQ130*AT130*VLOOKUP('Données projet'!$B$10,Paramètres!$A$1:$I$89,3,0)*0.475*44/12</f>
        <v>9.839210384969431E-7</v>
      </c>
      <c r="AX130" s="21">
        <f t="shared" si="60"/>
        <v>75.263495795124271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-6.3550942286383367E-14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278.5296012747549</v>
      </c>
      <c r="T131" s="59">
        <f t="shared" si="88"/>
        <v>370.55343097937077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53.395754900041887</v>
      </c>
      <c r="AA131" s="21">
        <f>EXP(-LN(2)/25)*AA130+(1-EXP(-LN(2)/25))/(LN(2)/25)*Calculateur!V131*Calculateur!X131*VLOOKUP('Données projet'!$B$9,Paramètres!$A$1:$I$89,3,0)*0.475*44/12</f>
        <v>7.611544680657957</v>
      </c>
      <c r="AB131" s="21">
        <f>EXP(-LN(2)/2)*AB130+(1-EXP(-LN(2)/2))/(LN(2)/2)*V131*Y131*VLOOKUP('Données projet'!$B$9,Paramètres!$A$1:$I$89,3,0)*0.475*44/12</f>
        <v>3.515115490224429E-10</v>
      </c>
      <c r="AC131" s="22">
        <f t="shared" si="57"/>
        <v>61.007299581051356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-6.7984728957526396E-14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283.73369613548124</v>
      </c>
      <c r="AO131" s="59">
        <f t="shared" si="90"/>
        <v>249.77804091581208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63.678526629138545</v>
      </c>
      <c r="AV131" s="21">
        <f>EXP(-LN(2)/25)*AV130+(1-EXP(-LN(2)/25))/(LN(2)/25)*Calculateur!AQ131*Calculateur!AS131*VLOOKUP('Données projet'!$B$10,Paramètres!$A$1:$I$89,3,0)*0.475*44/12</f>
        <v>10.02933225540662</v>
      </c>
      <c r="AW131" s="21">
        <f>EXP(-LN(2)/2)*AW130+(1-EXP(-LN(2)/2))/(LN(2)/2)*AQ131*AT131*VLOOKUP('Données projet'!$B$10,Paramètres!$A$1:$I$89,3,0)*0.475*44/12</f>
        <v>6.9573723847329855E-7</v>
      </c>
      <c r="AX131" s="21">
        <f t="shared" si="60"/>
        <v>73.707859580282403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-6.3550942286383367E-14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278.5296012747549</v>
      </c>
      <c r="T132" s="59">
        <f t="shared" si="88"/>
        <v>370.55343097937077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52.348696714646714</v>
      </c>
      <c r="AA132" s="21">
        <f>EXP(-LN(2)/25)*AA131+(1-EXP(-LN(2)/25))/(LN(2)/25)*Calculateur!V132*Calculateur!X132*VLOOKUP('Données projet'!$B$9,Paramètres!$A$1:$I$89,3,0)*0.475*44/12</f>
        <v>7.4034065910916267</v>
      </c>
      <c r="AB132" s="21">
        <f>EXP(-LN(2)/2)*AB131+(1-EXP(-LN(2)/2))/(LN(2)/2)*V132*Y132*VLOOKUP('Données projet'!$B$9,Paramètres!$A$1:$I$89,3,0)*0.475*44/12</f>
        <v>2.4855619997915691E-10</v>
      </c>
      <c r="AC132" s="22">
        <f t="shared" ref="AC132:AC153" si="111">SUM(Z132:AB132)</f>
        <v>59.752103305986893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-6.7984728957526396E-14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283.73369613548124</v>
      </c>
      <c r="AO132" s="59">
        <f t="shared" si="90"/>
        <v>249.77804091581208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62.429829562007242</v>
      </c>
      <c r="AV132" s="21">
        <f>EXP(-LN(2)/25)*AV131+(1-EXP(-LN(2)/25))/(LN(2)/25)*Calculateur!AQ132*Calculateur!AS132*VLOOKUP('Données projet'!$B$10,Paramètres!$A$1:$I$89,3,0)*0.475*44/12</f>
        <v>9.755079637462865</v>
      </c>
      <c r="AW132" s="21">
        <f>EXP(-LN(2)/2)*AW131+(1-EXP(-LN(2)/2))/(LN(2)/2)*AQ132*AT132*VLOOKUP('Données projet'!$B$10,Paramètres!$A$1:$I$89,3,0)*0.475*44/12</f>
        <v>4.9196051924847155E-7</v>
      </c>
      <c r="AX132" s="21">
        <f t="shared" ref="AX132:AX153" si="114">SUM(AU132:AW132)</f>
        <v>72.184909691430633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-6.3550942286383367E-14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278.5296012747549</v>
      </c>
      <c r="T133" s="59">
        <f t="shared" ref="T133:T196" si="142">$T$3</f>
        <v>370.55343097937077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51.322170701624707</v>
      </c>
      <c r="AA133" s="21">
        <f>EXP(-LN(2)/25)*AA132+(1-EXP(-LN(2)/25))/(LN(2)/25)*Calculateur!V133*Calculateur!X133*VLOOKUP('Données projet'!$B$9,Paramètres!$A$1:$I$89,3,0)*0.475*44/12</f>
        <v>7.2009600485299945</v>
      </c>
      <c r="AB133" s="21">
        <f>EXP(-LN(2)/2)*AB132+(1-EXP(-LN(2)/2))/(LN(2)/2)*V133*Y133*VLOOKUP('Données projet'!$B$9,Paramètres!$A$1:$I$89,3,0)*0.475*44/12</f>
        <v>1.7575577451122145E-10</v>
      </c>
      <c r="AC133" s="22">
        <f t="shared" si="111"/>
        <v>58.523130750330452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-6.7984728957526396E-14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283.73369613548124</v>
      </c>
      <c r="AO133" s="59">
        <f t="shared" ref="AO133:AO196" si="144">$AO$3</f>
        <v>249.77804091581208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61.205618682732378</v>
      </c>
      <c r="AV133" s="21">
        <f>EXP(-LN(2)/25)*AV132+(1-EXP(-LN(2)/25))/(LN(2)/25)*Calculateur!AQ133*Calculateur!AS133*VLOOKUP('Données projet'!$B$10,Paramètres!$A$1:$I$89,3,0)*0.475*44/12</f>
        <v>9.4883264717791</v>
      </c>
      <c r="AW133" s="21">
        <f>EXP(-LN(2)/2)*AW132+(1-EXP(-LN(2)/2))/(LN(2)/2)*AQ133*AT133*VLOOKUP('Données projet'!$B$10,Paramètres!$A$1:$I$89,3,0)*0.475*44/12</f>
        <v>3.4786861923664928E-7</v>
      </c>
      <c r="AX133" s="21">
        <f t="shared" si="114"/>
        <v>70.693945502380103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-6.3550942286383367E-14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278.5296012747549</v>
      </c>
      <c r="T134" s="59">
        <f t="shared" si="142"/>
        <v>370.55343097937077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50.315774237599015</v>
      </c>
      <c r="AA134" s="21">
        <f>EXP(-LN(2)/25)*AA133+(1-EXP(-LN(2)/25))/(LN(2)/25)*Calculateur!V134*Calculateur!X134*VLOOKUP('Données projet'!$B$9,Paramètres!$A$1:$I$89,3,0)*0.475*44/12</f>
        <v>7.0040494173209105</v>
      </c>
      <c r="AB134" s="21">
        <f>EXP(-LN(2)/2)*AB133+(1-EXP(-LN(2)/2))/(LN(2)/2)*V134*Y134*VLOOKUP('Données projet'!$B$9,Paramètres!$A$1:$I$89,3,0)*0.475*44/12</f>
        <v>1.2427809998957845E-10</v>
      </c>
      <c r="AC134" s="22">
        <f t="shared" si="111"/>
        <v>57.31982365504421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-6.7984728957526396E-14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283.73369613548124</v>
      </c>
      <c r="AO134" s="59">
        <f t="shared" si="144"/>
        <v>249.77804091581208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60.005413832105191</v>
      </c>
      <c r="AV134" s="21">
        <f>EXP(-LN(2)/25)*AV133+(1-EXP(-LN(2)/25))/(LN(2)/25)*Calculateur!AQ134*Calculateur!AS134*VLOOKUP('Données projet'!$B$10,Paramètres!$A$1:$I$89,3,0)*0.475*44/12</f>
        <v>9.2288676854388978</v>
      </c>
      <c r="AW134" s="21">
        <f>EXP(-LN(2)/2)*AW133+(1-EXP(-LN(2)/2))/(LN(2)/2)*AQ134*AT134*VLOOKUP('Données projet'!$B$10,Paramètres!$A$1:$I$89,3,0)*0.475*44/12</f>
        <v>2.4598025962423578E-7</v>
      </c>
      <c r="AX134" s="21">
        <f t="shared" si="114"/>
        <v>69.234281763524351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-6.3550942286383367E-14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278.5296012747549</v>
      </c>
      <c r="T135" s="59">
        <f t="shared" si="142"/>
        <v>370.55343097937077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49.329112594391638</v>
      </c>
      <c r="AA135" s="21">
        <f>EXP(-LN(2)/25)*AA134+(1-EXP(-LN(2)/25))/(LN(2)/25)*Calculateur!V135*Calculateur!X135*VLOOKUP('Données projet'!$B$9,Paramètres!$A$1:$I$89,3,0)*0.475*44/12</f>
        <v>6.8125233176773197</v>
      </c>
      <c r="AB135" s="21">
        <f>EXP(-LN(2)/2)*AB134+(1-EXP(-LN(2)/2))/(LN(2)/2)*V135*Y135*VLOOKUP('Données projet'!$B$9,Paramètres!$A$1:$I$89,3,0)*0.475*44/12</f>
        <v>8.7877887255610725E-11</v>
      </c>
      <c r="AC135" s="22">
        <f t="shared" si="111"/>
        <v>56.141635912156836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-6.7984728957526396E-14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283.73369613548124</v>
      </c>
      <c r="AO135" s="59">
        <f t="shared" si="144"/>
        <v>249.77804091581208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58.828744266546124</v>
      </c>
      <c r="AV135" s="21">
        <f>EXP(-LN(2)/25)*AV134+(1-EXP(-LN(2)/25))/(LN(2)/25)*Calculateur!AQ135*Calculateur!AS135*VLOOKUP('Données projet'!$B$10,Paramètres!$A$1:$I$89,3,0)*0.475*44/12</f>
        <v>8.9765038132555119</v>
      </c>
      <c r="AW135" s="21">
        <f>EXP(-LN(2)/2)*AW134+(1-EXP(-LN(2)/2))/(LN(2)/2)*AQ135*AT135*VLOOKUP('Données projet'!$B$10,Paramètres!$A$1:$I$89,3,0)*0.475*44/12</f>
        <v>1.7393430961832464E-7</v>
      </c>
      <c r="AX135" s="21">
        <f t="shared" si="114"/>
        <v>67.80524825373594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-6.3550942286383367E-14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278.5296012747549</v>
      </c>
      <c r="T136" s="59">
        <f t="shared" si="142"/>
        <v>370.55343097937077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48.36179878420338</v>
      </c>
      <c r="AA136" s="21">
        <f>EXP(-LN(2)/25)*AA135+(1-EXP(-LN(2)/25))/(LN(2)/25)*Calculateur!V136*Calculateur!X136*VLOOKUP('Données projet'!$B$9,Paramètres!$A$1:$I$89,3,0)*0.475*44/12</f>
        <v>6.626234509300402</v>
      </c>
      <c r="AB136" s="21">
        <f>EXP(-LN(2)/2)*AB135+(1-EXP(-LN(2)/2))/(LN(2)/2)*V136*Y136*VLOOKUP('Données projet'!$B$9,Paramètres!$A$1:$I$89,3,0)*0.475*44/12</f>
        <v>6.2139049994789226E-11</v>
      </c>
      <c r="AC136" s="22">
        <f t="shared" si="111"/>
        <v>54.98803329356592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-6.7984728957526396E-14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283.73369613548124</v>
      </c>
      <c r="AO136" s="59">
        <f t="shared" si="144"/>
        <v>249.77804091581208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57.675148473470102</v>
      </c>
      <c r="AV136" s="21">
        <f>EXP(-LN(2)/25)*AV135+(1-EXP(-LN(2)/25))/(LN(2)/25)*Calculateur!AQ136*Calculateur!AS136*VLOOKUP('Données projet'!$B$10,Paramètres!$A$1:$I$89,3,0)*0.475*44/12</f>
        <v>8.7310408444282199</v>
      </c>
      <c r="AW136" s="21">
        <f>EXP(-LN(2)/2)*AW135+(1-EXP(-LN(2)/2))/(LN(2)/2)*AQ136*AT136*VLOOKUP('Données projet'!$B$10,Paramètres!$A$1:$I$89,3,0)*0.475*44/12</f>
        <v>1.2299012981211789E-7</v>
      </c>
      <c r="AX136" s="21">
        <f t="shared" si="114"/>
        <v>66.406189440888454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-6.3550942286383367E-14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278.5296012747549</v>
      </c>
      <c r="T137" s="59">
        <f t="shared" si="142"/>
        <v>370.55343097937077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47.413453407829749</v>
      </c>
      <c r="AA137" s="21">
        <f>EXP(-LN(2)/25)*AA136+(1-EXP(-LN(2)/25))/(LN(2)/25)*Calculateur!V137*Calculateur!X137*VLOOKUP('Données projet'!$B$9,Paramètres!$A$1:$I$89,3,0)*0.475*44/12</f>
        <v>6.4450397781850546</v>
      </c>
      <c r="AB137" s="21">
        <f>EXP(-LN(2)/2)*AB136+(1-EXP(-LN(2)/2))/(LN(2)/2)*V137*Y137*VLOOKUP('Données projet'!$B$9,Paramètres!$A$1:$I$89,3,0)*0.475*44/12</f>
        <v>4.3938943627805363E-11</v>
      </c>
      <c r="AC137" s="22">
        <f t="shared" si="111"/>
        <v>53.858493186058745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-6.7984728957526396E-14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283.73369613548124</v>
      </c>
      <c r="AO137" s="59">
        <f t="shared" si="144"/>
        <v>249.77804091581208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56.544173990272348</v>
      </c>
      <c r="AV137" s="21">
        <f>EXP(-LN(2)/25)*AV136+(1-EXP(-LN(2)/25))/(LN(2)/25)*Calculateur!AQ137*Calculateur!AS137*VLOOKUP('Données projet'!$B$10,Paramètres!$A$1:$I$89,3,0)*0.475*44/12</f>
        <v>8.4922900733918478</v>
      </c>
      <c r="AW137" s="21">
        <f>EXP(-LN(2)/2)*AW136+(1-EXP(-LN(2)/2))/(LN(2)/2)*AQ137*AT137*VLOOKUP('Données projet'!$B$10,Paramètres!$A$1:$I$89,3,0)*0.475*44/12</f>
        <v>8.6967154809162319E-8</v>
      </c>
      <c r="AX137" s="21">
        <f t="shared" si="114"/>
        <v>65.036464150631346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-6.3550942286383367E-14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278.5296012747549</v>
      </c>
      <c r="T138" s="59">
        <f t="shared" si="142"/>
        <v>370.55343097937077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46.48370450585324</v>
      </c>
      <c r="AA138" s="21">
        <f>EXP(-LN(2)/25)*AA137+(1-EXP(-LN(2)/25))/(LN(2)/25)*Calculateur!V138*Calculateur!X138*VLOOKUP('Données projet'!$B$9,Paramètres!$A$1:$I$89,3,0)*0.475*44/12</f>
        <v>6.2687998265206728</v>
      </c>
      <c r="AB138" s="21">
        <f>EXP(-LN(2)/2)*AB137+(1-EXP(-LN(2)/2))/(LN(2)/2)*V138*Y138*VLOOKUP('Données projet'!$B$9,Paramètres!$A$1:$I$89,3,0)*0.475*44/12</f>
        <v>3.1069524997394613E-11</v>
      </c>
      <c r="AC138" s="22">
        <f t="shared" si="111"/>
        <v>52.752504332404982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-6.7984728957526396E-14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283.73369613548124</v>
      </c>
      <c r="AO138" s="59">
        <f t="shared" si="144"/>
        <v>249.77804091581208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55.435377226863778</v>
      </c>
      <c r="AV138" s="21">
        <f>EXP(-LN(2)/25)*AV137+(1-EXP(-LN(2)/25))/(LN(2)/25)*Calculateur!AQ138*Calculateur!AS138*VLOOKUP('Données projet'!$B$10,Paramètres!$A$1:$I$89,3,0)*0.475*44/12</f>
        <v>8.260067954744823</v>
      </c>
      <c r="AW138" s="21">
        <f>EXP(-LN(2)/2)*AW137+(1-EXP(-LN(2)/2))/(LN(2)/2)*AQ138*AT138*VLOOKUP('Données projet'!$B$10,Paramètres!$A$1:$I$89,3,0)*0.475*44/12</f>
        <v>6.1495064906058944E-8</v>
      </c>
      <c r="AX138" s="21">
        <f t="shared" si="114"/>
        <v>63.69544524310367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-6.3550942286383367E-14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278.5296012747549</v>
      </c>
      <c r="T139" s="59">
        <f t="shared" si="142"/>
        <v>370.55343097937077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45.572187412753649</v>
      </c>
      <c r="AA139" s="21">
        <f>EXP(-LN(2)/25)*AA138+(1-EXP(-LN(2)/25))/(LN(2)/25)*Calculateur!V139*Calculateur!X139*VLOOKUP('Données projet'!$B$9,Paramètres!$A$1:$I$89,3,0)*0.475*44/12</f>
        <v>6.09737916560261</v>
      </c>
      <c r="AB139" s="21">
        <f>EXP(-LN(2)/2)*AB138+(1-EXP(-LN(2)/2))/(LN(2)/2)*V139*Y139*VLOOKUP('Données projet'!$B$9,Paramètres!$A$1:$I$89,3,0)*0.475*44/12</f>
        <v>2.1969471813902681E-11</v>
      </c>
      <c r="AC139" s="22">
        <f t="shared" si="111"/>
        <v>51.66956657837823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-6.7984728957526396E-14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283.73369613548124</v>
      </c>
      <c r="AO139" s="59">
        <f t="shared" si="144"/>
        <v>249.77804091581208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54.348323291686405</v>
      </c>
      <c r="AV139" s="21">
        <f>EXP(-LN(2)/25)*AV138+(1-EXP(-LN(2)/25))/(LN(2)/25)*Calculateur!AQ139*Calculateur!AS139*VLOOKUP('Données projet'!$B$10,Paramètres!$A$1:$I$89,3,0)*0.475*44/12</f>
        <v>8.0341959621442314</v>
      </c>
      <c r="AW139" s="21">
        <f>EXP(-LN(2)/2)*AW138+(1-EXP(-LN(2)/2))/(LN(2)/2)*AQ139*AT139*VLOOKUP('Données projet'!$B$10,Paramètres!$A$1:$I$89,3,0)*0.475*44/12</f>
        <v>4.348357740458116E-8</v>
      </c>
      <c r="AX139" s="21">
        <f t="shared" si="114"/>
        <v>62.382519297314211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-6.3550942286383367E-14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278.5296012747549</v>
      </c>
      <c r="T140" s="59">
        <f t="shared" si="142"/>
        <v>370.55343097937077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44.678544613879218</v>
      </c>
      <c r="AA140" s="21">
        <f>EXP(-LN(2)/25)*AA139+(1-EXP(-LN(2)/25))/(LN(2)/25)*Calculateur!V140*Calculateur!X140*VLOOKUP('Données projet'!$B$9,Paramètres!$A$1:$I$89,3,0)*0.475*44/12</f>
        <v>5.9306460116719721</v>
      </c>
      <c r="AB140" s="21">
        <f>EXP(-LN(2)/2)*AB139+(1-EXP(-LN(2)/2))/(LN(2)/2)*V140*Y140*VLOOKUP('Données projet'!$B$9,Paramètres!$A$1:$I$89,3,0)*0.475*44/12</f>
        <v>1.5534762498697307E-11</v>
      </c>
      <c r="AC140" s="22">
        <f t="shared" si="111"/>
        <v>50.609190625566725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-6.7984728957526396E-14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283.73369613548124</v>
      </c>
      <c r="AO140" s="59">
        <f t="shared" si="144"/>
        <v>249.77804091581208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53.28258582114043</v>
      </c>
      <c r="AV140" s="21">
        <f>EXP(-LN(2)/25)*AV139+(1-EXP(-LN(2)/25))/(LN(2)/25)*Calculateur!AQ140*Calculateur!AS140*VLOOKUP('Données projet'!$B$10,Paramètres!$A$1:$I$89,3,0)*0.475*44/12</f>
        <v>7.8145004510593941</v>
      </c>
      <c r="AW140" s="21">
        <f>EXP(-LN(2)/2)*AW139+(1-EXP(-LN(2)/2))/(LN(2)/2)*AQ140*AT140*VLOOKUP('Données projet'!$B$10,Paramètres!$A$1:$I$89,3,0)*0.475*44/12</f>
        <v>3.0747532453029472E-8</v>
      </c>
      <c r="AX140" s="21">
        <f t="shared" si="114"/>
        <v>61.097086302947353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-6.3550942286383367E-14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278.5296012747549</v>
      </c>
      <c r="T141" s="59">
        <f t="shared" si="142"/>
        <v>370.55343097937077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43.802425605222425</v>
      </c>
      <c r="AA141" s="21">
        <f>EXP(-LN(2)/25)*AA140+(1-EXP(-LN(2)/25))/(LN(2)/25)*Calculateur!V141*Calculateur!X141*VLOOKUP('Données projet'!$B$9,Paramètres!$A$1:$I$89,3,0)*0.475*44/12</f>
        <v>5.7684721846036826</v>
      </c>
      <c r="AB141" s="21">
        <f>EXP(-LN(2)/2)*AB140+(1-EXP(-LN(2)/2))/(LN(2)/2)*V141*Y141*VLOOKUP('Données projet'!$B$9,Paramètres!$A$1:$I$89,3,0)*0.475*44/12</f>
        <v>1.0984735906951341E-11</v>
      </c>
      <c r="AC141" s="22">
        <f t="shared" si="111"/>
        <v>49.57089778983709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-6.7984728957526396E-14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283.73369613548124</v>
      </c>
      <c r="AO141" s="59">
        <f t="shared" si="144"/>
        <v>249.77804091581208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52.237746812356193</v>
      </c>
      <c r="AV141" s="21">
        <f>EXP(-LN(2)/25)*AV140+(1-EXP(-LN(2)/25))/(LN(2)/25)*Calculateur!AQ141*Calculateur!AS141*VLOOKUP('Données projet'!$B$10,Paramètres!$A$1:$I$89,3,0)*0.475*44/12</f>
        <v>7.6008125252784566</v>
      </c>
      <c r="AW141" s="21">
        <f>EXP(-LN(2)/2)*AW140+(1-EXP(-LN(2)/2))/(LN(2)/2)*AQ141*AT141*VLOOKUP('Données projet'!$B$10,Paramètres!$A$1:$I$89,3,0)*0.475*44/12</f>
        <v>2.174178870229058E-8</v>
      </c>
      <c r="AX141" s="21">
        <f t="shared" si="114"/>
        <v>59.83855935937644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-6.3550942286383367E-14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278.5296012747549</v>
      </c>
      <c r="T142" s="59">
        <f t="shared" si="142"/>
        <v>370.55343097937077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42.943486755945564</v>
      </c>
      <c r="AA142" s="21">
        <f>EXP(-LN(2)/25)*AA141+(1-EXP(-LN(2)/25))/(LN(2)/25)*Calculateur!V142*Calculateur!X142*VLOOKUP('Données projet'!$B$9,Paramètres!$A$1:$I$89,3,0)*0.475*44/12</f>
        <v>5.6107330093649264</v>
      </c>
      <c r="AB142" s="21">
        <f>EXP(-LN(2)/2)*AB141+(1-EXP(-LN(2)/2))/(LN(2)/2)*V142*Y142*VLOOKUP('Données projet'!$B$9,Paramètres!$A$1:$I$89,3,0)*0.475*44/12</f>
        <v>7.7673812493486533E-12</v>
      </c>
      <c r="AC142" s="22">
        <f t="shared" si="111"/>
        <v>48.554219765318258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-6.7984728957526396E-14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283.73369613548124</v>
      </c>
      <c r="AO142" s="59">
        <f t="shared" si="144"/>
        <v>249.77804091581208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51.213396459245345</v>
      </c>
      <c r="AV142" s="21">
        <f>EXP(-LN(2)/25)*AV141+(1-EXP(-LN(2)/25))/(LN(2)/25)*Calculateur!AQ142*Calculateur!AS142*VLOOKUP('Données projet'!$B$10,Paramètres!$A$1:$I$89,3,0)*0.475*44/12</f>
        <v>7.3929679070653584</v>
      </c>
      <c r="AW142" s="21">
        <f>EXP(-LN(2)/2)*AW141+(1-EXP(-LN(2)/2))/(LN(2)/2)*AQ142*AT142*VLOOKUP('Données projet'!$B$10,Paramètres!$A$1:$I$89,3,0)*0.475*44/12</f>
        <v>1.5373766226514736E-8</v>
      </c>
      <c r="AX142" s="21">
        <f t="shared" si="114"/>
        <v>58.606364381684465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-6.3550942286383367E-14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278.5296012747549</v>
      </c>
      <c r="T143" s="59">
        <f t="shared" si="142"/>
        <v>370.55343097937077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42.101391173602053</v>
      </c>
      <c r="AA143" s="21">
        <f>EXP(-LN(2)/25)*AA142+(1-EXP(-LN(2)/25))/(LN(2)/25)*Calculateur!V143*Calculateur!X143*VLOOKUP('Données projet'!$B$9,Paramètres!$A$1:$I$89,3,0)*0.475*44/12</f>
        <v>5.4573072201682171</v>
      </c>
      <c r="AB143" s="21">
        <f>EXP(-LN(2)/2)*AB142+(1-EXP(-LN(2)/2))/(LN(2)/2)*V143*Y143*VLOOKUP('Données projet'!$B$9,Paramètres!$A$1:$I$89,3,0)*0.475*44/12</f>
        <v>5.4923679534756703E-12</v>
      </c>
      <c r="AC143" s="22">
        <f t="shared" si="111"/>
        <v>47.558698393775764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-6.7984728957526396E-14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283.73369613548124</v>
      </c>
      <c r="AO143" s="59">
        <f t="shared" si="144"/>
        <v>249.77804091581208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50.209132991766978</v>
      </c>
      <c r="AV143" s="21">
        <f>EXP(-LN(2)/25)*AV142+(1-EXP(-LN(2)/25))/(LN(2)/25)*Calculateur!AQ143*Calculateur!AS143*VLOOKUP('Données projet'!$B$10,Paramètres!$A$1:$I$89,3,0)*0.475*44/12</f>
        <v>7.1908068108673708</v>
      </c>
      <c r="AW143" s="21">
        <f>EXP(-LN(2)/2)*AW142+(1-EXP(-LN(2)/2))/(LN(2)/2)*AQ143*AT143*VLOOKUP('Données projet'!$B$10,Paramètres!$A$1:$I$89,3,0)*0.475*44/12</f>
        <v>1.087089435114529E-8</v>
      </c>
      <c r="AX143" s="21">
        <f t="shared" si="114"/>
        <v>57.399939813505242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-6.3550942286383367E-14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278.5296012747549</v>
      </c>
      <c r="T144" s="59">
        <f t="shared" si="142"/>
        <v>370.55343097937077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41.275808572000713</v>
      </c>
      <c r="AA144" s="21">
        <f>EXP(-LN(2)/25)*AA143+(1-EXP(-LN(2)/25))/(LN(2)/25)*Calculateur!V144*Calculateur!X144*VLOOKUP('Données projet'!$B$9,Paramètres!$A$1:$I$89,3,0)*0.475*44/12</f>
        <v>5.3080768672454033</v>
      </c>
      <c r="AB144" s="21">
        <f>EXP(-LN(2)/2)*AB143+(1-EXP(-LN(2)/2))/(LN(2)/2)*V144*Y144*VLOOKUP('Données projet'!$B$9,Paramètres!$A$1:$I$89,3,0)*0.475*44/12</f>
        <v>3.8836906246743267E-12</v>
      </c>
      <c r="AC144" s="22">
        <f t="shared" si="111"/>
        <v>46.583885439250004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-6.7984728957526396E-14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283.73369613548124</v>
      </c>
      <c r="AO144" s="59">
        <f t="shared" si="144"/>
        <v>249.77804091581208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49.224562518345628</v>
      </c>
      <c r="AV144" s="21">
        <f>EXP(-LN(2)/25)*AV143+(1-EXP(-LN(2)/25))/(LN(2)/25)*Calculateur!AQ144*Calculateur!AS144*VLOOKUP('Données projet'!$B$10,Paramètres!$A$1:$I$89,3,0)*0.475*44/12</f>
        <v>6.9941738204761075</v>
      </c>
      <c r="AW144" s="21">
        <f>EXP(-LN(2)/2)*AW143+(1-EXP(-LN(2)/2))/(LN(2)/2)*AQ144*AT144*VLOOKUP('Données projet'!$B$10,Paramètres!$A$1:$I$89,3,0)*0.475*44/12</f>
        <v>7.686883113257368E-9</v>
      </c>
      <c r="AX144" s="21">
        <f t="shared" si="114"/>
        <v>56.218736346508621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-6.3550942286383367E-14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278.5296012747549</v>
      </c>
      <c r="T145" s="59">
        <f t="shared" si="142"/>
        <v>370.55343097937077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40.466415141661109</v>
      </c>
      <c r="AA145" s="21">
        <f>EXP(-LN(2)/25)*AA144+(1-EXP(-LN(2)/25))/(LN(2)/25)*Calculateur!V145*Calculateur!X145*VLOOKUP('Données projet'!$B$9,Paramètres!$A$1:$I$89,3,0)*0.475*44/12</f>
        <v>5.1629272261709467</v>
      </c>
      <c r="AB145" s="21">
        <f>EXP(-LN(2)/2)*AB144+(1-EXP(-LN(2)/2))/(LN(2)/2)*V145*Y145*VLOOKUP('Données projet'!$B$9,Paramètres!$A$1:$I$89,3,0)*0.475*44/12</f>
        <v>2.7461839767378352E-12</v>
      </c>
      <c r="AC145" s="22">
        <f t="shared" si="111"/>
        <v>45.629342367834795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-6.7984728957526396E-14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283.73369613548124</v>
      </c>
      <c r="AO145" s="59">
        <f t="shared" si="144"/>
        <v>249.77804091581208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48.259298871379379</v>
      </c>
      <c r="AV145" s="21">
        <f>EXP(-LN(2)/25)*AV144+(1-EXP(-LN(2)/25))/(LN(2)/25)*Calculateur!AQ145*Calculateur!AS145*VLOOKUP('Données projet'!$B$10,Paramètres!$A$1:$I$89,3,0)*0.475*44/12</f>
        <v>6.8029177695475722</v>
      </c>
      <c r="AW145" s="21">
        <f>EXP(-LN(2)/2)*AW144+(1-EXP(-LN(2)/2))/(LN(2)/2)*AQ145*AT145*VLOOKUP('Données projet'!$B$10,Paramètres!$A$1:$I$89,3,0)*0.475*44/12</f>
        <v>5.4354471755726449E-9</v>
      </c>
      <c r="AX145" s="21">
        <f t="shared" si="114"/>
        <v>55.062216646362394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-6.3550942286383367E-14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278.5296012747549</v>
      </c>
      <c r="T146" s="59">
        <f t="shared" si="142"/>
        <v>370.55343097937077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39.672893422809217</v>
      </c>
      <c r="AA146" s="21">
        <f>EXP(-LN(2)/25)*AA145+(1-EXP(-LN(2)/25))/(LN(2)/25)*Calculateur!V146*Calculateur!X146*VLOOKUP('Données projet'!$B$9,Paramètres!$A$1:$I$89,3,0)*0.475*44/12</f>
        <v>5.0217467096647592</v>
      </c>
      <c r="AB146" s="21">
        <f>EXP(-LN(2)/2)*AB145+(1-EXP(-LN(2)/2))/(LN(2)/2)*V146*Y146*VLOOKUP('Données projet'!$B$9,Paramètres!$A$1:$I$89,3,0)*0.475*44/12</f>
        <v>1.9418453123371633E-12</v>
      </c>
      <c r="AC146" s="22">
        <f t="shared" si="111"/>
        <v>44.694640132475918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-6.7984728957526396E-14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283.73369613548124</v>
      </c>
      <c r="AO146" s="59">
        <f t="shared" si="144"/>
        <v>249.77804091581208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47.312963455777449</v>
      </c>
      <c r="AV146" s="21">
        <f>EXP(-LN(2)/25)*AV145+(1-EXP(-LN(2)/25))/(LN(2)/25)*Calculateur!AQ146*Calculateur!AS146*VLOOKUP('Données projet'!$B$10,Paramètres!$A$1:$I$89,3,0)*0.475*44/12</f>
        <v>6.616891625389397</v>
      </c>
      <c r="AW146" s="21">
        <f>EXP(-LN(2)/2)*AW145+(1-EXP(-LN(2)/2))/(LN(2)/2)*AQ146*AT146*VLOOKUP('Données projet'!$B$10,Paramètres!$A$1:$I$89,3,0)*0.475*44/12</f>
        <v>3.843441556628684E-9</v>
      </c>
      <c r="AX146" s="21">
        <f t="shared" si="114"/>
        <v>53.929855085010288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-6.3550942286383367E-14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278.5296012747549</v>
      </c>
      <c r="T147" s="59">
        <f t="shared" si="142"/>
        <v>370.55343097937077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38.894932180863556</v>
      </c>
      <c r="AA147" s="21">
        <f>EXP(-LN(2)/25)*AA146+(1-EXP(-LN(2)/25))/(LN(2)/25)*Calculateur!V147*Calculateur!X147*VLOOKUP('Données projet'!$B$9,Paramètres!$A$1:$I$89,3,0)*0.475*44/12</f>
        <v>4.8844267818067939</v>
      </c>
      <c r="AB147" s="21">
        <f>EXP(-LN(2)/2)*AB146+(1-EXP(-LN(2)/2))/(LN(2)/2)*V147*Y147*VLOOKUP('Données projet'!$B$9,Paramètres!$A$1:$I$89,3,0)*0.475*44/12</f>
        <v>1.3730919883689176E-12</v>
      </c>
      <c r="AC147" s="22">
        <f t="shared" si="111"/>
        <v>43.779358962671722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-6.7984728957526396E-14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283.73369613548124</v>
      </c>
      <c r="AO147" s="59">
        <f t="shared" si="144"/>
        <v>249.77804091581208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46.385185100467865</v>
      </c>
      <c r="AV147" s="21">
        <f>EXP(-LN(2)/25)*AV146+(1-EXP(-LN(2)/25))/(LN(2)/25)*Calculateur!AQ147*Calculateur!AS147*VLOOKUP('Données projet'!$B$10,Paramètres!$A$1:$I$89,3,0)*0.475*44/12</f>
        <v>6.4359523759259165</v>
      </c>
      <c r="AW147" s="21">
        <f>EXP(-LN(2)/2)*AW146+(1-EXP(-LN(2)/2))/(LN(2)/2)*AQ147*AT147*VLOOKUP('Données projet'!$B$10,Paramètres!$A$1:$I$89,3,0)*0.475*44/12</f>
        <v>2.7177235877863225E-9</v>
      </c>
      <c r="AX147" s="21">
        <f t="shared" si="114"/>
        <v>52.821137479111506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-6.3550942286383367E-14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278.5296012747549</v>
      </c>
      <c r="T148" s="59">
        <f t="shared" si="142"/>
        <v>370.55343097937077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38.132226284362943</v>
      </c>
      <c r="AA148" s="21">
        <f>EXP(-LN(2)/25)*AA147+(1-EXP(-LN(2)/25))/(LN(2)/25)*Calculateur!V148*Calculateur!X148*VLOOKUP('Données projet'!$B$9,Paramètres!$A$1:$I$89,3,0)*0.475*44/12</f>
        <v>4.7508618745974465</v>
      </c>
      <c r="AB148" s="21">
        <f>EXP(-LN(2)/2)*AB147+(1-EXP(-LN(2)/2))/(LN(2)/2)*V148*Y148*VLOOKUP('Données projet'!$B$9,Paramètres!$A$1:$I$89,3,0)*0.475*44/12</f>
        <v>9.7092265616858166E-13</v>
      </c>
      <c r="AC148" s="22">
        <f t="shared" si="111"/>
        <v>42.883088158961364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-6.7984728957526396E-14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283.73369613548124</v>
      </c>
      <c r="AO148" s="59">
        <f t="shared" si="144"/>
        <v>249.77804091581208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45.475599912816982</v>
      </c>
      <c r="AV148" s="21">
        <f>EXP(-LN(2)/25)*AV147+(1-EXP(-LN(2)/25))/(LN(2)/25)*Calculateur!AQ148*Calculateur!AS148*VLOOKUP('Données projet'!$B$10,Paramètres!$A$1:$I$89,3,0)*0.475*44/12</f>
        <v>6.2599609197541968</v>
      </c>
      <c r="AW148" s="21">
        <f>EXP(-LN(2)/2)*AW147+(1-EXP(-LN(2)/2))/(LN(2)/2)*AQ148*AT148*VLOOKUP('Données projet'!$B$10,Paramètres!$A$1:$I$89,3,0)*0.475*44/12</f>
        <v>1.921720778314342E-9</v>
      </c>
      <c r="AX148" s="21">
        <f t="shared" si="114"/>
        <v>51.735560834492901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-6.3550942286383367E-14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278.5296012747549</v>
      </c>
      <c r="T149" s="59">
        <f t="shared" si="142"/>
        <v>370.55343097937077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37.384476585288049</v>
      </c>
      <c r="AA149" s="21">
        <f>EXP(-LN(2)/25)*AA148+(1-EXP(-LN(2)/25))/(LN(2)/25)*Calculateur!V149*Calculateur!X149*VLOOKUP('Données projet'!$B$9,Paramètres!$A$1:$I$89,3,0)*0.475*44/12</f>
        <v>4.6209493067996119</v>
      </c>
      <c r="AB149" s="21">
        <f>EXP(-LN(2)/2)*AB148+(1-EXP(-LN(2)/2))/(LN(2)/2)*V149*Y149*VLOOKUP('Données projet'!$B$9,Paramètres!$A$1:$I$89,3,0)*0.475*44/12</f>
        <v>6.8654599418445879E-13</v>
      </c>
      <c r="AC149" s="22">
        <f t="shared" si="111"/>
        <v>42.005425892088347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-6.7984728957526396E-14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283.73369613548124</v>
      </c>
      <c r="AO149" s="59">
        <f t="shared" si="144"/>
        <v>249.77804091581208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44.58385113590375</v>
      </c>
      <c r="AV149" s="21">
        <f>EXP(-LN(2)/25)*AV148+(1-EXP(-LN(2)/25))/(LN(2)/25)*Calculateur!AQ149*Calculateur!AS149*VLOOKUP('Données projet'!$B$10,Paramètres!$A$1:$I$89,3,0)*0.475*44/12</f>
        <v>6.0887819592064805</v>
      </c>
      <c r="AW149" s="21">
        <f>EXP(-LN(2)/2)*AW148+(1-EXP(-LN(2)/2))/(LN(2)/2)*AQ149*AT149*VLOOKUP('Données projet'!$B$10,Paramètres!$A$1:$I$89,3,0)*0.475*44/12</f>
        <v>1.3588617938931612E-9</v>
      </c>
      <c r="AX149" s="21">
        <f t="shared" si="114"/>
        <v>50.672633096469092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-6.3550942286383367E-14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278.5296012747549</v>
      </c>
      <c r="T150" s="59">
        <f t="shared" si="142"/>
        <v>370.55343097937077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36.651389801729728</v>
      </c>
      <c r="AA150" s="21">
        <f>EXP(-LN(2)/25)*AA149+(1-EXP(-LN(2)/25))/(LN(2)/25)*Calculateur!V150*Calculateur!X150*VLOOKUP('Données projet'!$B$9,Paramètres!$A$1:$I$89,3,0)*0.475*44/12</f>
        <v>4.4945892050000138</v>
      </c>
      <c r="AB150" s="21">
        <f>EXP(-LN(2)/2)*AB149+(1-EXP(-LN(2)/2))/(LN(2)/2)*V150*Y150*VLOOKUP('Données projet'!$B$9,Paramètres!$A$1:$I$89,3,0)*0.475*44/12</f>
        <v>4.8546132808429083E-13</v>
      </c>
      <c r="AC150" s="22">
        <f t="shared" si="111"/>
        <v>41.145979006730222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-6.7984728957526396E-14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283.73369613548124</v>
      </c>
      <c r="AO150" s="59">
        <f t="shared" si="144"/>
        <v>249.77804091581208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43.709589008592737</v>
      </c>
      <c r="AV150" s="21">
        <f>EXP(-LN(2)/25)*AV149+(1-EXP(-LN(2)/25))/(LN(2)/25)*Calculateur!AQ150*Calculateur!AS150*VLOOKUP('Données projet'!$B$10,Paramètres!$A$1:$I$89,3,0)*0.475*44/12</f>
        <v>5.922283896336852</v>
      </c>
      <c r="AW150" s="21">
        <f>EXP(-LN(2)/2)*AW149+(1-EXP(-LN(2)/2))/(LN(2)/2)*AQ150*AT150*VLOOKUP('Données projet'!$B$10,Paramètres!$A$1:$I$89,3,0)*0.475*44/12</f>
        <v>9.60860389157171E-10</v>
      </c>
      <c r="AX150" s="21">
        <f t="shared" si="114"/>
        <v>49.631872905890447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-6.3550942286383367E-14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278.5296012747549</v>
      </c>
      <c r="T151" s="59">
        <f t="shared" si="142"/>
        <v>370.55343097937077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35.932678402858201</v>
      </c>
      <c r="AA151" s="21">
        <f>EXP(-LN(2)/25)*AA150+(1-EXP(-LN(2)/25))/(LN(2)/25)*Calculateur!V151*Calculateur!X151*VLOOKUP('Données projet'!$B$9,Paramètres!$A$1:$I$89,3,0)*0.475*44/12</f>
        <v>4.3716844268291144</v>
      </c>
      <c r="AB151" s="21">
        <f>EXP(-LN(2)/2)*AB150+(1-EXP(-LN(2)/2))/(LN(2)/2)*V151*Y151*VLOOKUP('Données projet'!$B$9,Paramètres!$A$1:$I$89,3,0)*0.475*44/12</f>
        <v>3.432729970922294E-13</v>
      </c>
      <c r="AC151" s="22">
        <f t="shared" si="111"/>
        <v>40.304362829687655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-6.7984728957526396E-14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283.73369613548124</v>
      </c>
      <c r="AO151" s="59">
        <f t="shared" si="144"/>
        <v>249.77804091581208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42.85247062835105</v>
      </c>
      <c r="AV151" s="21">
        <f>EXP(-LN(2)/25)*AV150+(1-EXP(-LN(2)/25))/(LN(2)/25)*Calculateur!AQ151*Calculateur!AS151*VLOOKUP('Données projet'!$B$10,Paramètres!$A$1:$I$89,3,0)*0.475*44/12</f>
        <v>5.7603387317521459</v>
      </c>
      <c r="AW151" s="21">
        <f>EXP(-LN(2)/2)*AW150+(1-EXP(-LN(2)/2))/(LN(2)/2)*AQ151*AT151*VLOOKUP('Données projet'!$B$10,Paramètres!$A$1:$I$89,3,0)*0.475*44/12</f>
        <v>6.7943089694658062E-10</v>
      </c>
      <c r="AX151" s="21">
        <f t="shared" si="114"/>
        <v>48.612809360782627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-6.3550942286383367E-14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278.5296012747549</v>
      </c>
      <c r="T152" s="59">
        <f t="shared" si="142"/>
        <v>370.55343097937077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35.228060496147876</v>
      </c>
      <c r="AA152" s="21">
        <f>EXP(-LN(2)/25)*AA151+(1-EXP(-LN(2)/25))/(LN(2)/25)*Calculateur!V152*Calculateur!X152*VLOOKUP('Données projet'!$B$9,Paramètres!$A$1:$I$89,3,0)*0.475*44/12</f>
        <v>4.2521404862805801</v>
      </c>
      <c r="AB152" s="21">
        <f>EXP(-LN(2)/2)*AB151+(1-EXP(-LN(2)/2))/(LN(2)/2)*V152*Y152*VLOOKUP('Données projet'!$B$9,Paramètres!$A$1:$I$89,3,0)*0.475*44/12</f>
        <v>2.4273066404214542E-13</v>
      </c>
      <c r="AC152" s="22">
        <f t="shared" si="111"/>
        <v>39.480200982428698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-6.7984728957526396E-14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283.73369613548124</v>
      </c>
      <c r="AO152" s="59">
        <f t="shared" si="144"/>
        <v>249.77804091581208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42.012159816755315</v>
      </c>
      <c r="AV152" s="21">
        <f>EXP(-LN(2)/25)*AV151+(1-EXP(-LN(2)/25))/(LN(2)/25)*Calculateur!AQ152*Calculateur!AS152*VLOOKUP('Données projet'!$B$10,Paramètres!$A$1:$I$89,3,0)*0.475*44/12</f>
        <v>5.6028219662093353</v>
      </c>
      <c r="AW152" s="21">
        <f>EXP(-LN(2)/2)*AW151+(1-EXP(-LN(2)/2))/(LN(2)/2)*AQ152*AT152*VLOOKUP('Données projet'!$B$10,Paramètres!$A$1:$I$89,3,0)*0.475*44/12</f>
        <v>4.804301945785855E-10</v>
      </c>
      <c r="AX152" s="21">
        <f t="shared" si="114"/>
        <v>47.614981783445081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-6.3550942286383367E-14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278.5296012747549</v>
      </c>
      <c r="T153" s="59">
        <f t="shared" si="142"/>
        <v>370.55343097937077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34.537259716813651</v>
      </c>
      <c r="AA153" s="21">
        <f>EXP(-LN(2)/25)*AA152+(1-EXP(-LN(2)/25))/(LN(2)/25)*Calculateur!V153*Calculateur!X153*VLOOKUP('Données projet'!$B$9,Paramètres!$A$1:$I$89,3,0)*0.475*44/12</f>
        <v>4.1358654810728881</v>
      </c>
      <c r="AB153" s="21">
        <f>EXP(-LN(2)/2)*AB152+(1-EXP(-LN(2)/2))/(LN(2)/2)*V153*Y153*VLOOKUP('Données projet'!$B$9,Paramètres!$A$1:$I$89,3,0)*0.475*44/12</f>
        <v>1.716364985461147E-13</v>
      </c>
      <c r="AC153" s="22">
        <f t="shared" si="111"/>
        <v>38.673125197886712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-6.7984728957526396E-14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283.73369613548124</v>
      </c>
      <c r="AO153" s="59">
        <f t="shared" si="144"/>
        <v>249.77804091581208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41.188326987635982</v>
      </c>
      <c r="AV153" s="21">
        <f>EXP(-LN(2)/25)*AV152+(1-EXP(-LN(2)/25))/(LN(2)/25)*Calculateur!AQ153*Calculateur!AS153*VLOOKUP('Données projet'!$B$10,Paramètres!$A$1:$I$89,3,0)*0.475*44/12</f>
        <v>5.4496125049037394</v>
      </c>
      <c r="AW153" s="21">
        <f>EXP(-LN(2)/2)*AW152+(1-EXP(-LN(2)/2))/(LN(2)/2)*AQ153*AT153*VLOOKUP('Données projet'!$B$10,Paramètres!$A$1:$I$89,3,0)*0.475*44/12</f>
        <v>3.3971544847329031E-10</v>
      </c>
      <c r="AX153" s="21">
        <f t="shared" si="114"/>
        <v>46.63793949287944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-6.3550942286383367E-14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278.5296012747549</v>
      </c>
      <c r="T154" s="59">
        <f t="shared" si="142"/>
        <v>370.55343097937077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33.860005119415305</v>
      </c>
      <c r="AA154" s="21">
        <f>EXP(-LN(2)/25)*AA153+(1-EXP(-LN(2)/25))/(LN(2)/25)*Calculateur!V154*Calculateur!X154*VLOOKUP('Données projet'!$B$9,Paramètres!$A$1:$I$89,3,0)*0.475*44/12</f>
        <v>4.0227700219972373</v>
      </c>
      <c r="AB154" s="21">
        <f>EXP(-LN(2)/2)*AB153+(1-EXP(-LN(2)/2))/(LN(2)/2)*V154*Y154*VLOOKUP('Données projet'!$B$9,Paramètres!$A$1:$I$89,3,0)*0.475*44/12</f>
        <v>1.2136533202107271E-13</v>
      </c>
      <c r="AC154" s="22">
        <f t="shared" ref="AC154:AC203" si="163">SUM(Z154:AB154)</f>
        <v>37.882775141412665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-6.7984728957526396E-14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283.73369613548124</v>
      </c>
      <c r="AO154" s="59">
        <f t="shared" si="144"/>
        <v>249.77804091581208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40.380649017807272</v>
      </c>
      <c r="AV154" s="21">
        <f>EXP(-LN(2)/25)*AV153+(1-EXP(-LN(2)/25))/(LN(2)/25)*Calculateur!AQ154*Calculateur!AS154*VLOOKUP('Données projet'!$B$10,Paramètres!$A$1:$I$89,3,0)*0.475*44/12</f>
        <v>5.3005925643744805</v>
      </c>
      <c r="AW154" s="21">
        <f>EXP(-LN(2)/2)*AW153+(1-EXP(-LN(2)/2))/(LN(2)/2)*AQ154*AT154*VLOOKUP('Données projet'!$B$10,Paramètres!$A$1:$I$89,3,0)*0.475*44/12</f>
        <v>2.4021509728929275E-10</v>
      </c>
      <c r="AX154" s="21">
        <f t="shared" ref="AX154:AX203" si="166">SUM(AU154:AW154)</f>
        <v>45.681241582421968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-6.3550942286383367E-14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278.5296012747549</v>
      </c>
      <c r="T155" s="59">
        <f t="shared" si="142"/>
        <v>370.55343097937077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33.19603107158742</v>
      </c>
      <c r="AA155" s="21">
        <f>EXP(-LN(2)/25)*AA154+(1-EXP(-LN(2)/25))/(LN(2)/25)*Calculateur!V155*Calculateur!X155*VLOOKUP('Données projet'!$B$9,Paramètres!$A$1:$I$89,3,0)*0.475*44/12</f>
        <v>3.9127671641974415</v>
      </c>
      <c r="AB155" s="21">
        <f>EXP(-LN(2)/2)*AB154+(1-EXP(-LN(2)/2))/(LN(2)/2)*V155*Y155*VLOOKUP('Données projet'!$B$9,Paramètres!$A$1:$I$89,3,0)*0.475*44/12</f>
        <v>8.5818249273057349E-14</v>
      </c>
      <c r="AC155" s="22">
        <f t="shared" si="163"/>
        <v>37.108798235784946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-6.7984728957526396E-14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283.73369613548124</v>
      </c>
      <c r="AO155" s="59">
        <f t="shared" si="144"/>
        <v>249.77804091581208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39.588809120331987</v>
      </c>
      <c r="AV155" s="21">
        <f>EXP(-LN(2)/25)*AV154+(1-EXP(-LN(2)/25))/(LN(2)/25)*Calculateur!AQ155*Calculateur!AS155*VLOOKUP('Données projet'!$B$10,Paramètres!$A$1:$I$89,3,0)*0.475*44/12</f>
        <v>5.1556475819556118</v>
      </c>
      <c r="AW155" s="21">
        <f>EXP(-LN(2)/2)*AW154+(1-EXP(-LN(2)/2))/(LN(2)/2)*AQ155*AT155*VLOOKUP('Données projet'!$B$10,Paramètres!$A$1:$I$89,3,0)*0.475*44/12</f>
        <v>1.6985772423664515E-10</v>
      </c>
      <c r="AX155" s="21">
        <f t="shared" si="166"/>
        <v>44.744456702457455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-6.3550942286383367E-14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278.5296012747549</v>
      </c>
      <c r="T156" s="59">
        <f t="shared" si="142"/>
        <v>370.55343097937077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32.545077149853263</v>
      </c>
      <c r="AA156" s="21">
        <f>EXP(-LN(2)/25)*AA155+(1-EXP(-LN(2)/25))/(LN(2)/25)*Calculateur!V156*Calculateur!X156*VLOOKUP('Données projet'!$B$9,Paramètres!$A$1:$I$89,3,0)*0.475*44/12</f>
        <v>3.8057723403289803</v>
      </c>
      <c r="AB156" s="21">
        <f>EXP(-LN(2)/2)*AB155+(1-EXP(-LN(2)/2))/(LN(2)/2)*V156*Y156*VLOOKUP('Données projet'!$B$9,Paramètres!$A$1:$I$89,3,0)*0.475*44/12</f>
        <v>6.0682666010536354E-14</v>
      </c>
      <c r="AC156" s="22">
        <f t="shared" si="163"/>
        <v>36.350849490182306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-6.7984728957526396E-14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283.73369613548124</v>
      </c>
      <c r="AO156" s="59">
        <f t="shared" si="144"/>
        <v>249.77804091581208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38.81249672027154</v>
      </c>
      <c r="AV156" s="21">
        <f>EXP(-LN(2)/25)*AV155+(1-EXP(-LN(2)/25))/(LN(2)/25)*Calculateur!AQ156*Calculateur!AS156*VLOOKUP('Données projet'!$B$10,Paramètres!$A$1:$I$89,3,0)*0.475*44/12</f>
        <v>5.0146661277033129</v>
      </c>
      <c r="AW156" s="21">
        <f>EXP(-LN(2)/2)*AW155+(1-EXP(-LN(2)/2))/(LN(2)/2)*AQ156*AT156*VLOOKUP('Données projet'!$B$10,Paramètres!$A$1:$I$89,3,0)*0.475*44/12</f>
        <v>1.2010754864464638E-10</v>
      </c>
      <c r="AX156" s="21">
        <f t="shared" si="166"/>
        <v>43.827162848094964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-6.3550942286383367E-14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278.5296012747549</v>
      </c>
      <c r="T157" s="59">
        <f t="shared" si="142"/>
        <v>370.55343097937077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31.906888037481625</v>
      </c>
      <c r="AA157" s="21">
        <f>EXP(-LN(2)/25)*AA156+(1-EXP(-LN(2)/25))/(LN(2)/25)*Calculateur!V157*Calculateur!X157*VLOOKUP('Données projet'!$B$9,Paramètres!$A$1:$I$89,3,0)*0.475*44/12</f>
        <v>3.7017032955458151</v>
      </c>
      <c r="AB157" s="21">
        <f>EXP(-LN(2)/2)*AB156+(1-EXP(-LN(2)/2))/(LN(2)/2)*V157*Y157*VLOOKUP('Données projet'!$B$9,Paramètres!$A$1:$I$89,3,0)*0.475*44/12</f>
        <v>4.2909124636528675E-14</v>
      </c>
      <c r="AC157" s="22">
        <f t="shared" si="163"/>
        <v>35.608591333027483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-6.7984728957526396E-14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283.73369613548124</v>
      </c>
      <c r="AO157" s="59">
        <f t="shared" si="144"/>
        <v>249.77804091581208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38.051407332872472</v>
      </c>
      <c r="AV157" s="21">
        <f>EXP(-LN(2)/25)*AV156+(1-EXP(-LN(2)/25))/(LN(2)/25)*Calculateur!AQ157*Calculateur!AS157*VLOOKUP('Données projet'!$B$10,Paramètres!$A$1:$I$89,3,0)*0.475*44/12</f>
        <v>4.8775398187314352</v>
      </c>
      <c r="AW157" s="21">
        <f>EXP(-LN(2)/2)*AW156+(1-EXP(-LN(2)/2))/(LN(2)/2)*AQ157*AT157*VLOOKUP('Données projet'!$B$10,Paramètres!$A$1:$I$89,3,0)*0.475*44/12</f>
        <v>8.4928862118322577E-11</v>
      </c>
      <c r="AX157" s="21">
        <f t="shared" si="166"/>
        <v>42.928947151688838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-6.3550942286383367E-14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278.5296012747549</v>
      </c>
      <c r="T158" s="59">
        <f t="shared" si="142"/>
        <v>370.55343097937077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31.281213424346671</v>
      </c>
      <c r="AA158" s="21">
        <f>EXP(-LN(2)/25)*AA157+(1-EXP(-LN(2)/25))/(LN(2)/25)*Calculateur!V158*Calculateur!X158*VLOOKUP('Données projet'!$B$9,Paramètres!$A$1:$I$89,3,0)*0.475*44/12</f>
        <v>3.600480024264999</v>
      </c>
      <c r="AB158" s="21">
        <f>EXP(-LN(2)/2)*AB157+(1-EXP(-LN(2)/2))/(LN(2)/2)*V158*Y158*VLOOKUP('Données projet'!$B$9,Paramètres!$A$1:$I$89,3,0)*0.475*44/12</f>
        <v>3.0341333005268177E-14</v>
      </c>
      <c r="AC158" s="22">
        <f t="shared" si="163"/>
        <v>34.881693448611699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-6.7984728957526396E-14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283.73369613548124</v>
      </c>
      <c r="AO158" s="59">
        <f t="shared" si="144"/>
        <v>249.77804091581208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37.305242444141612</v>
      </c>
      <c r="AV158" s="21">
        <f>EXP(-LN(2)/25)*AV157+(1-EXP(-LN(2)/25))/(LN(2)/25)*Calculateur!AQ158*Calculateur!AS158*VLOOKUP('Données projet'!$B$10,Paramètres!$A$1:$I$89,3,0)*0.475*44/12</f>
        <v>4.7441632358895527</v>
      </c>
      <c r="AW158" s="21">
        <f>EXP(-LN(2)/2)*AW157+(1-EXP(-LN(2)/2))/(LN(2)/2)*AQ158*AT158*VLOOKUP('Données projet'!$B$10,Paramètres!$A$1:$I$89,3,0)*0.475*44/12</f>
        <v>6.0053774322323188E-11</v>
      </c>
      <c r="AX158" s="21">
        <f t="shared" si="166"/>
        <v>42.049405680091219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-6.3550942286383367E-14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278.5296012747549</v>
      </c>
      <c r="T159" s="59">
        <f t="shared" si="142"/>
        <v>370.55343097937077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30.667807908751463</v>
      </c>
      <c r="AA159" s="21">
        <f>EXP(-LN(2)/25)*AA158+(1-EXP(-LN(2)/25))/(LN(2)/25)*Calculateur!V159*Calculateur!X159*VLOOKUP('Données projet'!$B$9,Paramètres!$A$1:$I$89,3,0)*0.475*44/12</f>
        <v>3.502024708660457</v>
      </c>
      <c r="AB159" s="21">
        <f>EXP(-LN(2)/2)*AB158+(1-EXP(-LN(2)/2))/(LN(2)/2)*V159*Y159*VLOOKUP('Données projet'!$B$9,Paramètres!$A$1:$I$89,3,0)*0.475*44/12</f>
        <v>2.1454562318264337E-14</v>
      </c>
      <c r="AC159" s="22">
        <f t="shared" si="163"/>
        <v>34.169832617411942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-6.7984728957526396E-14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283.73369613548124</v>
      </c>
      <c r="AO159" s="59">
        <f t="shared" si="144"/>
        <v>249.77804091581208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36.573709393763117</v>
      </c>
      <c r="AV159" s="21">
        <f>EXP(-LN(2)/25)*AV158+(1-EXP(-LN(2)/25))/(LN(2)/25)*Calculateur!AQ159*Calculateur!AS159*VLOOKUP('Données projet'!$B$10,Paramètres!$A$1:$I$89,3,0)*0.475*44/12</f>
        <v>4.6144338427194516</v>
      </c>
      <c r="AW159" s="21">
        <f>EXP(-LN(2)/2)*AW158+(1-EXP(-LN(2)/2))/(LN(2)/2)*AQ159*AT159*VLOOKUP('Données projet'!$B$10,Paramètres!$A$1:$I$89,3,0)*0.475*44/12</f>
        <v>4.2464431059161289E-11</v>
      </c>
      <c r="AX159" s="21">
        <f t="shared" si="166"/>
        <v>41.188143236525029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-6.3550942286383367E-14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278.5296012747549</v>
      </c>
      <c r="T160" s="59">
        <f t="shared" si="142"/>
        <v>370.55343097937077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30.066430901176656</v>
      </c>
      <c r="AA160" s="21">
        <f>EXP(-LN(2)/25)*AA159+(1-EXP(-LN(2)/25))/(LN(2)/25)*Calculateur!V160*Calculateur!X160*VLOOKUP('Données projet'!$B$9,Paramètres!$A$1:$I$89,3,0)*0.475*44/12</f>
        <v>3.4062616588386612</v>
      </c>
      <c r="AB160" s="21">
        <f>EXP(-LN(2)/2)*AB159+(1-EXP(-LN(2)/2))/(LN(2)/2)*V160*Y160*VLOOKUP('Données projet'!$B$9,Paramètres!$A$1:$I$89,3,0)*0.475*44/12</f>
        <v>1.5170666502634088E-14</v>
      </c>
      <c r="AC160" s="22">
        <f t="shared" si="163"/>
        <v>33.472692560015332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-6.7984728957526396E-14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283.73369613548124</v>
      </c>
      <c r="AO160" s="59">
        <f t="shared" si="144"/>
        <v>249.77804091581208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35.856521260311446</v>
      </c>
      <c r="AV160" s="21">
        <f>EXP(-LN(2)/25)*AV159+(1-EXP(-LN(2)/25))/(LN(2)/25)*Calculateur!AQ160*Calculateur!AS160*VLOOKUP('Données projet'!$B$10,Paramètres!$A$1:$I$89,3,0)*0.475*44/12</f>
        <v>4.4882519066277586</v>
      </c>
      <c r="AW160" s="21">
        <f>EXP(-LN(2)/2)*AW159+(1-EXP(-LN(2)/2))/(LN(2)/2)*AQ160*AT160*VLOOKUP('Données projet'!$B$10,Paramètres!$A$1:$I$89,3,0)*0.475*44/12</f>
        <v>3.0026887161161594E-11</v>
      </c>
      <c r="AX160" s="21">
        <f t="shared" si="166"/>
        <v>40.344773166969233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-6.3550942286383367E-14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278.5296012747549</v>
      </c>
      <c r="T161" s="59">
        <f t="shared" si="142"/>
        <v>370.55343097937077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29.476846529916635</v>
      </c>
      <c r="AA161" s="21">
        <f>EXP(-LN(2)/25)*AA160+(1-EXP(-LN(2)/25))/(LN(2)/25)*Calculateur!V161*Calculateur!X161*VLOOKUP('Données projet'!$B$9,Paramètres!$A$1:$I$89,3,0)*0.475*44/12</f>
        <v>3.3131172546502023</v>
      </c>
      <c r="AB161" s="21">
        <f>EXP(-LN(2)/2)*AB160+(1-EXP(-LN(2)/2))/(LN(2)/2)*V161*Y161*VLOOKUP('Données projet'!$B$9,Paramètres!$A$1:$I$89,3,0)*0.475*44/12</f>
        <v>1.0727281159132169E-14</v>
      </c>
      <c r="AC161" s="22">
        <f t="shared" si="163"/>
        <v>32.789963784566851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-6.7984728957526396E-14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283.73369613548124</v>
      </c>
      <c r="AO161" s="59">
        <f t="shared" si="144"/>
        <v>249.77804091581208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35.153396748715195</v>
      </c>
      <c r="AV161" s="21">
        <f>EXP(-LN(2)/25)*AV160+(1-EXP(-LN(2)/25))/(LN(2)/25)*Calculateur!AQ161*Calculateur!AS161*VLOOKUP('Données projet'!$B$10,Paramètres!$A$1:$I$89,3,0)*0.475*44/12</f>
        <v>4.3655204222141126</v>
      </c>
      <c r="AW161" s="21">
        <f>EXP(-LN(2)/2)*AW160+(1-EXP(-LN(2)/2))/(LN(2)/2)*AQ161*AT161*VLOOKUP('Données projet'!$B$10,Paramètres!$A$1:$I$89,3,0)*0.475*44/12</f>
        <v>2.1232215529580644E-11</v>
      </c>
      <c r="AX161" s="21">
        <f t="shared" si="166"/>
        <v>39.518917170950537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-6.3550942286383367E-14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278.5296012747549</v>
      </c>
      <c r="T162" s="59">
        <f t="shared" si="142"/>
        <v>370.55343097937077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28.898823548566064</v>
      </c>
      <c r="AA162" s="21">
        <f>EXP(-LN(2)/25)*AA161+(1-EXP(-LN(2)/25))/(LN(2)/25)*Calculateur!V162*Calculateur!X162*VLOOKUP('Données projet'!$B$9,Paramètres!$A$1:$I$89,3,0)*0.475*44/12</f>
        <v>3.2225198890925282</v>
      </c>
      <c r="AB162" s="21">
        <f>EXP(-LN(2)/2)*AB161+(1-EXP(-LN(2)/2))/(LN(2)/2)*V162*Y162*VLOOKUP('Données projet'!$B$9,Paramètres!$A$1:$I$89,3,0)*0.475*44/12</f>
        <v>7.5853332513170442E-15</v>
      </c>
      <c r="AC162" s="22">
        <f t="shared" si="163"/>
        <v>32.121343437658602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-6.7984728957526396E-14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283.73369613548124</v>
      </c>
      <c r="AO162" s="59">
        <f t="shared" si="144"/>
        <v>249.77804091581208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34.464060079927741</v>
      </c>
      <c r="AV162" s="21">
        <f>EXP(-LN(2)/25)*AV161+(1-EXP(-LN(2)/25))/(LN(2)/25)*Calculateur!AQ162*Calculateur!AS162*VLOOKUP('Données projet'!$B$10,Paramètres!$A$1:$I$89,3,0)*0.475*44/12</f>
        <v>4.2461450366959266</v>
      </c>
      <c r="AW162" s="21">
        <f>EXP(-LN(2)/2)*AW161+(1-EXP(-LN(2)/2))/(LN(2)/2)*AQ162*AT162*VLOOKUP('Données projet'!$B$10,Paramètres!$A$1:$I$89,3,0)*0.475*44/12</f>
        <v>1.5013443580580797E-11</v>
      </c>
      <c r="AX162" s="21">
        <f t="shared" si="166"/>
        <v>38.710205116638683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-6.3550942286383367E-14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278.5296012747549</v>
      </c>
      <c r="T163" s="59">
        <f t="shared" si="142"/>
        <v>370.55343097937077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28.332135245320572</v>
      </c>
      <c r="AA163" s="21">
        <f>EXP(-LN(2)/25)*AA162+(1-EXP(-LN(2)/25))/(LN(2)/25)*Calculateur!V163*Calculateur!X163*VLOOKUP('Données projet'!$B$9,Paramètres!$A$1:$I$89,3,0)*0.475*44/12</f>
        <v>3.1343999132603373</v>
      </c>
      <c r="AB163" s="21">
        <f>EXP(-LN(2)/2)*AB162+(1-EXP(-LN(2)/2))/(LN(2)/2)*V163*Y163*VLOOKUP('Données projet'!$B$9,Paramètres!$A$1:$I$89,3,0)*0.475*44/12</f>
        <v>5.3636405795660843E-15</v>
      </c>
      <c r="AC163" s="22">
        <f t="shared" si="163"/>
        <v>31.466535158580918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-6.7984728957526396E-14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283.73369613548124</v>
      </c>
      <c r="AO163" s="59">
        <f t="shared" si="144"/>
        <v>249.77804091581208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33.788240882761357</v>
      </c>
      <c r="AV163" s="21">
        <f>EXP(-LN(2)/25)*AV162+(1-EXP(-LN(2)/25))/(LN(2)/25)*Calculateur!AQ163*Calculateur!AS163*VLOOKUP('Données projet'!$B$10,Paramètres!$A$1:$I$89,3,0)*0.475*44/12</f>
        <v>4.1300339773724133</v>
      </c>
      <c r="AW163" s="21">
        <f>EXP(-LN(2)/2)*AW162+(1-EXP(-LN(2)/2))/(LN(2)/2)*AQ163*AT163*VLOOKUP('Données projet'!$B$10,Paramètres!$A$1:$I$89,3,0)*0.475*44/12</f>
        <v>1.0616107764790322E-11</v>
      </c>
      <c r="AX163" s="21">
        <f t="shared" si="166"/>
        <v>37.918274860144386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-6.3550942286383367E-14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278.5296012747549</v>
      </c>
      <c r="T164" s="59">
        <f t="shared" si="142"/>
        <v>370.55343097937077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27.776559354055987</v>
      </c>
      <c r="AA164" s="21">
        <f>EXP(-LN(2)/25)*AA163+(1-EXP(-LN(2)/25))/(LN(2)/25)*Calculateur!V164*Calculateur!X164*VLOOKUP('Données projet'!$B$9,Paramètres!$A$1:$I$89,3,0)*0.475*44/12</f>
        <v>3.0486895828013059</v>
      </c>
      <c r="AB164" s="21">
        <f>EXP(-LN(2)/2)*AB163+(1-EXP(-LN(2)/2))/(LN(2)/2)*V164*Y164*VLOOKUP('Données projet'!$B$9,Paramètres!$A$1:$I$89,3,0)*0.475*44/12</f>
        <v>3.7926666256585221E-15</v>
      </c>
      <c r="AC164" s="22">
        <f t="shared" si="163"/>
        <v>30.825248936857296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-6.7984728957526396E-14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283.73369613548124</v>
      </c>
      <c r="AO164" s="59">
        <f t="shared" si="144"/>
        <v>249.77804091581208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33.125674087842398</v>
      </c>
      <c r="AV164" s="21">
        <f>EXP(-LN(2)/25)*AV163+(1-EXP(-LN(2)/25))/(LN(2)/25)*Calculateur!AQ164*Calculateur!AS164*VLOOKUP('Données projet'!$B$10,Paramètres!$A$1:$I$89,3,0)*0.475*44/12</f>
        <v>4.0170979810721175</v>
      </c>
      <c r="AW164" s="21">
        <f>EXP(-LN(2)/2)*AW163+(1-EXP(-LN(2)/2))/(LN(2)/2)*AQ164*AT164*VLOOKUP('Données projet'!$B$10,Paramètres!$A$1:$I$89,3,0)*0.475*44/12</f>
        <v>7.5067217902903984E-12</v>
      </c>
      <c r="AX164" s="21">
        <f t="shared" si="166"/>
        <v>37.142772068922021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-6.3550942286383367E-14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278.5296012747549</v>
      </c>
      <c r="T165" s="59">
        <f t="shared" si="142"/>
        <v>370.55343097937077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27.23187796715127</v>
      </c>
      <c r="AA165" s="21">
        <f>EXP(-LN(2)/25)*AA164+(1-EXP(-LN(2)/25))/(LN(2)/25)*Calculateur!V165*Calculateur!X165*VLOOKUP('Données projet'!$B$9,Paramètres!$A$1:$I$89,3,0)*0.475*44/12</f>
        <v>2.965323005835987</v>
      </c>
      <c r="AB165" s="21">
        <f>EXP(-LN(2)/2)*AB164+(1-EXP(-LN(2)/2))/(LN(2)/2)*V165*Y165*VLOOKUP('Données projet'!$B$9,Paramètres!$A$1:$I$89,3,0)*0.475*44/12</f>
        <v>2.6818202897830422E-15</v>
      </c>
      <c r="AC165" s="22">
        <f t="shared" si="163"/>
        <v>30.197200972987261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-6.7984728957526396E-14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283.73369613548124</v>
      </c>
      <c r="AO165" s="59">
        <f t="shared" si="144"/>
        <v>249.77804091581208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32.47609982364596</v>
      </c>
      <c r="AV165" s="21">
        <f>EXP(-LN(2)/25)*AV164+(1-EXP(-LN(2)/25))/(LN(2)/25)*Calculateur!AQ165*Calculateur!AS165*VLOOKUP('Données projet'!$B$10,Paramètres!$A$1:$I$89,3,0)*0.475*44/12</f>
        <v>3.9072502255296988</v>
      </c>
      <c r="AW165" s="21">
        <f>EXP(-LN(2)/2)*AW164+(1-EXP(-LN(2)/2))/(LN(2)/2)*AQ165*AT165*VLOOKUP('Données projet'!$B$10,Paramètres!$A$1:$I$89,3,0)*0.475*44/12</f>
        <v>5.3080538823951611E-12</v>
      </c>
      <c r="AX165" s="21">
        <f t="shared" si="166"/>
        <v>36.383350049180969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-6.3550942286383367E-14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278.5296012747549</v>
      </c>
      <c r="T166" s="59">
        <f t="shared" si="142"/>
        <v>370.55343097937077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26.697877450020911</v>
      </c>
      <c r="AA166" s="21">
        <f>EXP(-LN(2)/25)*AA165+(1-EXP(-LN(2)/25))/(LN(2)/25)*Calculateur!V166*Calculateur!X166*VLOOKUP('Données projet'!$B$9,Paramètres!$A$1:$I$89,3,0)*0.475*44/12</f>
        <v>2.8842360923018422</v>
      </c>
      <c r="AB166" s="21">
        <f>EXP(-LN(2)/2)*AB165+(1-EXP(-LN(2)/2))/(LN(2)/2)*V166*Y166*VLOOKUP('Données projet'!$B$9,Paramètres!$A$1:$I$89,3,0)*0.475*44/12</f>
        <v>1.8963333128292611E-15</v>
      </c>
      <c r="AC166" s="22">
        <f t="shared" si="163"/>
        <v>29.582113542322755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-6.7984728957526396E-14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283.73369613548124</v>
      </c>
      <c r="AO166" s="59">
        <f t="shared" si="144"/>
        <v>249.77804091581208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31.83926331456923</v>
      </c>
      <c r="AV166" s="21">
        <f>EXP(-LN(2)/25)*AV165+(1-EXP(-LN(2)/25))/(LN(2)/25)*Calculateur!AQ166*Calculateur!AS166*VLOOKUP('Données projet'!$B$10,Paramètres!$A$1:$I$89,3,0)*0.475*44/12</f>
        <v>3.8004062626392301</v>
      </c>
      <c r="AW166" s="21">
        <f>EXP(-LN(2)/2)*AW165+(1-EXP(-LN(2)/2))/(LN(2)/2)*AQ166*AT166*VLOOKUP('Données projet'!$B$10,Paramètres!$A$1:$I$89,3,0)*0.475*44/12</f>
        <v>3.7533608951451992E-12</v>
      </c>
      <c r="AX166" s="21">
        <f t="shared" si="166"/>
        <v>35.63966957721221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-6.3550942286383367E-14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278.5296012747549</v>
      </c>
      <c r="T167" s="59">
        <f t="shared" si="142"/>
        <v>370.55343097937077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26.174348357323325</v>
      </c>
      <c r="AA167" s="21">
        <f>EXP(-LN(2)/25)*AA166+(1-EXP(-LN(2)/25))/(LN(2)/25)*Calculateur!V167*Calculateur!X167*VLOOKUP('Données projet'!$B$9,Paramètres!$A$1:$I$89,3,0)*0.475*44/12</f>
        <v>2.8053665046824641</v>
      </c>
      <c r="AB167" s="21">
        <f>EXP(-LN(2)/2)*AB166+(1-EXP(-LN(2)/2))/(LN(2)/2)*V167*Y167*VLOOKUP('Données projet'!$B$9,Paramètres!$A$1:$I$89,3,0)*0.475*44/12</f>
        <v>1.3409101448915211E-15</v>
      </c>
      <c r="AC167" s="22">
        <f t="shared" si="163"/>
        <v>28.979714862005789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-6.7984728957526396E-14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283.73369613548124</v>
      </c>
      <c r="AO167" s="59">
        <f t="shared" si="144"/>
        <v>249.77804091581208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31.214914781003582</v>
      </c>
      <c r="AV167" s="21">
        <f>EXP(-LN(2)/25)*AV166+(1-EXP(-LN(2)/25))/(LN(2)/25)*Calculateur!AQ167*Calculateur!AS167*VLOOKUP('Données projet'!$B$10,Paramètres!$A$1:$I$89,3,0)*0.475*44/12</f>
        <v>3.696483953532681</v>
      </c>
      <c r="AW167" s="21">
        <f>EXP(-LN(2)/2)*AW166+(1-EXP(-LN(2)/2))/(LN(2)/2)*AQ167*AT167*VLOOKUP('Données projet'!$B$10,Paramètres!$A$1:$I$89,3,0)*0.475*44/12</f>
        <v>2.6540269411975805E-12</v>
      </c>
      <c r="AX167" s="21">
        <f t="shared" si="166"/>
        <v>34.911398734538921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-6.3550942286383367E-14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278.5296012747549</v>
      </c>
      <c r="T168" s="59">
        <f t="shared" si="142"/>
        <v>370.55343097937077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25.661085350812321</v>
      </c>
      <c r="AA168" s="21">
        <f>EXP(-LN(2)/25)*AA167+(1-EXP(-LN(2)/25))/(LN(2)/25)*Calculateur!V168*Calculateur!X168*VLOOKUP('Données projet'!$B$9,Paramètres!$A$1:$I$89,3,0)*0.475*44/12</f>
        <v>2.7286536100841094</v>
      </c>
      <c r="AB168" s="21">
        <f>EXP(-LN(2)/2)*AB167+(1-EXP(-LN(2)/2))/(LN(2)/2)*V168*Y168*VLOOKUP('Données projet'!$B$9,Paramètres!$A$1:$I$89,3,0)*0.475*44/12</f>
        <v>9.4816665641463053E-16</v>
      </c>
      <c r="AC168" s="22">
        <f t="shared" si="163"/>
        <v>28.38973896089643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-6.7984728957526396E-14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283.73369613548124</v>
      </c>
      <c r="AO168" s="59">
        <f t="shared" si="144"/>
        <v>249.77804091581208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30.60280934136615</v>
      </c>
      <c r="AV168" s="21">
        <f>EXP(-LN(2)/25)*AV167+(1-EXP(-LN(2)/25))/(LN(2)/25)*Calculateur!AQ168*Calculateur!AS168*VLOOKUP('Données projet'!$B$10,Paramètres!$A$1:$I$89,3,0)*0.475*44/12</f>
        <v>3.5954034054336872</v>
      </c>
      <c r="AW168" s="21">
        <f>EXP(-LN(2)/2)*AW167+(1-EXP(-LN(2)/2))/(LN(2)/2)*AQ168*AT168*VLOOKUP('Données projet'!$B$10,Paramètres!$A$1:$I$89,3,0)*0.475*44/12</f>
        <v>1.8766804475725996E-12</v>
      </c>
      <c r="AX168" s="21">
        <f t="shared" si="166"/>
        <v>34.198212746801715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-6.3550942286383367E-14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278.5296012747549</v>
      </c>
      <c r="T169" s="59">
        <f t="shared" si="142"/>
        <v>370.55343097937077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25.157887118799476</v>
      </c>
      <c r="AA169" s="21">
        <f>EXP(-LN(2)/25)*AA168+(1-EXP(-LN(2)/25))/(LN(2)/25)*Calculateur!V169*Calculateur!X169*VLOOKUP('Données projet'!$B$9,Paramètres!$A$1:$I$89,3,0)*0.475*44/12</f>
        <v>2.6540384336227025</v>
      </c>
      <c r="AB169" s="21">
        <f>EXP(-LN(2)/2)*AB168+(1-EXP(-LN(2)/2))/(LN(2)/2)*V169*Y169*VLOOKUP('Données projet'!$B$9,Paramètres!$A$1:$I$89,3,0)*0.475*44/12</f>
        <v>6.7045507244576054E-16</v>
      </c>
      <c r="AC169" s="22">
        <f t="shared" si="163"/>
        <v>27.811925552422178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-6.7984728957526396E-14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283.73369613548124</v>
      </c>
      <c r="AO169" s="59">
        <f t="shared" si="144"/>
        <v>249.77804091581208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30.002706916052556</v>
      </c>
      <c r="AV169" s="21">
        <f>EXP(-LN(2)/25)*AV168+(1-EXP(-LN(2)/25))/(LN(2)/25)*Calculateur!AQ169*Calculateur!AS169*VLOOKUP('Données projet'!$B$10,Paramètres!$A$1:$I$89,3,0)*0.475*44/12</f>
        <v>3.4970869102380555</v>
      </c>
      <c r="AW169" s="21">
        <f>EXP(-LN(2)/2)*AW168+(1-EXP(-LN(2)/2))/(LN(2)/2)*AQ169*AT169*VLOOKUP('Données projet'!$B$10,Paramètres!$A$1:$I$89,3,0)*0.475*44/12</f>
        <v>1.3270134705987903E-12</v>
      </c>
      <c r="AX169" s="21">
        <f t="shared" si="166"/>
        <v>33.499793826291942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-6.3550942286383367E-14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278.5296012747549</v>
      </c>
      <c r="T170" s="59">
        <f t="shared" si="142"/>
        <v>370.55343097937077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24.664556297195787</v>
      </c>
      <c r="AA170" s="21">
        <f>EXP(-LN(2)/25)*AA169+(1-EXP(-LN(2)/25))/(LN(2)/25)*Calculateur!V170*Calculateur!X170*VLOOKUP('Données projet'!$B$9,Paramètres!$A$1:$I$89,3,0)*0.475*44/12</f>
        <v>2.5814636130854742</v>
      </c>
      <c r="AB170" s="21">
        <f>EXP(-LN(2)/2)*AB169+(1-EXP(-LN(2)/2))/(LN(2)/2)*V170*Y170*VLOOKUP('Données projet'!$B$9,Paramètres!$A$1:$I$89,3,0)*0.475*44/12</f>
        <v>4.7408332820731527E-16</v>
      </c>
      <c r="AC170" s="22">
        <f t="shared" si="163"/>
        <v>27.246019910281262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-6.7984728957526396E-14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283.73369613548124</v>
      </c>
      <c r="AO170" s="59">
        <f t="shared" si="144"/>
        <v>249.77804091581208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29.414372133273027</v>
      </c>
      <c r="AV170" s="21">
        <f>EXP(-LN(2)/25)*AV169+(1-EXP(-LN(2)/25))/(LN(2)/25)*Calculateur!AQ170*Calculateur!AS170*VLOOKUP('Données projet'!$B$10,Paramètres!$A$1:$I$89,3,0)*0.475*44/12</f>
        <v>3.4014588847737879</v>
      </c>
      <c r="AW170" s="21">
        <f>EXP(-LN(2)/2)*AW169+(1-EXP(-LN(2)/2))/(LN(2)/2)*AQ170*AT170*VLOOKUP('Données projet'!$B$10,Paramètres!$A$1:$I$89,3,0)*0.475*44/12</f>
        <v>9.3834022378629981E-13</v>
      </c>
      <c r="AX170" s="21">
        <f t="shared" si="166"/>
        <v>32.815831018047753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-6.3550942286383367E-14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278.5296012747549</v>
      </c>
      <c r="T171" s="59">
        <f t="shared" si="142"/>
        <v>370.55343097937077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24.180899392101658</v>
      </c>
      <c r="AA171" s="21">
        <f>EXP(-LN(2)/25)*AA170+(1-EXP(-LN(2)/25))/(LN(2)/25)*Calculateur!V171*Calculateur!X171*VLOOKUP('Données projet'!$B$9,Paramètres!$A$1:$I$89,3,0)*0.475*44/12</f>
        <v>2.5108733548323805</v>
      </c>
      <c r="AB171" s="21">
        <f>EXP(-LN(2)/2)*AB170+(1-EXP(-LN(2)/2))/(LN(2)/2)*V171*Y171*VLOOKUP('Données projet'!$B$9,Paramètres!$A$1:$I$89,3,0)*0.475*44/12</f>
        <v>3.3522753622288027E-16</v>
      </c>
      <c r="AC171" s="22">
        <f t="shared" si="163"/>
        <v>26.691772746934038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-6.7984728957526396E-14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283.73369613548124</v>
      </c>
      <c r="AO171" s="59">
        <f t="shared" si="144"/>
        <v>249.77804091581208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28.837574236735019</v>
      </c>
      <c r="AV171" s="21">
        <f>EXP(-LN(2)/25)*AV170+(1-EXP(-LN(2)/25))/(LN(2)/25)*Calculateur!AQ171*Calculateur!AS171*VLOOKUP('Données projet'!$B$10,Paramètres!$A$1:$I$89,3,0)*0.475*44/12</f>
        <v>3.3084458126946998</v>
      </c>
      <c r="AW171" s="21">
        <f>EXP(-LN(2)/2)*AW170+(1-EXP(-LN(2)/2))/(LN(2)/2)*AQ171*AT171*VLOOKUP('Données projet'!$B$10,Paramètres!$A$1:$I$89,3,0)*0.475*44/12</f>
        <v>6.6350673529939514E-13</v>
      </c>
      <c r="AX171" s="21">
        <f t="shared" si="166"/>
        <v>32.146020049430383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-6.3550942286383367E-14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278.5296012747549</v>
      </c>
      <c r="T172" s="59">
        <f t="shared" si="142"/>
        <v>370.55343097937077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23.706726703914843</v>
      </c>
      <c r="AA172" s="21">
        <f>EXP(-LN(2)/25)*AA171+(1-EXP(-LN(2)/25))/(LN(2)/25)*Calculateur!V172*Calculateur!X172*VLOOKUP('Données projet'!$B$9,Paramètres!$A$1:$I$89,3,0)*0.475*44/12</f>
        <v>2.4422133909033978</v>
      </c>
      <c r="AB172" s="21">
        <f>EXP(-LN(2)/2)*AB171+(1-EXP(-LN(2)/2))/(LN(2)/2)*V172*Y172*VLOOKUP('Données projet'!$B$9,Paramètres!$A$1:$I$89,3,0)*0.475*44/12</f>
        <v>2.3704166410365763E-16</v>
      </c>
      <c r="AC172" s="22">
        <f t="shared" si="163"/>
        <v>26.14894009481824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-6.7984728957526396E-14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283.73369613548124</v>
      </c>
      <c r="AO172" s="59">
        <f t="shared" si="144"/>
        <v>249.77804091581208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28.272086995136142</v>
      </c>
      <c r="AV172" s="21">
        <f>EXP(-LN(2)/25)*AV171+(1-EXP(-LN(2)/25))/(LN(2)/25)*Calculateur!AQ172*Calculateur!AS172*VLOOKUP('Données projet'!$B$10,Paramètres!$A$1:$I$89,3,0)*0.475*44/12</f>
        <v>3.2179761879629596</v>
      </c>
      <c r="AW172" s="21">
        <f>EXP(-LN(2)/2)*AW171+(1-EXP(-LN(2)/2))/(LN(2)/2)*AQ172*AT172*VLOOKUP('Données projet'!$B$10,Paramètres!$A$1:$I$89,3,0)*0.475*44/12</f>
        <v>4.691701118931499E-13</v>
      </c>
      <c r="AX172" s="21">
        <f t="shared" si="166"/>
        <v>31.490063183099572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-6.3550942286383367E-14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278.5296012747549</v>
      </c>
      <c r="T173" s="59">
        <f t="shared" si="142"/>
        <v>370.55343097937077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23.241852252926588</v>
      </c>
      <c r="AA173" s="21">
        <f>EXP(-LN(2)/25)*AA172+(1-EXP(-LN(2)/25))/(LN(2)/25)*Calculateur!V173*Calculateur!X173*VLOOKUP('Données projet'!$B$9,Paramètres!$A$1:$I$89,3,0)*0.475*44/12</f>
        <v>2.3754309372987241</v>
      </c>
      <c r="AB173" s="21">
        <f>EXP(-LN(2)/2)*AB172+(1-EXP(-LN(2)/2))/(LN(2)/2)*V173*Y173*VLOOKUP('Données projet'!$B$9,Paramètres!$A$1:$I$89,3,0)*0.475*44/12</f>
        <v>1.6761376811144013E-16</v>
      </c>
      <c r="AC173" s="22">
        <f t="shared" si="163"/>
        <v>25.617283190225312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-6.7984728957526396E-14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283.73369613548124</v>
      </c>
      <c r="AO173" s="59">
        <f t="shared" si="144"/>
        <v>249.77804091581208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27.717688613431861</v>
      </c>
      <c r="AV173" s="21">
        <f>EXP(-LN(2)/25)*AV172+(1-EXP(-LN(2)/25))/(LN(2)/25)*Calculateur!AQ173*Calculateur!AS173*VLOOKUP('Données projet'!$B$10,Paramètres!$A$1:$I$89,3,0)*0.475*44/12</f>
        <v>3.1299804598770997</v>
      </c>
      <c r="AW173" s="21">
        <f>EXP(-LN(2)/2)*AW172+(1-EXP(-LN(2)/2))/(LN(2)/2)*AQ173*AT173*VLOOKUP('Données projet'!$B$10,Paramètres!$A$1:$I$89,3,0)*0.475*44/12</f>
        <v>3.3175336764969757E-13</v>
      </c>
      <c r="AX173" s="21">
        <f t="shared" si="166"/>
        <v>30.847669073309291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-6.3550942286383367E-14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278.5296012747549</v>
      </c>
      <c r="T174" s="59">
        <f t="shared" si="142"/>
        <v>370.55343097937077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22.786093706376796</v>
      </c>
      <c r="AA174" s="21">
        <f>EXP(-LN(2)/25)*AA173+(1-EXP(-LN(2)/25))/(LN(2)/25)*Calculateur!V174*Calculateur!X174*VLOOKUP('Données projet'!$B$9,Paramètres!$A$1:$I$89,3,0)*0.475*44/12</f>
        <v>2.3104746533998068</v>
      </c>
      <c r="AB174" s="21">
        <f>EXP(-LN(2)/2)*AB173+(1-EXP(-LN(2)/2))/(LN(2)/2)*V174*Y174*VLOOKUP('Données projet'!$B$9,Paramètres!$A$1:$I$89,3,0)*0.475*44/12</f>
        <v>1.1852083205182882E-16</v>
      </c>
      <c r="AC174" s="22">
        <f t="shared" si="163"/>
        <v>25.096568359776604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-6.7984728957526396E-14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283.73369613548124</v>
      </c>
      <c r="AO174" s="59">
        <f t="shared" si="144"/>
        <v>249.77804091581208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27.174161645843174</v>
      </c>
      <c r="AV174" s="21">
        <f>EXP(-LN(2)/25)*AV173+(1-EXP(-LN(2)/25))/(LN(2)/25)*Calculateur!AQ174*Calculateur!AS174*VLOOKUP('Données projet'!$B$10,Paramètres!$A$1:$I$89,3,0)*0.475*44/12</f>
        <v>3.0443909796032416</v>
      </c>
      <c r="AW174" s="21">
        <f>EXP(-LN(2)/2)*AW173+(1-EXP(-LN(2)/2))/(LN(2)/2)*AQ174*AT174*VLOOKUP('Données projet'!$B$10,Paramètres!$A$1:$I$89,3,0)*0.475*44/12</f>
        <v>2.3458505594657495E-13</v>
      </c>
      <c r="AX174" s="21">
        <f t="shared" si="166"/>
        <v>30.218552625446652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-6.3550942286383367E-14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278.5296012747549</v>
      </c>
      <c r="T175" s="59">
        <f t="shared" si="142"/>
        <v>370.55343097937077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22.339272306939581</v>
      </c>
      <c r="AA175" s="21">
        <f>EXP(-LN(2)/25)*AA174+(1-EXP(-LN(2)/25))/(LN(2)/25)*Calculateur!V175*Calculateur!X175*VLOOKUP('Données projet'!$B$9,Paramètres!$A$1:$I$89,3,0)*0.475*44/12</f>
        <v>2.2472946025000078</v>
      </c>
      <c r="AB175" s="21">
        <f>EXP(-LN(2)/2)*AB174+(1-EXP(-LN(2)/2))/(LN(2)/2)*V175*Y175*VLOOKUP('Données projet'!$B$9,Paramètres!$A$1:$I$89,3,0)*0.475*44/12</f>
        <v>8.3806884055720067E-17</v>
      </c>
      <c r="AC175" s="22">
        <f t="shared" si="163"/>
        <v>24.58656690943959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-6.7984728957526396E-14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283.73369613548124</v>
      </c>
      <c r="AO175" s="59">
        <f t="shared" si="144"/>
        <v>249.77804091581208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26.641292910570186</v>
      </c>
      <c r="AV175" s="21">
        <f>EXP(-LN(2)/25)*AV174+(1-EXP(-LN(2)/25))/(LN(2)/25)*Calculateur!AQ175*Calculateur!AS175*VLOOKUP('Données projet'!$B$10,Paramètres!$A$1:$I$89,3,0)*0.475*44/12</f>
        <v>2.9611419481684274</v>
      </c>
      <c r="AW175" s="21">
        <f>EXP(-LN(2)/2)*AW174+(1-EXP(-LN(2)/2))/(LN(2)/2)*AQ175*AT175*VLOOKUP('Données projet'!$B$10,Paramètres!$A$1:$I$89,3,0)*0.475*44/12</f>
        <v>1.6587668382484878E-13</v>
      </c>
      <c r="AX175" s="21">
        <f t="shared" si="166"/>
        <v>29.602434858738782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-6.3550942286383367E-14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278.5296012747549</v>
      </c>
      <c r="T176" s="59">
        <f t="shared" si="142"/>
        <v>370.55343097937077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21.901212802611184</v>
      </c>
      <c r="AA176" s="21">
        <f>EXP(-LN(2)/25)*AA175+(1-EXP(-LN(2)/25))/(LN(2)/25)*Calculateur!V176*Calculateur!X176*VLOOKUP('Données projet'!$B$9,Paramètres!$A$1:$I$89,3,0)*0.475*44/12</f>
        <v>2.1858422134145581</v>
      </c>
      <c r="AB176" s="21">
        <f>EXP(-LN(2)/2)*AB175+(1-EXP(-LN(2)/2))/(LN(2)/2)*V176*Y176*VLOOKUP('Données projet'!$B$9,Paramètres!$A$1:$I$89,3,0)*0.475*44/12</f>
        <v>5.9260416025914408E-17</v>
      </c>
      <c r="AC176" s="22">
        <f t="shared" si="163"/>
        <v>24.087055016025744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-6.7984728957526396E-14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283.73369613548124</v>
      </c>
      <c r="AO176" s="59">
        <f t="shared" si="144"/>
        <v>249.77804091581208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26.118873406178068</v>
      </c>
      <c r="AV176" s="21">
        <f>EXP(-LN(2)/25)*AV175+(1-EXP(-LN(2)/25))/(LN(2)/25)*Calculateur!AQ176*Calculateur!AS176*VLOOKUP('Données projet'!$B$10,Paramètres!$A$1:$I$89,3,0)*0.475*44/12</f>
        <v>2.8801693658760743</v>
      </c>
      <c r="AW176" s="21">
        <f>EXP(-LN(2)/2)*AW175+(1-EXP(-LN(2)/2))/(LN(2)/2)*AQ176*AT176*VLOOKUP('Données projet'!$B$10,Paramètres!$A$1:$I$89,3,0)*0.475*44/12</f>
        <v>1.1729252797328748E-13</v>
      </c>
      <c r="AX176" s="21">
        <f t="shared" si="166"/>
        <v>28.99904277205426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-6.3550942286383367E-14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278.5296012747549</v>
      </c>
      <c r="T177" s="59">
        <f t="shared" si="142"/>
        <v>370.55343097937077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21.471743377972754</v>
      </c>
      <c r="AA177" s="21">
        <f>EXP(-LN(2)/25)*AA176+(1-EXP(-LN(2)/25))/(LN(2)/25)*Calculateur!V177*Calculateur!X177*VLOOKUP('Données projet'!$B$9,Paramètres!$A$1:$I$89,3,0)*0.475*44/12</f>
        <v>2.1260702431402909</v>
      </c>
      <c r="AB177" s="21">
        <f>EXP(-LN(2)/2)*AB176+(1-EXP(-LN(2)/2))/(LN(2)/2)*V177*Y177*VLOOKUP('Données projet'!$B$9,Paramètres!$A$1:$I$89,3,0)*0.475*44/12</f>
        <v>4.1903442027860034E-17</v>
      </c>
      <c r="AC177" s="22">
        <f t="shared" si="163"/>
        <v>23.597813621113044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-6.7984728957526396E-14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283.73369613548124</v>
      </c>
      <c r="AO177" s="59">
        <f t="shared" si="144"/>
        <v>249.77804091581208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25.606698229622644</v>
      </c>
      <c r="AV177" s="21">
        <f>EXP(-LN(2)/25)*AV176+(1-EXP(-LN(2)/25))/(LN(2)/25)*Calculateur!AQ177*Calculateur!AS177*VLOOKUP('Données projet'!$B$10,Paramètres!$A$1:$I$89,3,0)*0.475*44/12</f>
        <v>2.801410983104669</v>
      </c>
      <c r="AW177" s="21">
        <f>EXP(-LN(2)/2)*AW176+(1-EXP(-LN(2)/2))/(LN(2)/2)*AQ177*AT177*VLOOKUP('Données projet'!$B$10,Paramètres!$A$1:$I$89,3,0)*0.475*44/12</f>
        <v>8.2938341912424392E-14</v>
      </c>
      <c r="AX177" s="21">
        <f t="shared" si="166"/>
        <v>28.408109212727396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-6.3550942286383367E-14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278.5296012747549</v>
      </c>
      <c r="T178" s="59">
        <f t="shared" si="142"/>
        <v>370.55343097937077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21.050695586800998</v>
      </c>
      <c r="AA178" s="21">
        <f>EXP(-LN(2)/25)*AA177+(1-EXP(-LN(2)/25))/(LN(2)/25)*Calculateur!V178*Calculateur!X178*VLOOKUP('Données projet'!$B$9,Paramètres!$A$1:$I$89,3,0)*0.475*44/12</f>
        <v>2.0679327405364449</v>
      </c>
      <c r="AB178" s="21">
        <f>EXP(-LN(2)/2)*AB177+(1-EXP(-LN(2)/2))/(LN(2)/2)*V178*Y178*VLOOKUP('Données projet'!$B$9,Paramètres!$A$1:$I$89,3,0)*0.475*44/12</f>
        <v>2.9630208012957204E-17</v>
      </c>
      <c r="AC178" s="22">
        <f t="shared" si="163"/>
        <v>23.118628327337444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-6.7984728957526396E-14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283.73369613548124</v>
      </c>
      <c r="AO178" s="59">
        <f t="shared" si="144"/>
        <v>249.77804091581208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25.104566495883461</v>
      </c>
      <c r="AV178" s="21">
        <f>EXP(-LN(2)/25)*AV177+(1-EXP(-LN(2)/25))/(LN(2)/25)*Calculateur!AQ178*Calculateur!AS178*VLOOKUP('Données projet'!$B$10,Paramètres!$A$1:$I$89,3,0)*0.475*44/12</f>
        <v>2.724806252451871</v>
      </c>
      <c r="AW178" s="21">
        <f>EXP(-LN(2)/2)*AW177+(1-EXP(-LN(2)/2))/(LN(2)/2)*AQ178*AT178*VLOOKUP('Données projet'!$B$10,Paramètres!$A$1:$I$89,3,0)*0.475*44/12</f>
        <v>5.8646263986643738E-14</v>
      </c>
      <c r="AX178" s="21">
        <f t="shared" si="166"/>
        <v>27.829372748335391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-6.3550942286383367E-14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278.5296012747549</v>
      </c>
      <c r="T179" s="59">
        <f t="shared" si="142"/>
        <v>370.55343097937077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20.637904286000328</v>
      </c>
      <c r="AA179" s="21">
        <f>EXP(-LN(2)/25)*AA178+(1-EXP(-LN(2)/25))/(LN(2)/25)*Calculateur!V179*Calculateur!X179*VLOOKUP('Données projet'!$B$9,Paramètres!$A$1:$I$89,3,0)*0.475*44/12</f>
        <v>2.0113850109986195</v>
      </c>
      <c r="AB179" s="21">
        <f>EXP(-LN(2)/2)*AB178+(1-EXP(-LN(2)/2))/(LN(2)/2)*V179*Y179*VLOOKUP('Données projet'!$B$9,Paramètres!$A$1:$I$89,3,0)*0.475*44/12</f>
        <v>2.0951721013930017E-17</v>
      </c>
      <c r="AC179" s="22">
        <f t="shared" si="163"/>
        <v>22.649289296998948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-6.7984728957526396E-14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283.73369613548124</v>
      </c>
      <c r="AO179" s="59">
        <f t="shared" si="144"/>
        <v>249.77804091581208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24.612281259172786</v>
      </c>
      <c r="AV179" s="21">
        <f>EXP(-LN(2)/25)*AV178+(1-EXP(-LN(2)/25))/(LN(2)/25)*Calculateur!AQ179*Calculateur!AS179*VLOOKUP('Données projet'!$B$10,Paramètres!$A$1:$I$89,3,0)*0.475*44/12</f>
        <v>2.6502962821872416</v>
      </c>
      <c r="AW179" s="21">
        <f>EXP(-LN(2)/2)*AW178+(1-EXP(-LN(2)/2))/(LN(2)/2)*AQ179*AT179*VLOOKUP('Données projet'!$B$10,Paramètres!$A$1:$I$89,3,0)*0.475*44/12</f>
        <v>4.1469170956212196E-14</v>
      </c>
      <c r="AX179" s="21">
        <f t="shared" si="166"/>
        <v>27.26257754136007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-6.3550942286383367E-14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278.5296012747549</v>
      </c>
      <c r="T180" s="59">
        <f t="shared" si="142"/>
        <v>370.55343097937077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20.233207570830526</v>
      </c>
      <c r="AA180" s="21">
        <f>EXP(-LN(2)/25)*AA179+(1-EXP(-LN(2)/25))/(LN(2)/25)*Calculateur!V180*Calculateur!X180*VLOOKUP('Données projet'!$B$9,Paramètres!$A$1:$I$89,3,0)*0.475*44/12</f>
        <v>1.9563835820987217</v>
      </c>
      <c r="AB180" s="21">
        <f>EXP(-LN(2)/2)*AB179+(1-EXP(-LN(2)/2))/(LN(2)/2)*V180*Y180*VLOOKUP('Données projet'!$B$9,Paramètres!$A$1:$I$89,3,0)*0.475*44/12</f>
        <v>1.4815104006478602E-17</v>
      </c>
      <c r="AC180" s="22">
        <f t="shared" si="163"/>
        <v>22.189591152929246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-6.7984728957526396E-14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283.73369613548124</v>
      </c>
      <c r="AO180" s="59">
        <f t="shared" si="144"/>
        <v>249.77804091581208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24.129649435689664</v>
      </c>
      <c r="AV180" s="21">
        <f>EXP(-LN(2)/25)*AV179+(1-EXP(-LN(2)/25))/(LN(2)/25)*Calculateur!AQ180*Calculateur!AS180*VLOOKUP('Données projet'!$B$10,Paramètres!$A$1:$I$89,3,0)*0.475*44/12</f>
        <v>2.5778237909778072</v>
      </c>
      <c r="AW180" s="21">
        <f>EXP(-LN(2)/2)*AW179+(1-EXP(-LN(2)/2))/(LN(2)/2)*AQ180*AT180*VLOOKUP('Données projet'!$B$10,Paramètres!$A$1:$I$89,3,0)*0.475*44/12</f>
        <v>2.9323131993321869E-14</v>
      </c>
      <c r="AX180" s="21">
        <f t="shared" si="166"/>
        <v>26.707473226667499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-6.3550942286383367E-14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278.5296012747549</v>
      </c>
      <c r="T181" s="59">
        <f t="shared" si="142"/>
        <v>370.55343097937077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19.83644671140458</v>
      </c>
      <c r="AA181" s="21">
        <f>EXP(-LN(2)/25)*AA180+(1-EXP(-LN(2)/25))/(LN(2)/25)*Calculateur!V181*Calculateur!X181*VLOOKUP('Données projet'!$B$9,Paramètres!$A$1:$I$89,3,0)*0.475*44/12</f>
        <v>1.9028861701644908</v>
      </c>
      <c r="AB181" s="21">
        <f>EXP(-LN(2)/2)*AB180+(1-EXP(-LN(2)/2))/(LN(2)/2)*V181*Y181*VLOOKUP('Données projet'!$B$9,Paramètres!$A$1:$I$89,3,0)*0.475*44/12</f>
        <v>1.0475860506965008E-17</v>
      </c>
      <c r="AC181" s="22">
        <f t="shared" si="163"/>
        <v>21.739332881569069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-6.7984728957526396E-14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283.73369613548124</v>
      </c>
      <c r="AO181" s="59">
        <f t="shared" si="144"/>
        <v>249.77804091581208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23.6564817278887</v>
      </c>
      <c r="AV181" s="21">
        <f>EXP(-LN(2)/25)*AV180+(1-EXP(-LN(2)/25))/(LN(2)/25)*Calculateur!AQ181*Calculateur!AS181*VLOOKUP('Données projet'!$B$10,Paramètres!$A$1:$I$89,3,0)*0.475*44/12</f>
        <v>2.5073330638516578</v>
      </c>
      <c r="AW181" s="21">
        <f>EXP(-LN(2)/2)*AW180+(1-EXP(-LN(2)/2))/(LN(2)/2)*AQ181*AT181*VLOOKUP('Données projet'!$B$10,Paramètres!$A$1:$I$89,3,0)*0.475*44/12</f>
        <v>2.0734585478106098E-14</v>
      </c>
      <c r="AX181" s="21">
        <f t="shared" si="166"/>
        <v>26.163814791740378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-6.3550942286383367E-14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278.5296012747549</v>
      </c>
      <c r="T182" s="59">
        <f t="shared" si="142"/>
        <v>370.55343097937077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19.44746609043175</v>
      </c>
      <c r="AA182" s="21">
        <f>EXP(-LN(2)/25)*AA181+(1-EXP(-LN(2)/25))/(LN(2)/25)*Calculateur!V182*Calculateur!X182*VLOOKUP('Données projet'!$B$9,Paramètres!$A$1:$I$89,3,0)*0.475*44/12</f>
        <v>1.8508516477729082</v>
      </c>
      <c r="AB182" s="21">
        <f>EXP(-LN(2)/2)*AB181+(1-EXP(-LN(2)/2))/(LN(2)/2)*V182*Y182*VLOOKUP('Données projet'!$B$9,Paramètres!$A$1:$I$89,3,0)*0.475*44/12</f>
        <v>7.407552003239301E-18</v>
      </c>
      <c r="AC182" s="22">
        <f t="shared" si="163"/>
        <v>21.298317738204659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-6.7984728957526396E-14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283.73369613548124</v>
      </c>
      <c r="AO182" s="59">
        <f t="shared" si="144"/>
        <v>249.77804091581208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23.192592550233908</v>
      </c>
      <c r="AV182" s="21">
        <f>EXP(-LN(2)/25)*AV181+(1-EXP(-LN(2)/25))/(LN(2)/25)*Calculateur!AQ182*Calculateur!AS182*VLOOKUP('Données projet'!$B$10,Paramètres!$A$1:$I$89,3,0)*0.475*44/12</f>
        <v>2.4387699093657189</v>
      </c>
      <c r="AW182" s="21">
        <f>EXP(-LN(2)/2)*AW181+(1-EXP(-LN(2)/2))/(LN(2)/2)*AQ182*AT182*VLOOKUP('Données projet'!$B$10,Paramètres!$A$1:$I$89,3,0)*0.475*44/12</f>
        <v>1.4661565996660934E-14</v>
      </c>
      <c r="AX182" s="21">
        <f t="shared" si="166"/>
        <v>25.631362459599639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-6.3550942286383367E-14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278.5296012747549</v>
      </c>
      <c r="T183" s="59">
        <f t="shared" si="142"/>
        <v>370.55343097937077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19.066113142181443</v>
      </c>
      <c r="AA183" s="21">
        <f>EXP(-LN(2)/25)*AA182+(1-EXP(-LN(2)/25))/(LN(2)/25)*Calculateur!V183*Calculateur!X183*VLOOKUP('Données projet'!$B$9,Paramètres!$A$1:$I$89,3,0)*0.475*44/12</f>
        <v>1.8002400121325002</v>
      </c>
      <c r="AB183" s="21">
        <f>EXP(-LN(2)/2)*AB182+(1-EXP(-LN(2)/2))/(LN(2)/2)*V183*Y183*VLOOKUP('Données projet'!$B$9,Paramètres!$A$1:$I$89,3,0)*0.475*44/12</f>
        <v>5.2379302534825042E-18</v>
      </c>
      <c r="AC183" s="22">
        <f t="shared" si="163"/>
        <v>20.866353154313945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-6.7984728957526396E-14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283.73369613548124</v>
      </c>
      <c r="AO183" s="59">
        <f t="shared" si="144"/>
        <v>249.77804091581208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22.737799956408466</v>
      </c>
      <c r="AV183" s="21">
        <f>EXP(-LN(2)/25)*AV182+(1-EXP(-LN(2)/25))/(LN(2)/25)*Calculateur!AQ183*Calculateur!AS183*VLOOKUP('Données projet'!$B$10,Paramètres!$A$1:$I$89,3,0)*0.475*44/12</f>
        <v>2.3720816179447777</v>
      </c>
      <c r="AW183" s="21">
        <f>EXP(-LN(2)/2)*AW182+(1-EXP(-LN(2)/2))/(LN(2)/2)*AQ183*AT183*VLOOKUP('Données projet'!$B$10,Paramètres!$A$1:$I$89,3,0)*0.475*44/12</f>
        <v>1.0367292739053049E-14</v>
      </c>
      <c r="AX183" s="21">
        <f t="shared" si="166"/>
        <v>25.109881574353256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-6.3550942286383367E-14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278.5296012747549</v>
      </c>
      <c r="T184" s="59">
        <f t="shared" si="142"/>
        <v>370.55343097937077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18.692238292643996</v>
      </c>
      <c r="AA184" s="21">
        <f>EXP(-LN(2)/25)*AA183+(1-EXP(-LN(2)/25))/(LN(2)/25)*Calculateur!V184*Calculateur!X184*VLOOKUP('Données projet'!$B$9,Paramètres!$A$1:$I$89,3,0)*0.475*44/12</f>
        <v>1.7510123543302292</v>
      </c>
      <c r="AB184" s="21">
        <f>EXP(-LN(2)/2)*AB183+(1-EXP(-LN(2)/2))/(LN(2)/2)*V184*Y184*VLOOKUP('Données projet'!$B$9,Paramètres!$A$1:$I$89,3,0)*0.475*44/12</f>
        <v>3.7037760016196505E-18</v>
      </c>
      <c r="AC184" s="22">
        <f t="shared" si="163"/>
        <v>20.443250646974224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-6.7984728957526396E-14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283.73369613548124</v>
      </c>
      <c r="AO184" s="59">
        <f t="shared" si="144"/>
        <v>249.77804091581208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22.29192556795185</v>
      </c>
      <c r="AV184" s="21">
        <f>EXP(-LN(2)/25)*AV183+(1-EXP(-LN(2)/25))/(LN(2)/25)*Calculateur!AQ184*Calculateur!AS184*VLOOKUP('Données projet'!$B$10,Paramètres!$A$1:$I$89,3,0)*0.475*44/12</f>
        <v>2.3072169213597271</v>
      </c>
      <c r="AW184" s="21">
        <f>EXP(-LN(2)/2)*AW183+(1-EXP(-LN(2)/2))/(LN(2)/2)*AQ184*AT184*VLOOKUP('Données projet'!$B$10,Paramètres!$A$1:$I$89,3,0)*0.475*44/12</f>
        <v>7.3307829983304672E-15</v>
      </c>
      <c r="AX184" s="21">
        <f t="shared" si="166"/>
        <v>24.599142489311586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-6.3550942286383367E-14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278.5296012747549</v>
      </c>
      <c r="T185" s="59">
        <f t="shared" si="142"/>
        <v>370.55343097937077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18.325694900864836</v>
      </c>
      <c r="AA185" s="21">
        <f>EXP(-LN(2)/25)*AA184+(1-EXP(-LN(2)/25))/(LN(2)/25)*Calculateur!V185*Calculateur!X185*VLOOKUP('Données projet'!$B$9,Paramètres!$A$1:$I$89,3,0)*0.475*44/12</f>
        <v>1.7031308294193312</v>
      </c>
      <c r="AB185" s="21">
        <f>EXP(-LN(2)/2)*AB184+(1-EXP(-LN(2)/2))/(LN(2)/2)*V185*Y185*VLOOKUP('Données projet'!$B$9,Paramètres!$A$1:$I$89,3,0)*0.475*44/12</f>
        <v>2.6189651267412521E-18</v>
      </c>
      <c r="AC185" s="22">
        <f t="shared" si="163"/>
        <v>20.028825730284169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-6.7984728957526396E-14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283.73369613548124</v>
      </c>
      <c r="AO185" s="59">
        <f t="shared" si="144"/>
        <v>249.77804091581208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21.854794504296343</v>
      </c>
      <c r="AV185" s="21">
        <f>EXP(-LN(2)/25)*AV184+(1-EXP(-LN(2)/25))/(LN(2)/25)*Calculateur!AQ185*Calculateur!AS185*VLOOKUP('Données projet'!$B$10,Paramètres!$A$1:$I$89,3,0)*0.475*44/12</f>
        <v>2.2441259533138807</v>
      </c>
      <c r="AW185" s="21">
        <f>EXP(-LN(2)/2)*AW184+(1-EXP(-LN(2)/2))/(LN(2)/2)*AQ185*AT185*VLOOKUP('Données projet'!$B$10,Paramètres!$A$1:$I$89,3,0)*0.475*44/12</f>
        <v>5.1836463695265245E-15</v>
      </c>
      <c r="AX185" s="21">
        <f t="shared" si="166"/>
        <v>24.098920457610227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-6.3550942286383367E-14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278.5296012747549</v>
      </c>
      <c r="T186" s="59">
        <f t="shared" si="142"/>
        <v>370.55343097937077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17.966339201429072</v>
      </c>
      <c r="AA186" s="21">
        <f>EXP(-LN(2)/25)*AA185+(1-EXP(-LN(2)/25))/(LN(2)/25)*Calculateur!V186*Calculateur!X186*VLOOKUP('Données projet'!$B$9,Paramètres!$A$1:$I$89,3,0)*0.475*44/12</f>
        <v>1.6565586273251018</v>
      </c>
      <c r="AB186" s="21">
        <f>EXP(-LN(2)/2)*AB185+(1-EXP(-LN(2)/2))/(LN(2)/2)*V186*Y186*VLOOKUP('Données projet'!$B$9,Paramètres!$A$1:$I$89,3,0)*0.475*44/12</f>
        <v>1.8518880008098253E-18</v>
      </c>
      <c r="AC186" s="22">
        <f t="shared" si="163"/>
        <v>19.622897828754173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-6.7984728957526396E-14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283.73369613548124</v>
      </c>
      <c r="AO186" s="59">
        <f t="shared" si="144"/>
        <v>249.77804091581208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21.4262353141755</v>
      </c>
      <c r="AV186" s="21">
        <f>EXP(-LN(2)/25)*AV185+(1-EXP(-LN(2)/25))/(LN(2)/25)*Calculateur!AQ186*Calculateur!AS186*VLOOKUP('Données projet'!$B$10,Paramètres!$A$1:$I$89,3,0)*0.475*44/12</f>
        <v>2.1827602111070576</v>
      </c>
      <c r="AW186" s="21">
        <f>EXP(-LN(2)/2)*AW185+(1-EXP(-LN(2)/2))/(LN(2)/2)*AQ186*AT186*VLOOKUP('Données projet'!$B$10,Paramètres!$A$1:$I$89,3,0)*0.475*44/12</f>
        <v>3.6653914991652336E-15</v>
      </c>
      <c r="AX186" s="21">
        <f t="shared" si="166"/>
        <v>23.608995525282563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-6.3550942286383367E-14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278.5296012747549</v>
      </c>
      <c r="T187" s="59">
        <f t="shared" si="142"/>
        <v>370.55343097937077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17.614030248073909</v>
      </c>
      <c r="AA187" s="21">
        <f>EXP(-LN(2)/25)*AA186+(1-EXP(-LN(2)/25))/(LN(2)/25)*Calculateur!V187*Calculateur!X187*VLOOKUP('Données projet'!$B$9,Paramètres!$A$1:$I$89,3,0)*0.475*44/12</f>
        <v>1.6112599445462648</v>
      </c>
      <c r="AB187" s="21">
        <f>EXP(-LN(2)/2)*AB186+(1-EXP(-LN(2)/2))/(LN(2)/2)*V187*Y187*VLOOKUP('Données projet'!$B$9,Paramètres!$A$1:$I$89,3,0)*0.475*44/12</f>
        <v>1.3094825633706261E-18</v>
      </c>
      <c r="AC187" s="22">
        <f t="shared" si="163"/>
        <v>19.225290192620175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-6.7984728957526396E-14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283.73369613548124</v>
      </c>
      <c r="AO187" s="59">
        <f t="shared" si="144"/>
        <v>249.77804091581208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21.006079908377632</v>
      </c>
      <c r="AV187" s="21">
        <f>EXP(-LN(2)/25)*AV186+(1-EXP(-LN(2)/25))/(LN(2)/25)*Calculateur!AQ187*Calculateur!AS187*VLOOKUP('Données projet'!$B$10,Paramètres!$A$1:$I$89,3,0)*0.475*44/12</f>
        <v>2.1230725183479646</v>
      </c>
      <c r="AW187" s="21">
        <f>EXP(-LN(2)/2)*AW186+(1-EXP(-LN(2)/2))/(LN(2)/2)*AQ187*AT187*VLOOKUP('Données projet'!$B$10,Paramètres!$A$1:$I$89,3,0)*0.475*44/12</f>
        <v>2.5918231847632622E-15</v>
      </c>
      <c r="AX187" s="21">
        <f t="shared" si="166"/>
        <v>23.1291524267256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-6.3550942286383367E-14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278.5296012747549</v>
      </c>
      <c r="T188" s="59">
        <f t="shared" si="142"/>
        <v>370.55343097937077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17.268629858406801</v>
      </c>
      <c r="AA188" s="21">
        <f>EXP(-LN(2)/25)*AA187+(1-EXP(-LN(2)/25))/(LN(2)/25)*Calculateur!V188*Calculateur!X188*VLOOKUP('Données projet'!$B$9,Paramètres!$A$1:$I$89,3,0)*0.475*44/12</f>
        <v>1.5671999566301693</v>
      </c>
      <c r="AB188" s="21">
        <f>EXP(-LN(2)/2)*AB187+(1-EXP(-LN(2)/2))/(LN(2)/2)*V188*Y188*VLOOKUP('Données projet'!$B$9,Paramètres!$A$1:$I$89,3,0)*0.475*44/12</f>
        <v>9.2594400040491263E-19</v>
      </c>
      <c r="AC188" s="22">
        <f t="shared" si="163"/>
        <v>18.83582981503697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-6.7984728957526396E-14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283.73369613548124</v>
      </c>
      <c r="AO188" s="59">
        <f t="shared" si="144"/>
        <v>249.77804091581208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20.594163493817966</v>
      </c>
      <c r="AV188" s="21">
        <f>EXP(-LN(2)/25)*AV187+(1-EXP(-LN(2)/25))/(LN(2)/25)*Calculateur!AQ188*Calculateur!AS188*VLOOKUP('Données projet'!$B$10,Paramètres!$A$1:$I$89,3,0)*0.475*44/12</f>
        <v>2.065016988686208</v>
      </c>
      <c r="AW188" s="21">
        <f>EXP(-LN(2)/2)*AW187+(1-EXP(-LN(2)/2))/(LN(2)/2)*AQ188*AT188*VLOOKUP('Données projet'!$B$10,Paramètres!$A$1:$I$89,3,0)*0.475*44/12</f>
        <v>1.8326957495826168E-15</v>
      </c>
      <c r="AX188" s="21">
        <f t="shared" si="166"/>
        <v>22.659180482504176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-6.3550942286383367E-14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278.5296012747549</v>
      </c>
      <c r="T189" s="59">
        <f t="shared" si="142"/>
        <v>370.55343097937077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16.930002559707628</v>
      </c>
      <c r="AA189" s="21">
        <f>EXP(-LN(2)/25)*AA188+(1-EXP(-LN(2)/25))/(LN(2)/25)*Calculateur!V189*Calculateur!X189*VLOOKUP('Données projet'!$B$9,Paramètres!$A$1:$I$89,3,0)*0.475*44/12</f>
        <v>1.5243447914006536</v>
      </c>
      <c r="AB189" s="21">
        <f>EXP(-LN(2)/2)*AB188+(1-EXP(-LN(2)/2))/(LN(2)/2)*V189*Y189*VLOOKUP('Données projet'!$B$9,Paramètres!$A$1:$I$89,3,0)*0.475*44/12</f>
        <v>6.5474128168531303E-19</v>
      </c>
      <c r="AC189" s="22">
        <f t="shared" si="163"/>
        <v>18.454347351108282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-6.7984728957526396E-14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283.73369613548124</v>
      </c>
      <c r="AO189" s="59">
        <f t="shared" si="144"/>
        <v>249.77804091581208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20.190324508903611</v>
      </c>
      <c r="AV189" s="21">
        <f>EXP(-LN(2)/25)*AV188+(1-EXP(-LN(2)/25))/(LN(2)/25)*Calculateur!AQ189*Calculateur!AS189*VLOOKUP('Données projet'!$B$10,Paramètres!$A$1:$I$89,3,0)*0.475*44/12</f>
        <v>2.0085489905360601</v>
      </c>
      <c r="AW189" s="21">
        <f>EXP(-LN(2)/2)*AW188+(1-EXP(-LN(2)/2))/(LN(2)/2)*AQ189*AT189*VLOOKUP('Données projet'!$B$10,Paramètres!$A$1:$I$89,3,0)*0.475*44/12</f>
        <v>1.2959115923816311E-15</v>
      </c>
      <c r="AX189" s="21">
        <f t="shared" si="166"/>
        <v>22.198873499439671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-6.3550942286383367E-14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278.5296012747549</v>
      </c>
      <c r="T190" s="59">
        <f t="shared" si="142"/>
        <v>370.55343097937077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16.598015535793689</v>
      </c>
      <c r="AA190" s="21">
        <f>EXP(-LN(2)/25)*AA189+(1-EXP(-LN(2)/25))/(LN(2)/25)*Calculateur!V190*Calculateur!X190*VLOOKUP('Données projet'!$B$9,Paramètres!$A$1:$I$89,3,0)*0.475*44/12</f>
        <v>1.4826615029179941</v>
      </c>
      <c r="AB190" s="21">
        <f>EXP(-LN(2)/2)*AB189+(1-EXP(-LN(2)/2))/(LN(2)/2)*V190*Y190*VLOOKUP('Données projet'!$B$9,Paramètres!$A$1:$I$89,3,0)*0.475*44/12</f>
        <v>4.6297200020245631E-19</v>
      </c>
      <c r="AC190" s="22">
        <f t="shared" si="163"/>
        <v>18.080677038711684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-6.7984728957526396E-14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283.73369613548124</v>
      </c>
      <c r="AO190" s="59">
        <f t="shared" si="144"/>
        <v>249.77804091581208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19.794404560165969</v>
      </c>
      <c r="AV190" s="21">
        <f>EXP(-LN(2)/25)*AV189+(1-EXP(-LN(2)/25))/(LN(2)/25)*Calculateur!AQ190*Calculateur!AS190*VLOOKUP('Données projet'!$B$10,Paramètres!$A$1:$I$89,3,0)*0.475*44/12</f>
        <v>1.9536251127648507</v>
      </c>
      <c r="AW190" s="21">
        <f>EXP(-LN(2)/2)*AW189+(1-EXP(-LN(2)/2))/(LN(2)/2)*AQ190*AT190*VLOOKUP('Données projet'!$B$10,Paramètres!$A$1:$I$89,3,0)*0.475*44/12</f>
        <v>9.163478747913084E-16</v>
      </c>
      <c r="AX190" s="21">
        <f t="shared" si="166"/>
        <v>21.748029672930819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-6.3550942286383367E-14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278.5296012747549</v>
      </c>
      <c r="T191" s="59">
        <f t="shared" si="142"/>
        <v>370.55343097937077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16.27253857492661</v>
      </c>
      <c r="AA191" s="21">
        <f>EXP(-LN(2)/25)*AA190+(1-EXP(-LN(2)/25))/(LN(2)/25)*Calculateur!V191*Calculateur!X191*VLOOKUP('Données projet'!$B$9,Paramètres!$A$1:$I$89,3,0)*0.475*44/12</f>
        <v>1.4421180461509218</v>
      </c>
      <c r="AB191" s="21">
        <f>EXP(-LN(2)/2)*AB190+(1-EXP(-LN(2)/2))/(LN(2)/2)*V191*Y191*VLOOKUP('Données projet'!$B$9,Paramètres!$A$1:$I$89,3,0)*0.475*44/12</f>
        <v>3.2737064084265651E-19</v>
      </c>
      <c r="AC191" s="22">
        <f t="shared" si="163"/>
        <v>17.71465662107753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-6.7984728957526396E-14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283.73369613548124</v>
      </c>
      <c r="AO191" s="59">
        <f t="shared" si="144"/>
        <v>249.77804091581208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19.406248360135748</v>
      </c>
      <c r="AV191" s="21">
        <f>EXP(-LN(2)/25)*AV190+(1-EXP(-LN(2)/25))/(LN(2)/25)*Calculateur!AQ191*Calculateur!AS191*VLOOKUP('Données projet'!$B$10,Paramètres!$A$1:$I$89,3,0)*0.475*44/12</f>
        <v>1.9002031313196164</v>
      </c>
      <c r="AW191" s="21">
        <f>EXP(-LN(2)/2)*AW190+(1-EXP(-LN(2)/2))/(LN(2)/2)*AQ191*AT191*VLOOKUP('Données projet'!$B$10,Paramètres!$A$1:$I$89,3,0)*0.475*44/12</f>
        <v>6.4795579619081556E-16</v>
      </c>
      <c r="AX191" s="21">
        <f t="shared" si="166"/>
        <v>21.306451491455366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-6.3550942286383367E-14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278.5296012747549</v>
      </c>
      <c r="T192" s="59">
        <f t="shared" si="142"/>
        <v>370.55343097937077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15.953444018740791</v>
      </c>
      <c r="AA192" s="21">
        <f>EXP(-LN(2)/25)*AA191+(1-EXP(-LN(2)/25))/(LN(2)/25)*Calculateur!V192*Calculateur!X192*VLOOKUP('Données projet'!$B$9,Paramètres!$A$1:$I$89,3,0)*0.475*44/12</f>
        <v>1.4026832523412327</v>
      </c>
      <c r="AB192" s="21">
        <f>EXP(-LN(2)/2)*AB191+(1-EXP(-LN(2)/2))/(LN(2)/2)*V192*Y192*VLOOKUP('Données projet'!$B$9,Paramètres!$A$1:$I$89,3,0)*0.475*44/12</f>
        <v>2.3148600010122816E-19</v>
      </c>
      <c r="AC192" s="22">
        <f t="shared" si="163"/>
        <v>17.356127271082023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-6.7984728957526396E-14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283.73369613548124</v>
      </c>
      <c r="AO192" s="59">
        <f t="shared" si="144"/>
        <v>249.77804091581208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19.025703666436215</v>
      </c>
      <c r="AV192" s="21">
        <f>EXP(-LN(2)/25)*AV191+(1-EXP(-LN(2)/25))/(LN(2)/25)*Calculateur!AQ192*Calculateur!AS192*VLOOKUP('Données projet'!$B$10,Paramètres!$A$1:$I$89,3,0)*0.475*44/12</f>
        <v>1.8482419767663418</v>
      </c>
      <c r="AW192" s="21">
        <f>EXP(-LN(2)/2)*AW191+(1-EXP(-LN(2)/2))/(LN(2)/2)*AQ192*AT192*VLOOKUP('Données projet'!$B$10,Paramètres!$A$1:$I$89,3,0)*0.475*44/12</f>
        <v>4.581739373956542E-16</v>
      </c>
      <c r="AX192" s="21">
        <f t="shared" si="166"/>
        <v>20.873945643202557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-6.3550942286383367E-14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278.5296012747549</v>
      </c>
      <c r="T193" s="59">
        <f t="shared" si="142"/>
        <v>370.55343097937077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15.640606712173314</v>
      </c>
      <c r="AA193" s="21">
        <f>EXP(-LN(2)/25)*AA192+(1-EXP(-LN(2)/25))/(LN(2)/25)*Calculateur!V193*Calculateur!X193*VLOOKUP('Données projet'!$B$9,Paramètres!$A$1:$I$89,3,0)*0.475*44/12</f>
        <v>1.3643268050420554</v>
      </c>
      <c r="AB193" s="21">
        <f>EXP(-LN(2)/2)*AB192+(1-EXP(-LN(2)/2))/(LN(2)/2)*V193*Y193*VLOOKUP('Données projet'!$B$9,Paramètres!$A$1:$I$89,3,0)*0.475*44/12</f>
        <v>1.6368532042132826E-19</v>
      </c>
      <c r="AC193" s="22">
        <f t="shared" si="163"/>
        <v>17.00493351721537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-6.7984728957526396E-14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283.73369613548124</v>
      </c>
      <c r="AO193" s="59">
        <f t="shared" si="144"/>
        <v>249.77804091581208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18.652621222070785</v>
      </c>
      <c r="AV193" s="21">
        <f>EXP(-LN(2)/25)*AV192+(1-EXP(-LN(2)/25))/(LN(2)/25)*Calculateur!AQ193*Calculateur!AS193*VLOOKUP('Données projet'!$B$10,Paramètres!$A$1:$I$89,3,0)*0.475*44/12</f>
        <v>1.7977017027168449</v>
      </c>
      <c r="AW193" s="21">
        <f>EXP(-LN(2)/2)*AW192+(1-EXP(-LN(2)/2))/(LN(2)/2)*AQ193*AT193*VLOOKUP('Données projet'!$B$10,Paramètres!$A$1:$I$89,3,0)*0.475*44/12</f>
        <v>3.2397789809540778E-16</v>
      </c>
      <c r="AX193" s="21">
        <f t="shared" si="166"/>
        <v>20.450322924787631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-6.3550942286383367E-14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278.5296012747549</v>
      </c>
      <c r="T194" s="59">
        <f t="shared" si="142"/>
        <v>370.55343097937077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15.33390395437571</v>
      </c>
      <c r="AA194" s="21">
        <f>EXP(-LN(2)/25)*AA193+(1-EXP(-LN(2)/25))/(LN(2)/25)*Calculateur!V194*Calculateur!X194*VLOOKUP('Données projet'!$B$9,Paramètres!$A$1:$I$89,3,0)*0.475*44/12</f>
        <v>1.3270192168113519</v>
      </c>
      <c r="AB194" s="21">
        <f>EXP(-LN(2)/2)*AB193+(1-EXP(-LN(2)/2))/(LN(2)/2)*V194*Y194*VLOOKUP('Données projet'!$B$9,Paramètres!$A$1:$I$89,3,0)*0.475*44/12</f>
        <v>1.1574300005061408E-19</v>
      </c>
      <c r="AC194" s="22">
        <f t="shared" si="163"/>
        <v>16.660923171187061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-6.7984728957526396E-14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283.73369613548124</v>
      </c>
      <c r="AO194" s="59">
        <f t="shared" si="144"/>
        <v>249.77804091581208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18.286854696881541</v>
      </c>
      <c r="AV194" s="21">
        <f>EXP(-LN(2)/25)*AV193+(1-EXP(-LN(2)/25))/(LN(2)/25)*Calculateur!AQ194*Calculateur!AS194*VLOOKUP('Données projet'!$B$10,Paramètres!$A$1:$I$89,3,0)*0.475*44/12</f>
        <v>1.7485434551190289</v>
      </c>
      <c r="AW194" s="21">
        <f>EXP(-LN(2)/2)*AW193+(1-EXP(-LN(2)/2))/(LN(2)/2)*AQ194*AT194*VLOOKUP('Données projet'!$B$10,Paramètres!$A$1:$I$89,3,0)*0.475*44/12</f>
        <v>2.290869686978271E-16</v>
      </c>
      <c r="AX194" s="21">
        <f t="shared" si="166"/>
        <v>20.035398152000571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-6.3550942286383367E-14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278.5296012747549</v>
      </c>
      <c r="T195" s="59">
        <f t="shared" si="142"/>
        <v>370.55343097937077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15.033215450588306</v>
      </c>
      <c r="AA195" s="21">
        <f>EXP(-LN(2)/25)*AA194+(1-EXP(-LN(2)/25))/(LN(2)/25)*Calculateur!V195*Calculateur!X195*VLOOKUP('Données projet'!$B$9,Paramètres!$A$1:$I$89,3,0)*0.475*44/12</f>
        <v>1.2907318065427378</v>
      </c>
      <c r="AB195" s="21">
        <f>EXP(-LN(2)/2)*AB194+(1-EXP(-LN(2)/2))/(LN(2)/2)*V195*Y195*VLOOKUP('Données projet'!$B$9,Paramètres!$A$1:$I$89,3,0)*0.475*44/12</f>
        <v>8.1842660210664128E-20</v>
      </c>
      <c r="AC195" s="22">
        <f t="shared" si="163"/>
        <v>16.323947257131046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-6.7984728957526396E-14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283.73369613548124</v>
      </c>
      <c r="AO195" s="59">
        <f t="shared" si="144"/>
        <v>249.77804091581208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17.928260630155705</v>
      </c>
      <c r="AV195" s="21">
        <f>EXP(-LN(2)/25)*AV194+(1-EXP(-LN(2)/25))/(LN(2)/25)*Calculateur!AQ195*Calculateur!AS195*VLOOKUP('Données projet'!$B$10,Paramètres!$A$1:$I$89,3,0)*0.475*44/12</f>
        <v>1.7007294423868951</v>
      </c>
      <c r="AW195" s="21">
        <f>EXP(-LN(2)/2)*AW194+(1-EXP(-LN(2)/2))/(LN(2)/2)*AQ195*AT195*VLOOKUP('Données projet'!$B$10,Paramètres!$A$1:$I$89,3,0)*0.475*44/12</f>
        <v>1.6198894904770389E-16</v>
      </c>
      <c r="AX195" s="21">
        <f t="shared" si="166"/>
        <v>19.628990072542599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-6.3550942286383367E-14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278.5296012747549</v>
      </c>
      <c r="T196" s="59">
        <f t="shared" si="142"/>
        <v>370.55343097937077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14.738423264958296</v>
      </c>
      <c r="AA196" s="21">
        <f>EXP(-LN(2)/25)*AA195+(1-EXP(-LN(2)/25))/(LN(2)/25)*Calculateur!V196*Calculateur!X196*VLOOKUP('Données projet'!$B$9,Paramètres!$A$1:$I$89,3,0)*0.475*44/12</f>
        <v>1.2554366774161909</v>
      </c>
      <c r="AB196" s="21">
        <f>EXP(-LN(2)/2)*AB195+(1-EXP(-LN(2)/2))/(LN(2)/2)*V196*Y196*VLOOKUP('Données projet'!$B$9,Paramètres!$A$1:$I$89,3,0)*0.475*44/12</f>
        <v>5.7871500025307039E-20</v>
      </c>
      <c r="AC196" s="22">
        <f t="shared" si="163"/>
        <v>15.993859942374486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-6.7984728957526396E-14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283.73369613548124</v>
      </c>
      <c r="AO196" s="59">
        <f t="shared" si="144"/>
        <v>249.77804091581208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17.57669837435758</v>
      </c>
      <c r="AV196" s="21">
        <f>EXP(-LN(2)/25)*AV195+(1-EXP(-LN(2)/25))/(LN(2)/25)*Calculateur!AQ196*Calculateur!AS196*VLOOKUP('Données projet'!$B$10,Paramètres!$A$1:$I$89,3,0)*0.475*44/12</f>
        <v>1.654222906347351</v>
      </c>
      <c r="AW196" s="21">
        <f>EXP(-LN(2)/2)*AW195+(1-EXP(-LN(2)/2))/(LN(2)/2)*AQ196*AT196*VLOOKUP('Données projet'!$B$10,Paramètres!$A$1:$I$89,3,0)*0.475*44/12</f>
        <v>1.1454348434891355E-16</v>
      </c>
      <c r="AX196" s="21">
        <f t="shared" si="166"/>
        <v>19.23092128070493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-6.3550942286383367E-14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278.5296012747549</v>
      </c>
      <c r="T197" s="59">
        <f t="shared" ref="T197:T203" si="204">$T$3</f>
        <v>370.55343097937077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14.449411774283011</v>
      </c>
      <c r="AA197" s="21">
        <f>EXP(-LN(2)/25)*AA196+(1-EXP(-LN(2)/25))/(LN(2)/25)*Calculateur!V197*Calculateur!X197*VLOOKUP('Données projet'!$B$9,Paramètres!$A$1:$I$89,3,0)*0.475*44/12</f>
        <v>1.2211066954516996</v>
      </c>
      <c r="AB197" s="21">
        <f>EXP(-LN(2)/2)*AB196+(1-EXP(-LN(2)/2))/(LN(2)/2)*V197*Y197*VLOOKUP('Données projet'!$B$9,Paramètres!$A$1:$I$89,3,0)*0.475*44/12</f>
        <v>4.0921330105332064E-20</v>
      </c>
      <c r="AC197" s="22">
        <f t="shared" si="163"/>
        <v>15.670518469734709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-6.7984728957526396E-14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283.73369613548124</v>
      </c>
      <c r="AO197" s="59">
        <f t="shared" ref="AO197:AO203" si="205">$AO$3</f>
        <v>249.77804091581208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17.232030039963853</v>
      </c>
      <c r="AV197" s="21">
        <f>EXP(-LN(2)/25)*AV196+(1-EXP(-LN(2)/25))/(LN(2)/25)*Calculateur!AQ197*Calculateur!AS197*VLOOKUP('Données projet'!$B$10,Paramètres!$A$1:$I$89,3,0)*0.475*44/12</f>
        <v>1.6089880939814809</v>
      </c>
      <c r="AW197" s="21">
        <f>EXP(-LN(2)/2)*AW196+(1-EXP(-LN(2)/2))/(LN(2)/2)*AQ197*AT197*VLOOKUP('Données projet'!$B$10,Paramètres!$A$1:$I$89,3,0)*0.475*44/12</f>
        <v>8.0994474523851945E-17</v>
      </c>
      <c r="AX197" s="21">
        <f t="shared" si="166"/>
        <v>18.841018133945333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-6.3550942286383367E-14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278.5296012747549</v>
      </c>
      <c r="T198" s="59">
        <f t="shared" si="204"/>
        <v>370.55343097937077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14.166067622660265</v>
      </c>
      <c r="AA198" s="21">
        <f>EXP(-LN(2)/25)*AA197+(1-EXP(-LN(2)/25))/(LN(2)/25)*Calculateur!V198*Calculateur!X198*VLOOKUP('Données projet'!$B$9,Paramètres!$A$1:$I$89,3,0)*0.475*44/12</f>
        <v>1.1877154686493627</v>
      </c>
      <c r="AB198" s="21">
        <f>EXP(-LN(2)/2)*AB197+(1-EXP(-LN(2)/2))/(LN(2)/2)*V198*Y198*VLOOKUP('Données projet'!$B$9,Paramètres!$A$1:$I$89,3,0)*0.475*44/12</f>
        <v>2.893575001265352E-20</v>
      </c>
      <c r="AC198" s="22">
        <f t="shared" si="163"/>
        <v>15.353783091309626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-6.7984728957526396E-14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283.73369613548124</v>
      </c>
      <c r="AO198" s="59">
        <f t="shared" si="205"/>
        <v>249.77804091581208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16.894120441380661</v>
      </c>
      <c r="AV198" s="21">
        <f>EXP(-LN(2)/25)*AV197+(1-EXP(-LN(2)/25))/(LN(2)/25)*Calculateur!AQ198*Calculateur!AS198*VLOOKUP('Données projet'!$B$10,Paramètres!$A$1:$I$89,3,0)*0.475*44/12</f>
        <v>1.5649902299385507</v>
      </c>
      <c r="AW198" s="21">
        <f>EXP(-LN(2)/2)*AW197+(1-EXP(-LN(2)/2))/(LN(2)/2)*AQ198*AT198*VLOOKUP('Données projet'!$B$10,Paramètres!$A$1:$I$89,3,0)*0.475*44/12</f>
        <v>5.7271742174456775E-17</v>
      </c>
      <c r="AX198" s="21">
        <f t="shared" si="166"/>
        <v>18.459110671319213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-6.3550942286383367E-14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278.5296012747549</v>
      </c>
      <c r="T199" s="59">
        <f t="shared" si="204"/>
        <v>370.55343097937077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13.888279677027974</v>
      </c>
      <c r="AA199" s="21">
        <f>EXP(-LN(2)/25)*AA198+(1-EXP(-LN(2)/25))/(LN(2)/25)*Calculateur!V199*Calculateur!X199*VLOOKUP('Données projet'!$B$9,Paramètres!$A$1:$I$89,3,0)*0.475*44/12</f>
        <v>1.1552373266999039</v>
      </c>
      <c r="AB199" s="21">
        <f>EXP(-LN(2)/2)*AB198+(1-EXP(-LN(2)/2))/(LN(2)/2)*V199*Y199*VLOOKUP('Données projet'!$B$9,Paramètres!$A$1:$I$89,3,0)*0.475*44/12</f>
        <v>2.0460665052666032E-20</v>
      </c>
      <c r="AC199" s="22">
        <f t="shared" si="163"/>
        <v>15.043517003727878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-6.7984728957526396E-14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283.73369613548124</v>
      </c>
      <c r="AO199" s="59">
        <f t="shared" si="205"/>
        <v>249.77804091581208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16.562837043921181</v>
      </c>
      <c r="AV199" s="21">
        <f>EXP(-LN(2)/25)*AV198+(1-EXP(-LN(2)/25))/(LN(2)/25)*Calculateur!AQ199*Calculateur!AS199*VLOOKUP('Données projet'!$B$10,Paramètres!$A$1:$I$89,3,0)*0.475*44/12</f>
        <v>1.5221954898016217</v>
      </c>
      <c r="AW199" s="21">
        <f>EXP(-LN(2)/2)*AW198+(1-EXP(-LN(2)/2))/(LN(2)/2)*AQ199*AT199*VLOOKUP('Données projet'!$B$10,Paramètres!$A$1:$I$89,3,0)*0.475*44/12</f>
        <v>4.0497237261925973E-17</v>
      </c>
      <c r="AX199" s="21">
        <f t="shared" si="166"/>
        <v>18.085032533722803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-6.3550942286383367E-14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278.5296012747549</v>
      </c>
      <c r="T200" s="59">
        <f t="shared" si="204"/>
        <v>370.55343097937077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13.615938983575615</v>
      </c>
      <c r="AA200" s="21">
        <f>EXP(-LN(2)/25)*AA199+(1-EXP(-LN(2)/25))/(LN(2)/25)*Calculateur!V200*Calculateur!X200*VLOOKUP('Données projet'!$B$9,Paramètres!$A$1:$I$89,3,0)*0.475*44/12</f>
        <v>1.1236473012500043</v>
      </c>
      <c r="AB200" s="21">
        <f>EXP(-LN(2)/2)*AB199+(1-EXP(-LN(2)/2))/(LN(2)/2)*V200*Y200*VLOOKUP('Données projet'!$B$9,Paramètres!$A$1:$I$89,3,0)*0.475*44/12</f>
        <v>1.446787500632676E-20</v>
      </c>
      <c r="AC200" s="22">
        <f t="shared" si="163"/>
        <v>14.73958628482562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-6.7984728957526396E-14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283.73369613548124</v>
      </c>
      <c r="AO200" s="59">
        <f t="shared" si="205"/>
        <v>249.77804091581208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16.238049911822962</v>
      </c>
      <c r="AV200" s="21">
        <f>EXP(-LN(2)/25)*AV199+(1-EXP(-LN(2)/25))/(LN(2)/25)*Calculateur!AQ200*Calculateur!AS200*VLOOKUP('Données projet'!$B$10,Paramètres!$A$1:$I$89,3,0)*0.475*44/12</f>
        <v>1.4805709740842146</v>
      </c>
      <c r="AW200" s="21">
        <f>EXP(-LN(2)/2)*AW199+(1-EXP(-LN(2)/2))/(LN(2)/2)*AQ200*AT200*VLOOKUP('Données projet'!$B$10,Paramètres!$A$1:$I$89,3,0)*0.475*44/12</f>
        <v>2.8635871087228388E-17</v>
      </c>
      <c r="AX200" s="21">
        <f t="shared" si="166"/>
        <v>17.718620885907178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-6.3550942286383367E-14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278.5296012747549</v>
      </c>
      <c r="T201" s="59">
        <f t="shared" si="204"/>
        <v>370.55343097937077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13.348938725010436</v>
      </c>
      <c r="AA201" s="21">
        <f>EXP(-LN(2)/25)*AA200+(1-EXP(-LN(2)/25))/(LN(2)/25)*Calculateur!V201*Calculateur!X201*VLOOKUP('Données projet'!$B$9,Paramètres!$A$1:$I$89,3,0)*0.475*44/12</f>
        <v>1.0929211067072795</v>
      </c>
      <c r="AB201" s="21">
        <f>EXP(-LN(2)/2)*AB200+(1-EXP(-LN(2)/2))/(LN(2)/2)*V201*Y201*VLOOKUP('Données projet'!$B$9,Paramètres!$A$1:$I$89,3,0)*0.475*44/12</f>
        <v>1.0230332526333016E-20</v>
      </c>
      <c r="AC201" s="22">
        <f t="shared" si="163"/>
        <v>14.441859831717716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-6.7984728957526396E-14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283.73369613548124</v>
      </c>
      <c r="AO201" s="59">
        <f t="shared" si="205"/>
        <v>249.77804091581208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15.919631657284599</v>
      </c>
      <c r="AV201" s="21">
        <f>EXP(-LN(2)/25)*AV200+(1-EXP(-LN(2)/25))/(LN(2)/25)*Calculateur!AQ201*Calculateur!AS201*VLOOKUP('Données projet'!$B$10,Paramètres!$A$1:$I$89,3,0)*0.475*44/12</f>
        <v>1.440084682938038</v>
      </c>
      <c r="AW201" s="21">
        <f>EXP(-LN(2)/2)*AW200+(1-EXP(-LN(2)/2))/(LN(2)/2)*AQ201*AT201*VLOOKUP('Données projet'!$B$10,Paramètres!$A$1:$I$89,3,0)*0.475*44/12</f>
        <v>2.0248618630962986E-17</v>
      </c>
      <c r="AX201" s="21">
        <f t="shared" si="166"/>
        <v>17.359716340222636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-6.3550942286383367E-14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278.5296012747549</v>
      </c>
      <c r="T202" s="59">
        <f t="shared" si="204"/>
        <v>370.55343097937077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13.087174178661643</v>
      </c>
      <c r="AA202" s="21">
        <f>EXP(-LN(2)/25)*AA201+(1-EXP(-LN(2)/25))/(LN(2)/25)*Calculateur!V202*Calculateur!X202*VLOOKUP('Données projet'!$B$9,Paramètres!$A$1:$I$89,3,0)*0.475*44/12</f>
        <v>1.0630351215701459</v>
      </c>
      <c r="AB202" s="21">
        <f>EXP(-LN(2)/2)*AB201+(1-EXP(-LN(2)/2))/(LN(2)/2)*V202*Y202*VLOOKUP('Données projet'!$B$9,Paramètres!$A$1:$I$89,3,0)*0.475*44/12</f>
        <v>7.2339375031633799E-21</v>
      </c>
      <c r="AC202" s="22">
        <f t="shared" si="163"/>
        <v>14.150209300231788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-6.7984728957526396E-14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283.73369613548124</v>
      </c>
      <c r="AO202" s="59">
        <f t="shared" si="205"/>
        <v>249.77804091581208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15.607457390501775</v>
      </c>
      <c r="AV202" s="21">
        <f>EXP(-LN(2)/25)*AV201+(1-EXP(-LN(2)/25))/(LN(2)/25)*Calculateur!AQ202*Calculateur!AS202*VLOOKUP('Données projet'!$B$10,Paramètres!$A$1:$I$89,3,0)*0.475*44/12</f>
        <v>1.4007054915523354</v>
      </c>
      <c r="AW202" s="21">
        <f>EXP(-LN(2)/2)*AW201+(1-EXP(-LN(2)/2))/(LN(2)/2)*AQ202*AT202*VLOOKUP('Données projet'!$B$10,Paramètres!$A$1:$I$89,3,0)*0.475*44/12</f>
        <v>1.4317935543614194E-17</v>
      </c>
      <c r="AX202" s="21">
        <f t="shared" si="166"/>
        <v>17.008162882054112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-6.3550942286383367E-14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278.5296012747549</v>
      </c>
      <c r="T203" s="59">
        <f t="shared" si="204"/>
        <v>370.55343097937077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12.830542675406141</v>
      </c>
      <c r="AA203" s="21">
        <f>EXP(-LN(2)/25)*AA202+(1-EXP(-LN(2)/25))/(LN(2)/25)*Calculateur!V203*Calculateur!X203*VLOOKUP('Données projet'!$B$9,Paramètres!$A$1:$I$89,3,0)*0.475*44/12</f>
        <v>1.0339663702682229</v>
      </c>
      <c r="AB203" s="21">
        <f>EXP(-LN(2)/2)*AB202+(1-EXP(-LN(2)/2))/(LN(2)/2)*V203*Y203*VLOOKUP('Données projet'!$B$9,Paramètres!$A$1:$I$89,3,0)*0.475*44/12</f>
        <v>5.115166263166508E-21</v>
      </c>
      <c r="AC203" s="22">
        <f t="shared" si="163"/>
        <v>13.864509045674364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-6.7984728957526396E-14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283.73369613548124</v>
      </c>
      <c r="AO203" s="59">
        <f t="shared" si="205"/>
        <v>249.77804091581208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15.301404670683061</v>
      </c>
      <c r="AV203" s="21">
        <f>EXP(-LN(2)/25)*AV202+(1-EXP(-LN(2)/25))/(LN(2)/25)*Calculateur!AQ203*Calculateur!AS203*VLOOKUP('Données projet'!$B$10,Paramètres!$A$1:$I$89,3,0)*0.475*44/12</f>
        <v>1.3624031262259364</v>
      </c>
      <c r="AW203" s="21">
        <f>EXP(-LN(2)/2)*AW202+(1-EXP(-LN(2)/2))/(LN(2)/2)*AQ203*AT203*VLOOKUP('Données projet'!$B$10,Paramètres!$A$1:$I$89,3,0)*0.475*44/12</f>
        <v>1.0124309315481493E-17</v>
      </c>
      <c r="AX203" s="21">
        <f t="shared" si="166"/>
        <v>16.663807796908998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99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99</v>
      </c>
      <c r="BA204" s="81" t="s">
        <v>99</v>
      </c>
      <c r="BV204" s="81" t="s">
        <v>99</v>
      </c>
      <c r="CQ204" s="81" t="s">
        <v>99</v>
      </c>
      <c r="DL204" s="81" t="s">
        <v>99</v>
      </c>
      <c r="EG204" s="81" t="s">
        <v>99</v>
      </c>
      <c r="FB204" s="81" t="s">
        <v>99</v>
      </c>
      <c r="FW204" s="81" t="s">
        <v>99</v>
      </c>
      <c r="GR204" s="81" t="s">
        <v>99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1.3356034260773062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1.2909310311160476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100</v>
      </c>
      <c r="B1" s="112" t="s">
        <v>101</v>
      </c>
      <c r="C1" s="113" t="s">
        <v>102</v>
      </c>
      <c r="D1" s="112" t="s">
        <v>103</v>
      </c>
      <c r="E1" s="113" t="s">
        <v>104</v>
      </c>
      <c r="F1" s="113" t="s">
        <v>103</v>
      </c>
      <c r="G1" s="113" t="s">
        <v>105</v>
      </c>
      <c r="H1" s="113" t="s">
        <v>103</v>
      </c>
      <c r="I1" s="114" t="s">
        <v>106</v>
      </c>
      <c r="J1" s="78"/>
      <c r="K1" s="78"/>
      <c r="L1" s="78"/>
      <c r="M1" s="78"/>
      <c r="N1" s="78"/>
    </row>
    <row r="2" spans="1:16" x14ac:dyDescent="0.35">
      <c r="A2" s="115" t="s">
        <v>107</v>
      </c>
      <c r="B2" s="116" t="s">
        <v>108</v>
      </c>
      <c r="C2" s="117">
        <v>0.62</v>
      </c>
      <c r="D2" s="117" t="s">
        <v>109</v>
      </c>
      <c r="E2" s="117">
        <v>1.56</v>
      </c>
      <c r="F2" s="117" t="s">
        <v>110</v>
      </c>
      <c r="G2" s="118">
        <v>0.43</v>
      </c>
      <c r="H2" s="119" t="s">
        <v>111</v>
      </c>
      <c r="I2" s="120">
        <v>0.25</v>
      </c>
      <c r="J2" s="78"/>
      <c r="K2" s="78"/>
      <c r="L2" s="78"/>
      <c r="M2" s="78"/>
      <c r="N2" s="78"/>
      <c r="O2" s="281" t="s">
        <v>112</v>
      </c>
      <c r="P2" s="121">
        <v>0</v>
      </c>
    </row>
    <row r="3" spans="1:16" ht="15" thickBot="1" x14ac:dyDescent="0.4">
      <c r="A3" s="122" t="s">
        <v>113</v>
      </c>
      <c r="B3" s="123" t="s">
        <v>114</v>
      </c>
      <c r="C3" s="124">
        <v>0.64</v>
      </c>
      <c r="D3" s="124" t="s">
        <v>109</v>
      </c>
      <c r="E3" s="124">
        <v>1.56</v>
      </c>
      <c r="F3" s="125" t="s">
        <v>110</v>
      </c>
      <c r="G3" s="126">
        <v>0.43</v>
      </c>
      <c r="H3" s="124" t="s">
        <v>111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115</v>
      </c>
      <c r="B4" s="123" t="s">
        <v>116</v>
      </c>
      <c r="C4" s="124">
        <v>0.42</v>
      </c>
      <c r="D4" s="124" t="s">
        <v>109</v>
      </c>
      <c r="E4" s="124">
        <v>1.56</v>
      </c>
      <c r="F4" s="125" t="s">
        <v>110</v>
      </c>
      <c r="G4" s="126">
        <v>0.43</v>
      </c>
      <c r="H4" s="124" t="s">
        <v>111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117</v>
      </c>
      <c r="B5" s="123" t="s">
        <v>118</v>
      </c>
      <c r="C5" s="124">
        <v>0.42</v>
      </c>
      <c r="D5" s="124" t="s">
        <v>109</v>
      </c>
      <c r="E5" s="124">
        <v>1.56</v>
      </c>
      <c r="F5" s="125" t="s">
        <v>110</v>
      </c>
      <c r="G5" s="126">
        <v>0.43</v>
      </c>
      <c r="H5" s="124" t="s">
        <v>111</v>
      </c>
      <c r="I5" s="127">
        <v>0.25</v>
      </c>
      <c r="J5" s="78"/>
      <c r="K5" s="78"/>
      <c r="L5" s="78"/>
      <c r="M5" s="78"/>
      <c r="N5" s="78"/>
      <c r="O5" s="281" t="s">
        <v>119</v>
      </c>
      <c r="P5" s="121">
        <v>0</v>
      </c>
    </row>
    <row r="6" spans="1:16" x14ac:dyDescent="0.35">
      <c r="A6" s="122" t="s">
        <v>120</v>
      </c>
      <c r="B6" s="123" t="s">
        <v>121</v>
      </c>
      <c r="C6" s="124">
        <v>0.42</v>
      </c>
      <c r="D6" s="124" t="s">
        <v>109</v>
      </c>
      <c r="E6" s="124">
        <v>1.56</v>
      </c>
      <c r="F6" s="125" t="s">
        <v>110</v>
      </c>
      <c r="G6" s="126">
        <v>0.43</v>
      </c>
      <c r="H6" s="124" t="s">
        <v>111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122</v>
      </c>
      <c r="B7" s="123" t="s">
        <v>123</v>
      </c>
      <c r="C7" s="124">
        <v>0.52</v>
      </c>
      <c r="D7" s="124" t="s">
        <v>109</v>
      </c>
      <c r="E7" s="124">
        <v>1.56</v>
      </c>
      <c r="F7" s="125" t="s">
        <v>110</v>
      </c>
      <c r="G7" s="126">
        <v>0.43</v>
      </c>
      <c r="H7" s="124" t="s">
        <v>111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124</v>
      </c>
      <c r="B8" s="123" t="s">
        <v>125</v>
      </c>
      <c r="C8" s="124">
        <v>0.36</v>
      </c>
      <c r="D8" s="124" t="s">
        <v>109</v>
      </c>
      <c r="E8" s="124">
        <v>1.3</v>
      </c>
      <c r="F8" s="125" t="s">
        <v>110</v>
      </c>
      <c r="G8" s="126">
        <v>0.55000000000000004</v>
      </c>
      <c r="H8" s="124" t="s">
        <v>126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127</v>
      </c>
      <c r="B9" s="123" t="s">
        <v>128</v>
      </c>
      <c r="C9" s="124">
        <v>0.61</v>
      </c>
      <c r="D9" s="124" t="s">
        <v>109</v>
      </c>
      <c r="E9" s="124">
        <v>1.56</v>
      </c>
      <c r="F9" s="125" t="s">
        <v>110</v>
      </c>
      <c r="G9" s="126">
        <v>0.43</v>
      </c>
      <c r="H9" s="124" t="s">
        <v>111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129</v>
      </c>
      <c r="B10" s="123" t="s">
        <v>130</v>
      </c>
      <c r="C10" s="124">
        <v>0.66</v>
      </c>
      <c r="D10" s="124" t="s">
        <v>109</v>
      </c>
      <c r="E10" s="124">
        <v>1.56</v>
      </c>
      <c r="F10" s="125" t="s">
        <v>110</v>
      </c>
      <c r="G10" s="126">
        <v>0.43</v>
      </c>
      <c r="H10" s="124" t="s">
        <v>111</v>
      </c>
      <c r="I10" s="127">
        <v>0.25</v>
      </c>
      <c r="J10" s="78"/>
      <c r="K10" s="78"/>
      <c r="L10" s="78"/>
      <c r="M10" s="78"/>
      <c r="N10" s="78"/>
      <c r="O10" s="281" t="s">
        <v>131</v>
      </c>
      <c r="P10" s="121">
        <v>0</v>
      </c>
    </row>
    <row r="11" spans="1:16" ht="15" thickBot="1" x14ac:dyDescent="0.4">
      <c r="A11" s="122" t="s">
        <v>132</v>
      </c>
      <c r="B11" s="123" t="s">
        <v>133</v>
      </c>
      <c r="C11" s="124">
        <v>0.47</v>
      </c>
      <c r="D11" s="124" t="s">
        <v>109</v>
      </c>
      <c r="E11" s="124">
        <v>1.56</v>
      </c>
      <c r="F11" s="125" t="s">
        <v>110</v>
      </c>
      <c r="G11" s="126">
        <v>0.43</v>
      </c>
      <c r="H11" s="124" t="s">
        <v>111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134</v>
      </c>
      <c r="B12" s="123" t="s">
        <v>135</v>
      </c>
      <c r="C12" s="124">
        <v>0.67</v>
      </c>
      <c r="D12" s="124" t="s">
        <v>109</v>
      </c>
      <c r="E12" s="124">
        <v>1.56</v>
      </c>
      <c r="F12" s="125" t="s">
        <v>110</v>
      </c>
      <c r="G12" s="126">
        <v>0.43</v>
      </c>
      <c r="H12" s="124" t="s">
        <v>136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137</v>
      </c>
      <c r="B13" s="123" t="s">
        <v>138</v>
      </c>
      <c r="C13" s="124">
        <v>0.7</v>
      </c>
      <c r="D13" s="124" t="s">
        <v>109</v>
      </c>
      <c r="E13" s="124">
        <v>1.56</v>
      </c>
      <c r="F13" s="125" t="s">
        <v>110</v>
      </c>
      <c r="G13" s="126">
        <v>0.43</v>
      </c>
      <c r="H13" s="124" t="s">
        <v>136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139</v>
      </c>
      <c r="B14" s="123" t="s">
        <v>140</v>
      </c>
      <c r="C14" s="124">
        <v>0.54</v>
      </c>
      <c r="D14" s="124" t="s">
        <v>109</v>
      </c>
      <c r="E14" s="124">
        <v>1.56</v>
      </c>
      <c r="F14" s="125" t="s">
        <v>110</v>
      </c>
      <c r="G14" s="126">
        <v>0.43</v>
      </c>
      <c r="H14" s="124" t="s">
        <v>136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141</v>
      </c>
      <c r="B15" s="123" t="s">
        <v>142</v>
      </c>
      <c r="C15" s="124">
        <v>0.65</v>
      </c>
      <c r="D15" s="124" t="s">
        <v>109</v>
      </c>
      <c r="E15" s="124">
        <v>1.56</v>
      </c>
      <c r="F15" s="125" t="s">
        <v>110</v>
      </c>
      <c r="G15" s="126">
        <v>0.43</v>
      </c>
      <c r="H15" s="124" t="s">
        <v>136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143</v>
      </c>
      <c r="B16" s="123" t="s">
        <v>144</v>
      </c>
      <c r="C16" s="124">
        <v>0.56000000000000005</v>
      </c>
      <c r="D16" s="124" t="s">
        <v>109</v>
      </c>
      <c r="E16" s="124">
        <v>1.56</v>
      </c>
      <c r="F16" s="125" t="s">
        <v>110</v>
      </c>
      <c r="G16" s="126">
        <v>0.43</v>
      </c>
      <c r="H16" s="124" t="s">
        <v>136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145</v>
      </c>
      <c r="B17" s="123" t="s">
        <v>146</v>
      </c>
      <c r="C17" s="124">
        <v>0.57999999999999996</v>
      </c>
      <c r="D17" s="124" t="s">
        <v>109</v>
      </c>
      <c r="E17" s="124">
        <v>1.56</v>
      </c>
      <c r="F17" s="125" t="s">
        <v>110</v>
      </c>
      <c r="G17" s="126">
        <v>0.43</v>
      </c>
      <c r="H17" s="124" t="s">
        <v>136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147</v>
      </c>
      <c r="B18" s="123" t="s">
        <v>148</v>
      </c>
      <c r="C18" s="124">
        <v>0.64</v>
      </c>
      <c r="D18" s="124" t="s">
        <v>109</v>
      </c>
      <c r="E18" s="124">
        <v>1.56</v>
      </c>
      <c r="F18" s="125" t="s">
        <v>110</v>
      </c>
      <c r="G18" s="126">
        <v>0.43</v>
      </c>
      <c r="H18" s="124" t="s">
        <v>136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149</v>
      </c>
      <c r="B19" s="123" t="s">
        <v>150</v>
      </c>
      <c r="C19" s="124">
        <v>0.73</v>
      </c>
      <c r="D19" s="124" t="s">
        <v>109</v>
      </c>
      <c r="E19" s="124">
        <v>1.56</v>
      </c>
      <c r="F19" s="125" t="s">
        <v>110</v>
      </c>
      <c r="G19" s="126">
        <v>0.43</v>
      </c>
      <c r="H19" s="124" t="s">
        <v>136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151</v>
      </c>
      <c r="B20" s="123" t="s">
        <v>152</v>
      </c>
      <c r="C20" s="124">
        <v>0.69</v>
      </c>
      <c r="D20" s="124" t="s">
        <v>153</v>
      </c>
      <c r="E20" s="124">
        <v>1.56</v>
      </c>
      <c r="F20" s="125" t="s">
        <v>110</v>
      </c>
      <c r="G20" s="126">
        <v>0.43</v>
      </c>
      <c r="H20" s="124" t="s">
        <v>154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155</v>
      </c>
      <c r="B21" s="123" t="s">
        <v>156</v>
      </c>
      <c r="C21" s="124">
        <v>0.36</v>
      </c>
      <c r="D21" s="124" t="s">
        <v>109</v>
      </c>
      <c r="E21" s="124">
        <v>1.3</v>
      </c>
      <c r="F21" s="125" t="s">
        <v>110</v>
      </c>
      <c r="G21" s="126">
        <v>0.55000000000000004</v>
      </c>
      <c r="H21" s="124" t="s">
        <v>126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157</v>
      </c>
      <c r="B22" s="123" t="s">
        <v>158</v>
      </c>
      <c r="C22" s="124">
        <v>0.4</v>
      </c>
      <c r="D22" s="124" t="s">
        <v>109</v>
      </c>
      <c r="E22" s="124">
        <v>1.3</v>
      </c>
      <c r="F22" s="125" t="s">
        <v>110</v>
      </c>
      <c r="G22" s="126">
        <v>0.55000000000000004</v>
      </c>
      <c r="H22" s="124" t="s">
        <v>126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16</v>
      </c>
      <c r="B23" s="123" t="s">
        <v>159</v>
      </c>
      <c r="C23" s="124">
        <v>0.43</v>
      </c>
      <c r="D23" s="124" t="s">
        <v>109</v>
      </c>
      <c r="E23" s="124">
        <v>1.3</v>
      </c>
      <c r="F23" s="125" t="s">
        <v>110</v>
      </c>
      <c r="G23" s="126">
        <v>0.55000000000000004</v>
      </c>
      <c r="H23" s="124" t="s">
        <v>126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69</v>
      </c>
      <c r="B24" s="123" t="s">
        <v>160</v>
      </c>
      <c r="C24" s="124">
        <v>0.37</v>
      </c>
      <c r="D24" s="124" t="s">
        <v>109</v>
      </c>
      <c r="E24" s="124">
        <v>1.3</v>
      </c>
      <c r="F24" s="125" t="s">
        <v>110</v>
      </c>
      <c r="G24" s="126">
        <v>0.55000000000000004</v>
      </c>
      <c r="H24" s="124" t="s">
        <v>136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161</v>
      </c>
      <c r="B25" s="123" t="s">
        <v>162</v>
      </c>
      <c r="C25" s="124">
        <v>0.36</v>
      </c>
      <c r="D25" s="124" t="s">
        <v>109</v>
      </c>
      <c r="E25" s="124">
        <v>1.3</v>
      </c>
      <c r="F25" s="125" t="s">
        <v>110</v>
      </c>
      <c r="G25" s="126">
        <v>0.55000000000000004</v>
      </c>
      <c r="H25" s="124" t="s">
        <v>136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163</v>
      </c>
      <c r="B26" s="123" t="s">
        <v>164</v>
      </c>
      <c r="C26" s="124">
        <v>0.56000000000000005</v>
      </c>
      <c r="D26" s="124" t="s">
        <v>109</v>
      </c>
      <c r="E26" s="124">
        <v>1.56</v>
      </c>
      <c r="F26" s="125" t="s">
        <v>110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166</v>
      </c>
      <c r="B27" s="123" t="s">
        <v>167</v>
      </c>
      <c r="C27" s="124">
        <v>0.51</v>
      </c>
      <c r="D27" s="124" t="s">
        <v>109</v>
      </c>
      <c r="E27" s="124">
        <v>1.56</v>
      </c>
      <c r="F27" s="125" t="s">
        <v>110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168</v>
      </c>
      <c r="B28" s="123" t="s">
        <v>169</v>
      </c>
      <c r="C28" s="124">
        <v>0.51</v>
      </c>
      <c r="D28" s="124" t="s">
        <v>109</v>
      </c>
      <c r="E28" s="124">
        <v>1.56</v>
      </c>
      <c r="F28" s="125" t="s">
        <v>110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170</v>
      </c>
      <c r="B29" s="123" t="s">
        <v>170</v>
      </c>
      <c r="C29" s="124">
        <v>0.56000000000000005</v>
      </c>
      <c r="D29" s="124" t="s">
        <v>109</v>
      </c>
      <c r="E29" s="124">
        <v>1.56</v>
      </c>
      <c r="F29" s="125" t="s">
        <v>110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171</v>
      </c>
      <c r="B30" s="123" t="s">
        <v>172</v>
      </c>
      <c r="C30" s="124">
        <v>0.55000000000000004</v>
      </c>
      <c r="D30" s="124" t="s">
        <v>109</v>
      </c>
      <c r="E30" s="124">
        <v>1.56</v>
      </c>
      <c r="F30" s="125" t="s">
        <v>110</v>
      </c>
      <c r="G30" s="126">
        <v>0.53</v>
      </c>
      <c r="H30" s="124" t="s">
        <v>136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109</v>
      </c>
      <c r="E31" s="124">
        <v>1.56</v>
      </c>
      <c r="F31" s="125" t="s">
        <v>110</v>
      </c>
      <c r="G31" s="126">
        <v>0.43</v>
      </c>
      <c r="H31" s="124" t="s">
        <v>111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175</v>
      </c>
      <c r="B32" s="123" t="s">
        <v>176</v>
      </c>
      <c r="C32" s="124">
        <v>0.48</v>
      </c>
      <c r="D32" s="124" t="s">
        <v>109</v>
      </c>
      <c r="E32" s="124">
        <v>1.3</v>
      </c>
      <c r="F32" s="125" t="s">
        <v>110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109</v>
      </c>
      <c r="E33" s="124">
        <v>1.3</v>
      </c>
      <c r="F33" s="125" t="s">
        <v>110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110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109</v>
      </c>
      <c r="E35" s="124">
        <v>1.56</v>
      </c>
      <c r="F35" s="125" t="s">
        <v>110</v>
      </c>
      <c r="G35" s="126">
        <v>0.43</v>
      </c>
      <c r="H35" s="124" t="s">
        <v>111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109</v>
      </c>
      <c r="E36" s="124">
        <v>1.56</v>
      </c>
      <c r="F36" s="125" t="s">
        <v>110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109</v>
      </c>
      <c r="E37" s="124">
        <v>1.56</v>
      </c>
      <c r="F37" s="125" t="s">
        <v>110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109</v>
      </c>
      <c r="E38" s="124">
        <v>1.56</v>
      </c>
      <c r="F38" s="125" t="s">
        <v>110</v>
      </c>
      <c r="G38" s="126">
        <v>0.43</v>
      </c>
      <c r="H38" s="124" t="s">
        <v>111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110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110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110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110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110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110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110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110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110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110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110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110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110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110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110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110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110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110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110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110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110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110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110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109</v>
      </c>
      <c r="E62" s="124">
        <v>1.56</v>
      </c>
      <c r="F62" s="125" t="s">
        <v>110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109</v>
      </c>
      <c r="E63" s="124">
        <v>1.3</v>
      </c>
      <c r="F63" s="125" t="s">
        <v>110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109</v>
      </c>
      <c r="E64" s="124">
        <v>1.3</v>
      </c>
      <c r="F64" s="125" t="s">
        <v>110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109</v>
      </c>
      <c r="E65" s="124">
        <v>1.3</v>
      </c>
      <c r="F65" s="125" t="s">
        <v>110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19</v>
      </c>
      <c r="B66" s="123" t="s">
        <v>227</v>
      </c>
      <c r="C66" s="124">
        <v>0.46</v>
      </c>
      <c r="D66" s="124" t="s">
        <v>109</v>
      </c>
      <c r="E66" s="124">
        <v>1.3</v>
      </c>
      <c r="F66" s="125" t="s">
        <v>110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228</v>
      </c>
      <c r="B67" s="123" t="s">
        <v>229</v>
      </c>
      <c r="C67" s="124">
        <v>0.46</v>
      </c>
      <c r="D67" s="124" t="s">
        <v>109</v>
      </c>
      <c r="E67" s="124">
        <v>1.3</v>
      </c>
      <c r="F67" s="125" t="s">
        <v>110</v>
      </c>
      <c r="G67" s="126">
        <v>0.45</v>
      </c>
      <c r="H67" s="124" t="s">
        <v>136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230</v>
      </c>
      <c r="B68" s="123" t="s">
        <v>231</v>
      </c>
      <c r="C68" s="124">
        <v>0.44</v>
      </c>
      <c r="D68" s="124" t="s">
        <v>109</v>
      </c>
      <c r="E68" s="124">
        <v>1.3</v>
      </c>
      <c r="F68" s="125" t="s">
        <v>110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232</v>
      </c>
      <c r="B69" s="123" t="s">
        <v>233</v>
      </c>
      <c r="C69" s="124">
        <v>0.46</v>
      </c>
      <c r="D69" s="124" t="s">
        <v>109</v>
      </c>
      <c r="E69" s="124">
        <v>1.3</v>
      </c>
      <c r="F69" s="125" t="s">
        <v>110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234</v>
      </c>
      <c r="B70" s="123" t="s">
        <v>235</v>
      </c>
      <c r="C70" s="124">
        <v>0.48</v>
      </c>
      <c r="D70" s="124" t="s">
        <v>109</v>
      </c>
      <c r="E70" s="124">
        <v>2.4</v>
      </c>
      <c r="F70" s="124" t="s">
        <v>236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237</v>
      </c>
      <c r="B71" s="123" t="s">
        <v>238</v>
      </c>
      <c r="C71" s="124">
        <v>0.46</v>
      </c>
      <c r="D71" s="124" t="s">
        <v>239</v>
      </c>
      <c r="E71" s="124">
        <v>1.3</v>
      </c>
      <c r="F71" s="125" t="s">
        <v>110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240</v>
      </c>
      <c r="B72" s="123" t="s">
        <v>241</v>
      </c>
      <c r="C72" s="124">
        <v>0.44</v>
      </c>
      <c r="D72" s="124" t="s">
        <v>109</v>
      </c>
      <c r="E72" s="124">
        <v>1.3</v>
      </c>
      <c r="F72" s="125" t="s">
        <v>110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242</v>
      </c>
      <c r="B73" s="123" t="s">
        <v>243</v>
      </c>
      <c r="C73" s="124">
        <v>0.46</v>
      </c>
      <c r="D73" s="124" t="s">
        <v>244</v>
      </c>
      <c r="E73" s="124">
        <v>1.3</v>
      </c>
      <c r="F73" s="125" t="s">
        <v>110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245</v>
      </c>
      <c r="B74" s="123" t="s">
        <v>246</v>
      </c>
      <c r="C74" s="124">
        <v>0.34</v>
      </c>
      <c r="D74" s="124" t="s">
        <v>109</v>
      </c>
      <c r="E74" s="124">
        <v>1.3</v>
      </c>
      <c r="F74" s="125" t="s">
        <v>110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247</v>
      </c>
      <c r="B75" s="123" t="s">
        <v>248</v>
      </c>
      <c r="C75" s="124">
        <v>0.5</v>
      </c>
      <c r="D75" s="124" t="s">
        <v>109</v>
      </c>
      <c r="E75" s="124">
        <v>1.56</v>
      </c>
      <c r="F75" s="125" t="s">
        <v>110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249</v>
      </c>
      <c r="B76" s="123" t="s">
        <v>250</v>
      </c>
      <c r="C76" s="124">
        <v>0.57999999999999996</v>
      </c>
      <c r="D76" s="124" t="s">
        <v>109</v>
      </c>
      <c r="E76" s="124">
        <v>1.56</v>
      </c>
      <c r="F76" s="125" t="s">
        <v>110</v>
      </c>
      <c r="G76" s="126">
        <v>0.3</v>
      </c>
      <c r="H76" s="124" t="s">
        <v>251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252</v>
      </c>
      <c r="B77" s="123" t="s">
        <v>253</v>
      </c>
      <c r="C77" s="124">
        <v>0.37</v>
      </c>
      <c r="D77" s="124" t="s">
        <v>109</v>
      </c>
      <c r="E77" s="124">
        <v>1.3</v>
      </c>
      <c r="F77" s="125" t="s">
        <v>110</v>
      </c>
      <c r="G77" s="126">
        <v>0.55000000000000004</v>
      </c>
      <c r="H77" s="124" t="s">
        <v>136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254</v>
      </c>
      <c r="B78" s="123" t="s">
        <v>255</v>
      </c>
      <c r="C78" s="124">
        <v>0.37</v>
      </c>
      <c r="D78" s="124" t="s">
        <v>109</v>
      </c>
      <c r="E78" s="124">
        <v>1.3</v>
      </c>
      <c r="F78" s="125" t="s">
        <v>110</v>
      </c>
      <c r="G78" s="126">
        <v>0.55000000000000004</v>
      </c>
      <c r="H78" s="124" t="s">
        <v>136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256</v>
      </c>
      <c r="B79" s="123" t="s">
        <v>257</v>
      </c>
      <c r="C79" s="124">
        <v>0.38</v>
      </c>
      <c r="D79" s="124" t="s">
        <v>109</v>
      </c>
      <c r="E79" s="124">
        <v>1.3</v>
      </c>
      <c r="F79" s="125" t="s">
        <v>110</v>
      </c>
      <c r="G79" s="126">
        <v>0.55000000000000004</v>
      </c>
      <c r="H79" s="124" t="s">
        <v>126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258</v>
      </c>
      <c r="B80" s="123" t="s">
        <v>259</v>
      </c>
      <c r="C80" s="124">
        <v>0.36</v>
      </c>
      <c r="D80" s="124" t="s">
        <v>109</v>
      </c>
      <c r="E80" s="124">
        <v>1.3</v>
      </c>
      <c r="F80" s="125" t="s">
        <v>110</v>
      </c>
      <c r="G80" s="126">
        <v>0.55000000000000004</v>
      </c>
      <c r="H80" s="124" t="s">
        <v>126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260</v>
      </c>
      <c r="B81" s="123" t="s">
        <v>261</v>
      </c>
      <c r="C81" s="124">
        <v>0.37</v>
      </c>
      <c r="D81" s="124" t="s">
        <v>109</v>
      </c>
      <c r="E81" s="124">
        <v>1.56</v>
      </c>
      <c r="F81" s="125" t="s">
        <v>110</v>
      </c>
      <c r="G81" s="126">
        <v>0.43</v>
      </c>
      <c r="H81" s="124" t="s">
        <v>111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262</v>
      </c>
      <c r="B82" s="123" t="s">
        <v>263</v>
      </c>
      <c r="C82" s="124">
        <v>0.35</v>
      </c>
      <c r="D82" s="124" t="s">
        <v>264</v>
      </c>
      <c r="E82" s="124">
        <v>1.3</v>
      </c>
      <c r="F82" s="125" t="s">
        <v>110</v>
      </c>
      <c r="G82" s="126">
        <v>0.55000000000000004</v>
      </c>
      <c r="H82" s="124" t="s">
        <v>126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265</v>
      </c>
      <c r="B83" s="123" t="s">
        <v>266</v>
      </c>
      <c r="C83" s="124">
        <v>0.34</v>
      </c>
      <c r="D83" s="124" t="s">
        <v>109</v>
      </c>
      <c r="E83" s="124">
        <v>1.3</v>
      </c>
      <c r="F83" s="125" t="s">
        <v>110</v>
      </c>
      <c r="G83" s="126">
        <v>0.55000000000000004</v>
      </c>
      <c r="H83" s="124" t="s">
        <v>126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267</v>
      </c>
      <c r="B84" s="123" t="s">
        <v>268</v>
      </c>
      <c r="C84" s="124">
        <v>0.31</v>
      </c>
      <c r="D84" s="124" t="s">
        <v>109</v>
      </c>
      <c r="E84" s="124">
        <v>1.3</v>
      </c>
      <c r="F84" s="125" t="s">
        <v>110</v>
      </c>
      <c r="G84" s="126">
        <v>0.55000000000000004</v>
      </c>
      <c r="H84" s="124" t="s">
        <v>126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269</v>
      </c>
      <c r="B85" s="123" t="s">
        <v>270</v>
      </c>
      <c r="C85" s="124">
        <v>0.43</v>
      </c>
      <c r="D85" s="124" t="s">
        <v>109</v>
      </c>
      <c r="E85" s="124">
        <v>1.56</v>
      </c>
      <c r="F85" s="125" t="s">
        <v>110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271</v>
      </c>
      <c r="B86" s="123" t="s">
        <v>272</v>
      </c>
      <c r="C86" s="124">
        <v>0.38</v>
      </c>
      <c r="D86" s="124" t="s">
        <v>109</v>
      </c>
      <c r="E86" s="124">
        <v>1.56</v>
      </c>
      <c r="F86" s="125" t="s">
        <v>110</v>
      </c>
      <c r="G86" s="126">
        <v>0.6</v>
      </c>
      <c r="H86" s="124" t="s">
        <v>273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274</v>
      </c>
      <c r="B87" s="252" t="s">
        <v>275</v>
      </c>
      <c r="C87" s="253">
        <v>0.41</v>
      </c>
      <c r="D87" s="253" t="s">
        <v>276</v>
      </c>
      <c r="E87" s="253">
        <v>1.56</v>
      </c>
      <c r="F87" s="254" t="s">
        <v>110</v>
      </c>
      <c r="G87" s="255">
        <v>0.43</v>
      </c>
      <c r="H87" s="253" t="s">
        <v>111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277</v>
      </c>
      <c r="B88" s="130"/>
      <c r="C88" s="124">
        <v>0.42</v>
      </c>
      <c r="D88" s="124" t="s">
        <v>109</v>
      </c>
      <c r="E88" s="124">
        <v>1.3</v>
      </c>
      <c r="F88" s="125" t="s">
        <v>110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109</v>
      </c>
      <c r="E89" s="135">
        <v>1.56</v>
      </c>
      <c r="F89" s="135" t="s">
        <v>110</v>
      </c>
      <c r="G89" s="134"/>
      <c r="H89" s="134"/>
      <c r="I89" s="137"/>
    </row>
    <row r="93" spans="1:14" x14ac:dyDescent="0.35">
      <c r="A93" s="122" t="s">
        <v>70</v>
      </c>
    </row>
    <row r="94" spans="1:14" x14ac:dyDescent="0.35">
      <c r="A94" s="122" t="s">
        <v>71</v>
      </c>
    </row>
    <row r="95" spans="1:14" x14ac:dyDescent="0.35">
      <c r="A95" s="122" t="s">
        <v>72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62" zoomScaleNormal="90" workbookViewId="0">
      <selection activeCell="K27" sqref="K27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Douglas</v>
      </c>
      <c r="B6" s="146">
        <f>'Données projet'!D9</f>
        <v>13.600000000000001</v>
      </c>
      <c r="C6" s="147">
        <f ca="1">IF(OR('Données projet'!B9="",'Données projet'!C9="",'Données projet'!C9=0%),0,Calculateur!S3)</f>
        <v>278.5296012747549</v>
      </c>
      <c r="D6" s="147">
        <f>IF(OR('Données projet'!B9="",'Données projet'!C9="",'Données projet'!C9=0%),0,Calculateur!T3)</f>
        <v>370.55343097937077</v>
      </c>
      <c r="E6" s="147">
        <f ca="1">MIN(C6,D6)</f>
        <v>278.5296012747549</v>
      </c>
      <c r="F6" s="147">
        <f ca="1">E6*B6</f>
        <v>3788.0025773366669</v>
      </c>
      <c r="G6" s="147">
        <f ca="1">F6*(100%-'Données projet'!$C$24)*(100%-'Données projet'!$C$25)*(100%-'Données projet'!$C$26)*(100%-'Données projet'!$C$27)</f>
        <v>3409.2023196030004</v>
      </c>
      <c r="H6" s="148">
        <f>IF(OR('Données projet'!B9="",'Données projet'!C9="",'Données projet'!C9=0%),0,AVERAGE(Calculateur!$AC$3:$AC$33)*B6)</f>
        <v>166.08860166914116</v>
      </c>
      <c r="I6" s="149">
        <f>H6*(100%-'Données projet'!$C$24)*(100%-'Données projet'!$C$25)*(100%-'Données projet'!$C$26)*(100%-'Données projet'!$C$27)</f>
        <v>149.47974150222706</v>
      </c>
      <c r="J6" s="150">
        <f>IF(OR('Données projet'!B9="",'Données projet'!C9="",'Données projet'!C9=0%),0,SUM(Calculateur!$V$3:$V$33)*VLOOKUP('Données projet'!$B$9,Paramètres!$A$1:$I$89,9,0)*B6)</f>
        <v>1038.694769230769</v>
      </c>
      <c r="K6" s="151">
        <f>J6*(100%-'Données projet'!$C$24)*(100%-'Données projet'!$C$25)*(100%-'Données projet'!$C$26)*(100%-'Données projet'!$C$27)</f>
        <v>934.82529230769217</v>
      </c>
      <c r="L6" s="152">
        <f ca="1">G6+I6+K6</f>
        <v>4493.5073534129197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laricio</v>
      </c>
      <c r="B7" s="154">
        <f>'Données projet'!D10</f>
        <v>3.4000000000000004</v>
      </c>
      <c r="C7" s="147">
        <f ca="1">IF(OR('Données projet'!B10="",'Données projet'!C10="",'Données projet'!C10=0%),0,Calculateur!AN3)</f>
        <v>283.73369613548124</v>
      </c>
      <c r="D7" s="147">
        <f>IF(OR('Données projet'!B10="",'Données projet'!C10="",'Données projet'!C10=0%),0,Calculateur!AO3)</f>
        <v>249.77804091581208</v>
      </c>
      <c r="E7" s="147">
        <f t="shared" ref="E7:E15" ca="1" si="0">MIN(C7,D7)</f>
        <v>249.77804091581208</v>
      </c>
      <c r="F7" s="147">
        <f t="shared" ref="F7:F15" ca="1" si="1">E7*B7</f>
        <v>849.24533911376113</v>
      </c>
      <c r="G7" s="147">
        <f ca="1">F7*(100%-'Données projet'!$C$24)*(100%-'Données projet'!$C$25)*(100%-'Données projet'!$C$26)*(100%-'Données projet'!$C$27)</f>
        <v>764.32080520238503</v>
      </c>
      <c r="H7" s="155">
        <f>IF(OR('Données projet'!B10="",'Données projet'!C10="",'Données projet'!C10=0%),0,AVERAGE(Calculateur!$AX$3:$AX$33)*B7)</f>
        <v>28.328104323501872</v>
      </c>
      <c r="I7" s="149">
        <f>H7*(100%-'Données projet'!$C$24)*(100%-'Données projet'!$C$25)*(100%-'Données projet'!$C$26)*(100%-'Données projet'!$C$27)</f>
        <v>25.495293891151686</v>
      </c>
      <c r="J7" s="150">
        <f>IF(OR('Données projet'!B10="",'Données projet'!C10="",'Données projet'!C10=0%),0,SUM(Calculateur!$AQ$3:$AQ$33)*VLOOKUP('Données projet'!$B$10,Paramètres!$A$1:$I$89,9,0)*B7)</f>
        <v>208.80733846153845</v>
      </c>
      <c r="K7" s="151">
        <f>J7*(100%-'Données projet'!$C$24)*(100%-'Données projet'!$C$25)*(100%-'Données projet'!$C$26)*(100%-'Données projet'!$C$27)</f>
        <v>187.9266046153846</v>
      </c>
      <c r="L7" s="152">
        <f t="shared" ref="L7:L15" ca="1" si="2">G7+I7+K7</f>
        <v>977.74270370892134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4637.2479164504284</v>
      </c>
      <c r="G16" s="166">
        <f t="shared" ca="1" si="3"/>
        <v>4173.5231248053851</v>
      </c>
      <c r="H16" s="167">
        <f t="shared" si="3"/>
        <v>194.41670599264302</v>
      </c>
      <c r="I16" s="167">
        <f t="shared" si="3"/>
        <v>174.97503539337873</v>
      </c>
      <c r="J16" s="168">
        <f t="shared" si="3"/>
        <v>1247.5021076923074</v>
      </c>
      <c r="K16" s="168">
        <f t="shared" si="3"/>
        <v>1122.7518969230769</v>
      </c>
      <c r="L16" s="169">
        <f t="shared" ca="1" si="3"/>
        <v>5471.2500571218407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6" zoomScale="64" zoomScaleNormal="80" workbookViewId="0">
      <selection activeCell="I29" sqref="I29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55</v>
      </c>
      <c r="O7" s="247"/>
      <c r="P7" s="248"/>
      <c r="Q7" s="249"/>
      <c r="R7" s="296" t="s">
        <v>294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3624.1321677240853</v>
      </c>
      <c r="U10" s="178">
        <f>'Données projet'!D9</f>
        <v>13.600000000000001</v>
      </c>
      <c r="V10" s="177">
        <f>U10*T10</f>
        <v>49288.197481047566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1217.599080020394</v>
      </c>
      <c r="U11" s="178">
        <f>'Données projet'!D10</f>
        <v>3.4000000000000004</v>
      </c>
      <c r="V11" s="177">
        <f t="shared" ref="V11" si="0">U11*T11</f>
        <v>4139.8368720693397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74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306</v>
      </c>
      <c r="H15" s="190">
        <v>1</v>
      </c>
      <c r="I15" s="191">
        <f>59968/17</f>
        <v>3527.5294117647059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46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89"/>
      <c r="H16" s="190"/>
      <c r="I16" s="191"/>
      <c r="J16" s="202"/>
      <c r="K16" s="208"/>
      <c r="L16" s="286" t="s">
        <v>311</v>
      </c>
      <c r="M16" s="287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289"/>
      <c r="J17" s="202"/>
      <c r="K17" s="208"/>
      <c r="L17" s="259" t="s">
        <v>312</v>
      </c>
      <c r="M17" s="261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289"/>
      <c r="J18" s="202"/>
      <c r="K18" s="208"/>
      <c r="L18" s="259" t="s">
        <v>308</v>
      </c>
      <c r="M18" s="261"/>
      <c r="N18" s="192">
        <v>25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289"/>
      <c r="H19" s="212" t="s">
        <v>74</v>
      </c>
      <c r="I19" s="212" t="s">
        <v>313</v>
      </c>
      <c r="J19" s="93"/>
      <c r="K19" s="173"/>
      <c r="L19" s="286" t="s">
        <v>314</v>
      </c>
      <c r="M19" s="287"/>
      <c r="N19" s="179">
        <f>N17*N18</f>
        <v>749.99999999999977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89"/>
      <c r="H20" s="190">
        <v>1</v>
      </c>
      <c r="I20" s="191">
        <v>9271.4399999999987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>
        <v>2</v>
      </c>
      <c r="I21" s="191">
        <v>660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/>
      <c r="D22" s="197" t="s">
        <v>193</v>
      </c>
      <c r="E22" s="193"/>
      <c r="F22" s="230"/>
      <c r="H22" s="190">
        <v>3</v>
      </c>
      <c r="I22" s="191">
        <v>660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18</v>
      </c>
      <c r="B23" s="181">
        <f>'Données projet'!D36</f>
        <v>69.284615384615378</v>
      </c>
      <c r="C23" s="193">
        <v>10</v>
      </c>
      <c r="D23" s="182">
        <f>B23*C23</f>
        <v>692.84615384615381</v>
      </c>
      <c r="E23" s="193">
        <v>150</v>
      </c>
      <c r="F23" s="230"/>
      <c r="H23" s="190">
        <v>4</v>
      </c>
      <c r="I23" s="191">
        <v>780</v>
      </c>
      <c r="K23" s="208"/>
      <c r="L23" s="288" t="s">
        <v>315</v>
      </c>
      <c r="M23" s="288"/>
      <c r="N23" s="288"/>
      <c r="O23" s="23"/>
      <c r="P23" s="23"/>
      <c r="Q23" s="234"/>
      <c r="R23" s="23"/>
      <c r="S23" s="36" t="s">
        <v>316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-93628.740341065975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24</v>
      </c>
      <c r="B24" s="181">
        <f>'Données projet'!D37</f>
        <v>42.661538461538463</v>
      </c>
      <c r="C24" s="193">
        <v>10</v>
      </c>
      <c r="D24" s="182">
        <f t="shared" ref="D24:D42" si="2">B24*C24</f>
        <v>426.61538461538464</v>
      </c>
      <c r="E24" s="193">
        <v>150</v>
      </c>
      <c r="F24" s="233"/>
      <c r="H24" s="190">
        <v>5</v>
      </c>
      <c r="I24" s="191">
        <v>780</v>
      </c>
      <c r="K24" s="208"/>
      <c r="O24" s="23"/>
      <c r="P24" s="23"/>
      <c r="Q24" s="234"/>
      <c r="R24" s="23"/>
      <c r="S24" s="36" t="s">
        <v>317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3404.2501977142874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30</v>
      </c>
      <c r="B25" s="181">
        <f>'Données projet'!D38</f>
        <v>65.669230769230765</v>
      </c>
      <c r="C25" s="193">
        <v>18</v>
      </c>
      <c r="D25" s="182">
        <f t="shared" si="2"/>
        <v>1182.0461538461539</v>
      </c>
      <c r="E25" s="193">
        <v>150</v>
      </c>
      <c r="F25" s="233"/>
      <c r="H25" s="190">
        <v>6</v>
      </c>
      <c r="I25" s="191">
        <v>900</v>
      </c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303">
        <f ca="1">T23-T24</f>
        <v>-97032.990538780257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36</v>
      </c>
      <c r="B26" s="181">
        <f>'Données projet'!D39</f>
        <v>69.3</v>
      </c>
      <c r="C26" s="193">
        <v>25</v>
      </c>
      <c r="D26" s="182">
        <f t="shared" si="2"/>
        <v>1732.5</v>
      </c>
      <c r="E26" s="193">
        <v>150</v>
      </c>
      <c r="F26" s="233"/>
      <c r="G26" s="229"/>
      <c r="H26" s="190"/>
      <c r="I26" s="191"/>
      <c r="K26" s="208"/>
      <c r="L26" s="290" t="s">
        <v>320</v>
      </c>
      <c r="M26" s="291"/>
      <c r="N26" s="291"/>
      <c r="O26" s="291"/>
      <c r="P26" s="292"/>
      <c r="Q26" s="234"/>
      <c r="R26" s="23"/>
      <c r="S26" s="186" t="s">
        <v>321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42</v>
      </c>
      <c r="B27" s="181">
        <f>'Données projet'!D40</f>
        <v>73.392307692307682</v>
      </c>
      <c r="C27" s="193">
        <v>25</v>
      </c>
      <c r="D27" s="182">
        <f t="shared" si="2"/>
        <v>1834.8076923076922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322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81.330769230769235</v>
      </c>
      <c r="C28" s="193">
        <v>35</v>
      </c>
      <c r="D28" s="182">
        <f t="shared" si="2"/>
        <v>2846.5769230769233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54</v>
      </c>
      <c r="B29" s="181">
        <f>'Données projet'!D42</f>
        <v>566.79999999999995</v>
      </c>
      <c r="C29" s="193">
        <v>40</v>
      </c>
      <c r="D29" s="182">
        <f t="shared" si="2"/>
        <v>22672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74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46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19</v>
      </c>
      <c r="B54" s="181">
        <f>'Données projet'!D62</f>
        <v>46.53846153846154</v>
      </c>
      <c r="C54" s="191">
        <v>10</v>
      </c>
      <c r="D54" s="179">
        <f>B54*C54</f>
        <v>465.38461538461542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24</v>
      </c>
      <c r="B55" s="181">
        <f>'Données projet'!D63</f>
        <v>40.41538461538461</v>
      </c>
      <c r="C55" s="191">
        <v>10</v>
      </c>
      <c r="D55" s="179">
        <f t="shared" ref="D55:D73" si="4">B55*C55</f>
        <v>404.15384615384608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30</v>
      </c>
      <c r="B56" s="181">
        <f>'Données projet'!D64</f>
        <v>55.869230769230761</v>
      </c>
      <c r="C56" s="191">
        <v>10</v>
      </c>
      <c r="D56" s="179">
        <f t="shared" si="4"/>
        <v>558.69230769230762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37</v>
      </c>
      <c r="B57" s="181">
        <f>'Données projet'!D65</f>
        <v>43.623076923076923</v>
      </c>
      <c r="C57" s="191">
        <v>15</v>
      </c>
      <c r="D57" s="179">
        <f t="shared" si="4"/>
        <v>654.34615384615381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46</v>
      </c>
      <c r="B58" s="181">
        <f>'Données projet'!D66</f>
        <v>72.561538461538461</v>
      </c>
      <c r="C58" s="191">
        <v>25</v>
      </c>
      <c r="D58" s="179">
        <f t="shared" si="4"/>
        <v>1814.0384615384614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56</v>
      </c>
      <c r="B59" s="181">
        <f>'Données projet'!D67</f>
        <v>60.092307692307692</v>
      </c>
      <c r="C59" s="191">
        <v>25</v>
      </c>
      <c r="D59" s="179">
        <f t="shared" si="4"/>
        <v>1502.3076923076924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66</v>
      </c>
      <c r="B60" s="181">
        <f>'Données projet'!D68</f>
        <v>68.146153846153851</v>
      </c>
      <c r="C60" s="191">
        <v>25</v>
      </c>
      <c r="D60" s="179">
        <f t="shared" si="4"/>
        <v>1703.6538461538462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76</v>
      </c>
      <c r="B61" s="181">
        <f>'Données projet'!D69</f>
        <v>520.22307692307686</v>
      </c>
      <c r="C61" s="191">
        <v>25</v>
      </c>
      <c r="D61" s="179">
        <f t="shared" si="4"/>
        <v>13005.576923076922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46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21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46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22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46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/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23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46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/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24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46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25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46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26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46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27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46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ée un document." ma:contentTypeScope="" ma:versionID="1f5efd74e6064ee3f625336d6e590db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a1bf04212b68656168e2b27f1439148b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3A67EE-A371-469A-87B0-CF22C43468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4CE752-7721-4D1D-809B-E9A1796CC3E1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DCD2FC47-416E-465C-B289-2F6456C441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Emeline Sanchez</cp:lastModifiedBy>
  <cp:revision/>
  <dcterms:created xsi:type="dcterms:W3CDTF">2021-02-01T08:22:39Z</dcterms:created>
  <dcterms:modified xsi:type="dcterms:W3CDTF">2025-02-14T09:30:34Z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