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ort en Chalosse (40) CESTAC Eric\Dossier déposé le 11 02 2025\"/>
    </mc:Choice>
  </mc:AlternateContent>
  <xr:revisionPtr revIDLastSave="0" documentId="13_ncr:1_{0A8B9B6D-5A7D-45A3-859D-1A9982773926}" xr6:coauthVersionLast="36" xr6:coauthVersionMax="36" xr10:uidLastSave="{00000000-0000-0000-0000-000000000000}"/>
  <bookViews>
    <workbookView xWindow="0" yWindow="0" windowWidth="28800" windowHeight="12612" tabRatio="866" activeTab="6" xr2:uid="{00000000-000D-0000-FFFF-FFFF00000000}"/>
  </bookViews>
  <sheets>
    <sheet name="Accueil" sheetId="5" r:id="rId1"/>
    <sheet name="Données projet" sheetId="1" r:id="rId2"/>
    <sheet name="Feuil1" sheetId="8" r:id="rId3"/>
    <sheet name="Scénario référence" sheetId="7" r:id="rId4"/>
    <sheet name="Calculateur" sheetId="2" r:id="rId5"/>
    <sheet name="Paramètres" sheetId="3" r:id="rId6"/>
    <sheet name="REE" sheetId="4" r:id="rId7"/>
    <sheet name="VAN" sheetId="6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<sst xmlns="http://schemas.openxmlformats.org/spreadsheetml/2006/main" count="1166" uniqueCount="324">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</sst>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2.0650066493824619</c:v>
                </c:pt>
                <c:pt idx="2">
                  <c:v>2.867741159053725</c:v>
                </c:pt>
                <c:pt idx="3">
                  <c:v>3.9838719001490026</c:v>
                </c:pt>
                <c:pt idx="4">
                  <c:v>5.5362473003947885</c:v>
                </c:pt>
                <c:pt idx="5">
                  <c:v>7.6960524007002578</c:v>
                </c:pt>
                <c:pt idx="6">
                  <c:v>10.701893659648261</c:v>
                </c:pt>
                <c:pt idx="7">
                  <c:v>14.886443001334333</c:v>
                </c:pt>
                <c:pt idx="8">
                  <c:v>20.713643895349389</c:v>
                </c:pt>
                <c:pt idx="9">
                  <c:v>28.830678194554306</c:v>
                </c:pt>
                <c:pt idx="10">
                  <c:v>40.140565829770175</c:v>
                </c:pt>
                <c:pt idx="11">
                  <c:v>55.903611274019461</c:v>
                </c:pt>
                <c:pt idx="12">
                  <c:v>77.879188503079504</c:v>
                </c:pt>
                <c:pt idx="13">
                  <c:v>108.5239448484346</c:v>
                </c:pt>
                <c:pt idx="14">
                  <c:v>151.26892890750648</c:v>
                </c:pt>
                <c:pt idx="15">
                  <c:v>210.90714460866465</c:v>
                </c:pt>
                <c:pt idx="16">
                  <c:v>294.13563425603434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G37" sqref="G3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2.0099999999999998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129</v>
      </c>
      <c r="C9" s="35">
        <v>1</v>
      </c>
      <c r="D9" s="36">
        <f t="shared" ref="D9:D18" si="0">C9*$C$5</f>
        <v>2.0099999999999998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2.0099999999999998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16</v>
      </c>
      <c r="B36" s="63">
        <v>234</v>
      </c>
      <c r="C36" s="63">
        <v>1</v>
      </c>
      <c r="D36" s="63">
        <v>234</v>
      </c>
      <c r="E36" s="54">
        <v>0.77</v>
      </c>
      <c r="F36" s="54"/>
      <c r="G36" s="54">
        <v>0.21</v>
      </c>
      <c r="H36" s="54"/>
      <c r="I36" s="52">
        <f>IFERROR(B36/A36,"")</f>
        <v>14.625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60CB-098F-46BE-B623-8458BBEA4E8F}">
  <sheetPr codeName="Feuil7"/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0" sqref="F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64.070317414640812</v>
      </c>
      <c r="T3" s="62">
        <f>IF('Données projet'!E9&gt;30,$R$33-$H$33,LOOKUP('Données projet'!$E$9,$A$3:$A$203,R3:R203)-LOOKUP('Données projet'!$E$9,$A$3:$A$203,$H$3:$H$203))</f>
        <v>317.74434684481503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14.625</v>
      </c>
      <c r="N4" s="14">
        <f>IF('Données projet'!$A$36&gt;35,N3+M4-V3,IF(A4&lt;'Données projet'!$A$36,$K$205^A4,IF(A4='Données projet'!$A$36,'Données projet'!$B$36,N3+M4-V3)))</f>
        <v>1.4062935701520467</v>
      </c>
      <c r="O4" s="14">
        <f>N4*VLOOKUP('Données projet'!$B$9,Paramètres!$A$1:$I$89,3,0)*VLOOKUP('Données projet'!$B$9,Paramètres!$A$1:$I$89,5,0)</f>
        <v>0.80513119478344986</v>
      </c>
      <c r="P4" s="14">
        <f>EXP(-1.0587+0.8836*LN(O4)+0.284)</f>
        <v>0.38051855605815532</v>
      </c>
      <c r="Q4" s="22">
        <f t="shared" ref="Q4:Q34" si="2">(O4+P4)*0.475*44/12</f>
        <v>2.0650066493824619</v>
      </c>
      <c r="R4" s="62">
        <f t="shared" si="0"/>
        <v>169.87744060230631</v>
      </c>
      <c r="S4" s="62">
        <f ca="1">AVERAGE(OFFSET($R$3,0,0,'Données projet'!$E$9+1,1))-AVERAGE(OFFSET($H$3,0,0,'Données projet'!$E$9+1,1))</f>
        <v>64.070317414640812</v>
      </c>
      <c r="T4" s="62">
        <f>$T$3</f>
        <v>317.74434684481503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14.625</v>
      </c>
      <c r="N5" s="14">
        <f>IF('Données projet'!$A$36&gt;35,N4+M5-V4,IF(A5&lt;'Données projet'!$A$36,$K$205^A5,IF(A5='Données projet'!$A$36,'Données projet'!$B$36,N4+M5-V4)))</f>
        <v>1.9776616054509895</v>
      </c>
      <c r="O5" s="14">
        <f>N5*VLOOKUP('Données projet'!$B$9,Paramètres!$A$1:$I$89,3,0)*VLOOKUP('Données projet'!$B$9,Paramètres!$A$1:$I$89,5,0)</f>
        <v>1.1322508223528005</v>
      </c>
      <c r="P5" s="14">
        <f t="shared" ref="P5:P68" si="33">EXP(-1.0587+0.8836*LN(O5)+0.284)</f>
        <v>0.51429912542924261</v>
      </c>
      <c r="Q5" s="22">
        <f t="shared" si="2"/>
        <v>2.867741159053725</v>
      </c>
      <c r="R5" s="62">
        <f t="shared" si="0"/>
        <v>173.46502244655457</v>
      </c>
      <c r="S5" s="62">
        <f ca="1">AVERAGE(OFFSET($R$3,0,0,'Données projet'!$E$9+1,1))-AVERAGE(OFFSET($H$3,0,0,'Données projet'!$E$9+1,1))</f>
        <v>64.070317414640812</v>
      </c>
      <c r="T5" s="62">
        <f t="shared" ref="T5:T68" si="34">$T$3</f>
        <v>317.74434684481503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14.625</v>
      </c>
      <c r="N6" s="14">
        <f>IF('Données projet'!$A$36&gt;35,N5+M6-V5,IF(A6&lt;'Données projet'!$A$36,$K$205^A6,IF(A6='Données projet'!$A$36,'Données projet'!$B$36,N5+M6-V5)))</f>
        <v>2.7811727996823001</v>
      </c>
      <c r="O6" s="14">
        <f>N6*VLOOKUP('Données projet'!$B$9,Paramètres!$A$1:$I$89,3,0)*VLOOKUP('Données projet'!$B$9,Paramètres!$A$1:$I$89,5,0)</f>
        <v>1.5922770512741105</v>
      </c>
      <c r="P6" s="14">
        <f t="shared" si="33"/>
        <v>0.69511351340474281</v>
      </c>
      <c r="Q6" s="22">
        <f t="shared" si="2"/>
        <v>3.9838719001490026</v>
      </c>
      <c r="R6" s="62">
        <f t="shared" si="0"/>
        <v>177.3388924700339</v>
      </c>
      <c r="S6" s="62">
        <f ca="1">AVERAGE(OFFSET($R$3,0,0,'Données projet'!$E$9+1,1))-AVERAGE(OFFSET($H$3,0,0,'Données projet'!$E$9+1,1))</f>
        <v>64.070317414640812</v>
      </c>
      <c r="T6" s="62">
        <f t="shared" si="34"/>
        <v>317.74434684481503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14.625</v>
      </c>
      <c r="N7" s="14">
        <f>IF('Données projet'!$A$36&gt;35,N6+M7-V6,IF(A7&lt;'Données projet'!$A$36,$K$205^A7,IF(A7='Données projet'!$A$36,'Données projet'!$B$36,N6+M7-V6)))</f>
        <v>3.9111454256749849</v>
      </c>
      <c r="O7" s="14">
        <f>N7*VLOOKUP('Données projet'!$B$9,Paramètres!$A$1:$I$89,3,0)*VLOOKUP('Données projet'!$B$9,Paramètres!$A$1:$I$89,5,0)</f>
        <v>2.2392089791074423</v>
      </c>
      <c r="P7" s="14">
        <f t="shared" si="33"/>
        <v>0.93949760485128786</v>
      </c>
      <c r="Q7" s="22">
        <f t="shared" si="2"/>
        <v>5.5362473003947885</v>
      </c>
      <c r="R7" s="62">
        <f t="shared" si="0"/>
        <v>181.62236936457174</v>
      </c>
      <c r="S7" s="62">
        <f ca="1">AVERAGE(OFFSET($R$3,0,0,'Données projet'!$E$9+1,1))-AVERAGE(OFFSET($H$3,0,0,'Données projet'!$E$9+1,1))</f>
        <v>64.070317414640812</v>
      </c>
      <c r="T7" s="62">
        <f t="shared" si="34"/>
        <v>317.74434684481503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14.625</v>
      </c>
      <c r="N8" s="14">
        <f>IF('Données projet'!$A$36&gt;35,N7+M8-V7,IF(A8&lt;'Données projet'!$A$36,$K$205^A8,IF(A8='Données projet'!$A$36,'Données projet'!$B$36,N7+M8-V7)))</f>
        <v>5.5002186640563213</v>
      </c>
      <c r="O8" s="14">
        <f>N8*VLOOKUP('Données projet'!$B$9,Paramètres!$A$1:$I$89,3,0)*VLOOKUP('Données projet'!$B$9,Paramètres!$A$1:$I$89,5,0)</f>
        <v>3.1489851895455248</v>
      </c>
      <c r="P8" s="14">
        <f t="shared" si="33"/>
        <v>1.2698008778421834</v>
      </c>
      <c r="Q8" s="22">
        <f t="shared" si="2"/>
        <v>7.6960524007002578</v>
      </c>
      <c r="R8" s="62">
        <f t="shared" si="0"/>
        <v>186.48710027714762</v>
      </c>
      <c r="S8" s="62">
        <f ca="1">AVERAGE(OFFSET($R$3,0,0,'Données projet'!$E$9+1,1))-AVERAGE(OFFSET($H$3,0,0,'Données projet'!$E$9+1,1))</f>
        <v>64.070317414640812</v>
      </c>
      <c r="T8" s="62">
        <f t="shared" si="34"/>
        <v>317.74434684481503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14.625</v>
      </c>
      <c r="N9" s="14">
        <f>IF('Données projet'!$A$36&gt;35,N8+M9-V8,IF(A9&lt;'Données projet'!$A$36,$K$205^A9,IF(A9='Données projet'!$A$36,'Données projet'!$B$36,N8+M9-V8)))</f>
        <v>7.7349221416926843</v>
      </c>
      <c r="O9" s="14">
        <f>N9*VLOOKUP('Données projet'!$B$9,Paramètres!$A$1:$I$89,3,0)*VLOOKUP('Données projet'!$B$9,Paramètres!$A$1:$I$89,5,0)</f>
        <v>4.4283976245618959</v>
      </c>
      <c r="P9" s="14">
        <f t="shared" si="33"/>
        <v>1.71623031399213</v>
      </c>
      <c r="Q9" s="22">
        <f t="shared" si="2"/>
        <v>10.701893659648261</v>
      </c>
      <c r="R9" s="62">
        <f t="shared" si="0"/>
        <v>192.17214575590722</v>
      </c>
      <c r="S9" s="62">
        <f ca="1">AVERAGE(OFFSET($R$3,0,0,'Données projet'!$E$9+1,1))-AVERAGE(OFFSET($H$3,0,0,'Données projet'!$E$9+1,1))</f>
        <v>64.070317414640812</v>
      </c>
      <c r="T9" s="62">
        <f t="shared" si="34"/>
        <v>317.74434684481503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14.625</v>
      </c>
      <c r="N10" s="14">
        <f>IF('Données projet'!$A$36&gt;35,N9+M10-V9,IF(A10&lt;'Données projet'!$A$36,$K$205^A10,IF(A10='Données projet'!$A$36,'Données projet'!$B$36,N9+M10-V9)))</f>
        <v>10.877571273489119</v>
      </c>
      <c r="O10" s="14">
        <f>N10*VLOOKUP('Données projet'!$B$9,Paramètres!$A$1:$I$89,3,0)*VLOOKUP('Données projet'!$B$9,Paramètres!$A$1:$I$89,5,0)</f>
        <v>6.2276271054979908</v>
      </c>
      <c r="P10" s="14">
        <f t="shared" si="33"/>
        <v>2.3196128952681332</v>
      </c>
      <c r="Q10" s="22">
        <f t="shared" si="2"/>
        <v>14.886443001334333</v>
      </c>
      <c r="R10" s="62">
        <f t="shared" si="0"/>
        <v>199.01062393707056</v>
      </c>
      <c r="S10" s="62">
        <f ca="1">AVERAGE(OFFSET($R$3,0,0,'Données projet'!$E$9+1,1))-AVERAGE(OFFSET($H$3,0,0,'Données projet'!$E$9+1,1))</f>
        <v>64.070317414640812</v>
      </c>
      <c r="T10" s="62">
        <f t="shared" si="34"/>
        <v>317.74434684481503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14.625</v>
      </c>
      <c r="N11" s="14">
        <f>IF('Données projet'!$A$36&gt;35,N10+M11-V10,IF(A11&lt;'Données projet'!$A$36,$K$205^A11,IF(A11='Données projet'!$A$36,'Données projet'!$B$36,N10+M11-V10)))</f>
        <v>15.297058540778359</v>
      </c>
      <c r="O11" s="14">
        <f>N11*VLOOKUP('Données projet'!$B$9,Paramètres!$A$1:$I$89,3,0)*VLOOKUP('Données projet'!$B$9,Paramètres!$A$1:$I$89,5,0)</f>
        <v>8.7578719557664257</v>
      </c>
      <c r="P11" s="14">
        <f t="shared" si="33"/>
        <v>3.1351293238600171</v>
      </c>
      <c r="Q11" s="22">
        <f t="shared" si="2"/>
        <v>20.713643895349389</v>
      </c>
      <c r="R11" s="62">
        <f t="shared" si="0"/>
        <v>207.46691676156993</v>
      </c>
      <c r="S11" s="62">
        <f ca="1">AVERAGE(OFFSET($R$3,0,0,'Données projet'!$E$9+1,1))-AVERAGE(OFFSET($H$3,0,0,'Données projet'!$E$9+1,1))</f>
        <v>64.070317414640812</v>
      </c>
      <c r="T11" s="62">
        <f t="shared" si="34"/>
        <v>317.74434684481503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14.625</v>
      </c>
      <c r="N12" s="14">
        <f>IF('Données projet'!$A$36&gt;35,N11+M12-V11,IF(A12&lt;'Données projet'!$A$36,$K$205^A12,IF(A12='Données projet'!$A$36,'Données projet'!$B$36,N11+M12-V11)))</f>
        <v>21.512155068136057</v>
      </c>
      <c r="O12" s="14">
        <f>N12*VLOOKUP('Données projet'!$B$9,Paramètres!$A$1:$I$89,3,0)*VLOOKUP('Données projet'!$B$9,Paramètres!$A$1:$I$89,5,0)</f>
        <v>12.316139019609256</v>
      </c>
      <c r="P12" s="14">
        <f t="shared" si="33"/>
        <v>4.2373604222401049</v>
      </c>
      <c r="Q12" s="22">
        <f t="shared" si="2"/>
        <v>28.830678194554306</v>
      </c>
      <c r="R12" s="62">
        <f t="shared" si="0"/>
        <v>218.18863694711038</v>
      </c>
      <c r="S12" s="62">
        <f ca="1">AVERAGE(OFFSET($R$3,0,0,'Données projet'!$E$9+1,1))-AVERAGE(OFFSET($H$3,0,0,'Données projet'!$E$9+1,1))</f>
        <v>64.070317414640812</v>
      </c>
      <c r="T12" s="62">
        <f t="shared" si="34"/>
        <v>317.74434684481503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14.625</v>
      </c>
      <c r="N13" s="14">
        <f>IF('Données projet'!$A$36&gt;35,N12+M13-V12,IF(A13&lt;'Données projet'!$A$36,$K$205^A13,IF(A13='Données projet'!$A$36,'Données projet'!$B$36,N12+M13-V12)))</f>
        <v>30.252405352433499</v>
      </c>
      <c r="O13" s="14">
        <f>N13*VLOOKUP('Données projet'!$B$9,Paramètres!$A$1:$I$89,3,0)*VLOOKUP('Données projet'!$B$9,Paramètres!$A$1:$I$89,5,0)</f>
        <v>17.320107112375226</v>
      </c>
      <c r="P13" s="14">
        <f t="shared" si="33"/>
        <v>5.7271077181148318</v>
      </c>
      <c r="Q13" s="22">
        <f t="shared" si="2"/>
        <v>40.140565829770175</v>
      </c>
      <c r="R13" s="62">
        <f t="shared" si="0"/>
        <v>232.07922781481506</v>
      </c>
      <c r="S13" s="62">
        <f ca="1">AVERAGE(OFFSET($R$3,0,0,'Données projet'!$E$9+1,1))-AVERAGE(OFFSET($H$3,0,0,'Données projet'!$E$9+1,1))</f>
        <v>64.070317414640812</v>
      </c>
      <c r="T13" s="62">
        <f t="shared" si="34"/>
        <v>317.74434684481503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14.625</v>
      </c>
      <c r="N14" s="14">
        <f>IF('Données projet'!$A$36&gt;35,N13+M14-V13,IF(A14&lt;'Données projet'!$A$36,$K$205^A14,IF(A14='Données projet'!$A$36,'Données projet'!$B$36,N13+M14-V13)))</f>
        <v>42.543763128760588</v>
      </c>
      <c r="O14" s="14">
        <f>N14*VLOOKUP('Données projet'!$B$9,Paramètres!$A$1:$I$89,3,0)*VLOOKUP('Données projet'!$B$9,Paramètres!$A$1:$I$89,5,0)</f>
        <v>24.357155266478014</v>
      </c>
      <c r="P14" s="14">
        <f t="shared" si="33"/>
        <v>7.7406119721934514</v>
      </c>
      <c r="Q14" s="22">
        <f t="shared" si="2"/>
        <v>55.903611274019461</v>
      </c>
      <c r="R14" s="62">
        <f t="shared" si="0"/>
        <v>250.39940988313359</v>
      </c>
      <c r="S14" s="62">
        <f ca="1">AVERAGE(OFFSET($R$3,0,0,'Données projet'!$E$9+1,1))-AVERAGE(OFFSET($H$3,0,0,'Données projet'!$E$9+1,1))</f>
        <v>64.070317414640812</v>
      </c>
      <c r="T14" s="62">
        <f t="shared" si="34"/>
        <v>317.74434684481503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14.625</v>
      </c>
      <c r="N15" s="14">
        <f>IF('Données projet'!$A$36&gt;35,N14+M15-V14,IF(A15&lt;'Données projet'!$A$36,$K$205^A15,IF(A15='Données projet'!$A$36,'Données projet'!$B$36,N14+M15-V14)))</f>
        <v>59.829020538047736</v>
      </c>
      <c r="O15" s="14">
        <f>N15*VLOOKUP('Données projet'!$B$9,Paramètres!$A$1:$I$89,3,0)*VLOOKUP('Données projet'!$B$9,Paramètres!$A$1:$I$89,5,0)</f>
        <v>34.253310838443092</v>
      </c>
      <c r="P15" s="14">
        <f t="shared" si="33"/>
        <v>10.462012703994908</v>
      </c>
      <c r="Q15" s="22">
        <f t="shared" si="2"/>
        <v>77.879188503079504</v>
      </c>
      <c r="R15" s="62">
        <f t="shared" si="0"/>
        <v>274.90896595581239</v>
      </c>
      <c r="S15" s="62">
        <f ca="1">AVERAGE(OFFSET($R$3,0,0,'Données projet'!$E$9+1,1))-AVERAGE(OFFSET($H$3,0,0,'Données projet'!$E$9+1,1))</f>
        <v>64.070317414640812</v>
      </c>
      <c r="T15" s="62">
        <f t="shared" si="34"/>
        <v>317.74434684481503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14.625</v>
      </c>
      <c r="N16" s="14">
        <f>IF('Données projet'!$A$36&gt;35,N15+M16-V15,IF(A16&lt;'Données projet'!$A$36,$K$205^A16,IF(A16='Données projet'!$A$36,'Données projet'!$B$36,N15+M16-V15)))</f>
        <v>84.137166891151281</v>
      </c>
      <c r="O16" s="14">
        <f>N16*VLOOKUP('Données projet'!$B$9,Paramètres!$A$1:$I$89,3,0)*VLOOKUP('Données projet'!$B$9,Paramètres!$A$1:$I$89,5,0)</f>
        <v>48.170210788521935</v>
      </c>
      <c r="P16" s="14">
        <f t="shared" si="33"/>
        <v>14.140188167517069</v>
      </c>
      <c r="Q16" s="22">
        <f t="shared" si="2"/>
        <v>108.5239448484346</v>
      </c>
      <c r="R16" s="62">
        <f t="shared" si="0"/>
        <v>308.06494510005342</v>
      </c>
      <c r="S16" s="62">
        <f ca="1">AVERAGE(OFFSET($R$3,0,0,'Données projet'!$E$9+1,1))-AVERAGE(OFFSET($H$3,0,0,'Données projet'!$E$9+1,1))</f>
        <v>64.070317414640812</v>
      </c>
      <c r="T16" s="62">
        <f t="shared" si="34"/>
        <v>317.74434684481503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14.625</v>
      </c>
      <c r="N17" s="14">
        <f>IF('Données projet'!$A$36&gt;35,N16+M17-V16,IF(A17&lt;'Données projet'!$A$36,$K$205^A17,IF(A17='Données projet'!$A$36,'Données projet'!$B$36,N16+M17-V16)))</f>
        <v>118.32155680983571</v>
      </c>
      <c r="O17" s="14">
        <f>N17*VLOOKUP('Données projet'!$B$9,Paramètres!$A$1:$I$89,3,0)*VLOOKUP('Données projet'!$B$9,Paramètres!$A$1:$I$89,5,0)</f>
        <v>67.741457704767143</v>
      </c>
      <c r="P17" s="14">
        <f t="shared" si="33"/>
        <v>19.111515830643281</v>
      </c>
      <c r="Q17" s="22">
        <f t="shared" si="2"/>
        <v>151.26892890750648</v>
      </c>
      <c r="R17" s="62">
        <f t="shared" si="0"/>
        <v>353.2987906797797</v>
      </c>
      <c r="S17" s="62">
        <f ca="1">AVERAGE(OFFSET($R$3,0,0,'Données projet'!$E$9+1,1))-AVERAGE(OFFSET($H$3,0,0,'Données projet'!$E$9+1,1))</f>
        <v>64.070317414640812</v>
      </c>
      <c r="T17" s="62">
        <f t="shared" si="34"/>
        <v>317.74434684481503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14.625</v>
      </c>
      <c r="N18" s="14">
        <f>IF('Données projet'!$A$36&gt;35,N17+M18-V17,IF(A18&lt;'Données projet'!$A$36,$K$205^A18,IF(A18='Données projet'!$A$36,'Données projet'!$B$36,N17+M18-V17)))</f>
        <v>166.39484455205206</v>
      </c>
      <c r="O18" s="14">
        <f>N18*VLOOKUP('Données projet'!$B$9,Paramètres!$A$1:$I$89,3,0)*VLOOKUP('Données projet'!$B$9,Paramètres!$A$1:$I$89,5,0)</f>
        <v>95.264376402940854</v>
      </c>
      <c r="P18" s="14">
        <f t="shared" si="33"/>
        <v>25.830634855622574</v>
      </c>
      <c r="Q18" s="22">
        <f t="shared" si="2"/>
        <v>210.90714460866465</v>
      </c>
      <c r="R18" s="62">
        <f t="shared" si="0"/>
        <v>415.4038945415457</v>
      </c>
      <c r="S18" s="62">
        <f ca="1">AVERAGE(OFFSET($R$3,0,0,'Données projet'!$E$9+1,1))-AVERAGE(OFFSET($H$3,0,0,'Données projet'!$E$9+1,1))</f>
        <v>64.070317414640812</v>
      </c>
      <c r="T18" s="62">
        <f t="shared" si="34"/>
        <v>317.74434684481503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234</v>
      </c>
      <c r="L19" s="13">
        <f>VLOOKUP(A19,'Données projet'!$A$35:$I$55,9,0)</f>
        <v>14.625</v>
      </c>
      <c r="M19" s="13">
        <f t="array" ref="M19">INDEX(L:L,MIN(IF(ISNUMBER(L19:L215),ROW(L19:L215),"")))</f>
        <v>14.625</v>
      </c>
      <c r="N19" s="14">
        <f>IF('Données projet'!$A$36&gt;35,N18+M19-V18,IF(A19&lt;'Données projet'!$A$36,$K$205^A19,IF(A19='Données projet'!$A$36,'Données projet'!$B$36,N18+M19-V18)))</f>
        <v>234</v>
      </c>
      <c r="O19" s="14">
        <f>N19*VLOOKUP('Données projet'!$B$9,Paramètres!$A$1:$I$89,3,0)*VLOOKUP('Données projet'!$B$9,Paramètres!$A$1:$I$89,5,0)</f>
        <v>133.96968000000001</v>
      </c>
      <c r="P19" s="14">
        <f t="shared" si="33"/>
        <v>34.912023879062801</v>
      </c>
      <c r="Q19" s="22">
        <f t="shared" si="2"/>
        <v>294.13563425603434</v>
      </c>
      <c r="R19" s="62">
        <f t="shared" si="0"/>
        <v>501.0776801781484</v>
      </c>
      <c r="S19" s="62">
        <f ca="1">AVERAGE(OFFSET($R$3,0,0,'Données projet'!$E$9+1,1))-AVERAGE(OFFSET($H$3,0,0,'Données projet'!$E$9+1,1))</f>
        <v>64.070317414640812</v>
      </c>
      <c r="T19" s="62">
        <f t="shared" si="34"/>
        <v>317.74434684481503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234</v>
      </c>
      <c r="W19" s="17">
        <f>IF(ISNA(VLOOKUP(A19,'Données projet'!$A$35:$I$55,5,0)),0%,VLOOKUP(A19,'Données projet'!$A$35:$I$55,5,0)*VLOOKUP('Données projet'!$B$9,Paramètres!$A$1:$I$89,7,0))</f>
        <v>0.46199999999999997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0.21</v>
      </c>
      <c r="Z19" s="23">
        <f>EXP(-LN(2)/35)*Z18+(1-EXP(-LN(2)/35))/(LN(2)/35)*V19*W19*VLOOKUP('Données projet'!$B$9,Paramètres!$A$1:$I$89,3,0)*0.475*44/12</f>
        <v>68.421975003924643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26.544839752424945</v>
      </c>
      <c r="AC19" s="24">
        <f t="shared" si="3"/>
        <v>94.966814756349592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64.070317414640812</v>
      </c>
      <c r="T20" s="62">
        <f t="shared" si="34"/>
        <v>317.74434684481503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67.080261807381618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18.770036194449915</v>
      </c>
      <c r="AC20" s="24">
        <f t="shared" si="3"/>
        <v>85.850298001831533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64.070317414640812</v>
      </c>
      <c r="T21" s="62">
        <f t="shared" si="34"/>
        <v>317.74434684481503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65.76485878825855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13.272419876212474</v>
      </c>
      <c r="AC21" s="24">
        <f t="shared" si="3"/>
        <v>79.037278664471017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64.070317414640812</v>
      </c>
      <c r="T22" s="62">
        <f t="shared" si="34"/>
        <v>317.74434684481503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64.475250020023864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9.3850180972249593</v>
      </c>
      <c r="AC22" s="24">
        <f t="shared" si="3"/>
        <v>73.860268117248822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64.070317414640812</v>
      </c>
      <c r="T23" s="62">
        <f t="shared" si="34"/>
        <v>317.74434684481503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63.21092969315059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6.636209938106238</v>
      </c>
      <c r="AC23" s="24">
        <f t="shared" si="3"/>
        <v>69.847139631256823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64.070317414640812</v>
      </c>
      <c r="T24" s="62">
        <f t="shared" si="34"/>
        <v>317.74434684481503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61.971401916728041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4.6925090486124796</v>
      </c>
      <c r="AC24" s="24">
        <f t="shared" si="3"/>
        <v>66.66391096534052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64.070317414640812</v>
      </c>
      <c r="T25" s="62">
        <f t="shared" si="34"/>
        <v>317.74434684481503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60.756180523963849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3.318104969053119</v>
      </c>
      <c r="AC25" s="24">
        <f t="shared" si="3"/>
        <v>64.074285493016973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64.070317414640812</v>
      </c>
      <c r="T26" s="62">
        <f t="shared" si="34"/>
        <v>317.74434684481503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59.564788881499901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2.3462545243062398</v>
      </c>
      <c r="AC26" s="24">
        <f t="shared" si="3"/>
        <v>61.91104340580614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64.070317414640812</v>
      </c>
      <c r="T27" s="62">
        <f t="shared" si="34"/>
        <v>317.74434684481503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58.396759702467527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1.6590524845265595</v>
      </c>
      <c r="AC27" s="24">
        <f t="shared" si="3"/>
        <v>60.055812186994089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64.070317414640812</v>
      </c>
      <c r="T28" s="62">
        <f t="shared" si="34"/>
        <v>317.74434684481503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57.251634863208523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1.1731272621531199</v>
      </c>
      <c r="AC28" s="24">
        <f t="shared" si="3"/>
        <v>58.424762125361646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64.070317414640812</v>
      </c>
      <c r="T29" s="62">
        <f t="shared" si="34"/>
        <v>317.74434684481503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56.1289652235902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0.82952624226327976</v>
      </c>
      <c r="AC29" s="24">
        <f t="shared" si="3"/>
        <v>56.958491465853477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64.070317414640812</v>
      </c>
      <c r="T30" s="62">
        <f t="shared" si="34"/>
        <v>317.74434684481503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55.028310450843925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0.58656363107655995</v>
      </c>
      <c r="AC30" s="24">
        <f t="shared" si="3"/>
        <v>55.614874081920483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64.070317414640812</v>
      </c>
      <c r="T31" s="62">
        <f t="shared" si="34"/>
        <v>317.74434684481503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53.949238846858087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0.41476312113163988</v>
      </c>
      <c r="AC31" s="24">
        <f t="shared" si="3"/>
        <v>54.364001967989729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64.070317414640812</v>
      </c>
      <c r="T32" s="62">
        <f t="shared" si="34"/>
        <v>317.74434684481503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52.891327178857722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0.29328181553827998</v>
      </c>
      <c r="AC32" s="24">
        <f t="shared" si="3"/>
        <v>53.184608994396001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64.070317414640812</v>
      </c>
      <c r="T33" s="62">
        <f t="shared" si="34"/>
        <v>317.74434684481503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51.854160513404437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0.20738156056581994</v>
      </c>
      <c r="AC33" s="24">
        <f t="shared" si="3"/>
        <v>52.061542073970259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64.070317414640812</v>
      </c>
      <c r="T34" s="62">
        <f t="shared" si="34"/>
        <v>317.74434684481503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50.837332053651494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0.14664090776913999</v>
      </c>
      <c r="AC34" s="24">
        <f t="shared" si="3"/>
        <v>50.983972961420633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64.070317414640812</v>
      </c>
      <c r="T35" s="62">
        <f t="shared" si="34"/>
        <v>317.74434684481503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49.840442979790183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0.10369078028290997</v>
      </c>
      <c r="AC35" s="24">
        <f t="shared" si="3"/>
        <v>49.944133760073093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64.070317414640812</v>
      </c>
      <c r="T36" s="62">
        <f t="shared" si="34"/>
        <v>317.74434684481503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48.863102292624994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7.3320453884569994E-2</v>
      </c>
      <c r="AC36" s="24">
        <f t="shared" si="3"/>
        <v>48.936422746509564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64.070317414640812</v>
      </c>
      <c r="T37" s="62">
        <f t="shared" si="34"/>
        <v>317.74434684481503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47.904926660216162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5.1845390141454985E-2</v>
      </c>
      <c r="AC37" s="24">
        <f t="shared" si="3"/>
        <v>47.956772050357614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64.070317414640812</v>
      </c>
      <c r="T38" s="62">
        <f t="shared" si="34"/>
        <v>317.74434684481503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46.965540267529441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3.6660226942284997E-2</v>
      </c>
      <c r="AC38" s="24">
        <f t="shared" si="3"/>
        <v>47.00220049447173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64.070317414640812</v>
      </c>
      <c r="T39" s="62">
        <f t="shared" si="34"/>
        <v>317.74434684481503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46.044574669034176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2.5922695070727492E-2</v>
      </c>
      <c r="AC39" s="24">
        <f t="shared" si="3"/>
        <v>46.070497364104902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64.070317414640812</v>
      </c>
      <c r="T40" s="62">
        <f t="shared" si="34"/>
        <v>317.74434684481503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45.14166864419186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1.8330113471142499E-2</v>
      </c>
      <c r="AC40" s="24">
        <f t="shared" si="3"/>
        <v>45.159998757663004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64.070317414640812</v>
      </c>
      <c r="T41" s="62">
        <f t="shared" si="34"/>
        <v>317.74434684481503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44.256468055778406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1.2961347535363746E-2</v>
      </c>
      <c r="AC41" s="24">
        <f t="shared" si="3"/>
        <v>44.269429403313772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64.070317414640812</v>
      </c>
      <c r="T42" s="62">
        <f t="shared" si="34"/>
        <v>317.74434684481503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43.388625710984691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9.1650567355712493E-3</v>
      </c>
      <c r="AC42" s="24">
        <f t="shared" si="3"/>
        <v>43.397790767720259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64.070317414640812</v>
      </c>
      <c r="T43" s="62">
        <f t="shared" si="34"/>
        <v>317.74434684481503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42.53780122524082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6.4806737676818731E-3</v>
      </c>
      <c r="AC43" s="24">
        <f t="shared" si="3"/>
        <v>42.544281899008503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64.070317414640812</v>
      </c>
      <c r="T44" s="62">
        <f t="shared" si="34"/>
        <v>317.74434684481503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41.703660888710687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4.5825283677856246E-3</v>
      </c>
      <c r="AC44" s="24">
        <f t="shared" si="3"/>
        <v>41.708243417078471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64.070317414640812</v>
      </c>
      <c r="T45" s="62">
        <f t="shared" si="34"/>
        <v>317.74434684481503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40.885877535404546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3.2403368838409365E-3</v>
      </c>
      <c r="AC45" s="24">
        <f t="shared" si="3"/>
        <v>40.889117872288388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64.070317414640812</v>
      </c>
      <c r="T46" s="62">
        <f t="shared" si="34"/>
        <v>317.74434684481503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40.084130414858144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2.2912641838928123E-3</v>
      </c>
      <c r="AC46" s="24">
        <f t="shared" si="3"/>
        <v>40.08642167904204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64.070317414640812</v>
      </c>
      <c r="T47" s="62">
        <f t="shared" si="34"/>
        <v>317.74434684481503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39.298105066328198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1.6201684419204683E-3</v>
      </c>
      <c r="AC47" s="24">
        <f t="shared" si="3"/>
        <v>39.299725234770115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64.070317414640812</v>
      </c>
      <c r="T48" s="62">
        <f t="shared" si="34"/>
        <v>317.74434684481503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38.527493195454802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1.1456320919464062E-3</v>
      </c>
      <c r="AC48" s="24">
        <f t="shared" si="3"/>
        <v>38.52863882754675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64.070317414640812</v>
      </c>
      <c r="T49" s="62">
        <f t="shared" si="34"/>
        <v>317.74434684481503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37.771992553342407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8.1008422096023414E-4</v>
      </c>
      <c r="AC49" s="24">
        <f t="shared" si="3"/>
        <v>37.772802637563366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64.070317414640812</v>
      </c>
      <c r="T50" s="62">
        <f t="shared" si="34"/>
        <v>317.74434684481503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37.031306818011942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5.7281604597320308E-4</v>
      </c>
      <c r="AC50" s="24">
        <f t="shared" si="3"/>
        <v>37.031879634057915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64.070317414640812</v>
      </c>
      <c r="T51" s="62">
        <f t="shared" si="34"/>
        <v>317.74434684481503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36.305145478177621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4.0504211048011707E-4</v>
      </c>
      <c r="AC51" s="24">
        <f t="shared" si="3"/>
        <v>36.305550520288101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64.070317414640812</v>
      </c>
      <c r="T52" s="62">
        <f t="shared" si="34"/>
        <v>317.74434684481503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35.593223719302763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2.8640802298660154E-4</v>
      </c>
      <c r="AC52" s="24">
        <f t="shared" si="3"/>
        <v>35.59351012732575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64.070317414640812</v>
      </c>
      <c r="T53" s="62">
        <f t="shared" si="34"/>
        <v>317.74434684481503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34.89526231189005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2.0252105524005853E-4</v>
      </c>
      <c r="AC53" s="24">
        <f t="shared" si="3"/>
        <v>34.895464832945294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64.070317414640812</v>
      </c>
      <c r="T54" s="62">
        <f t="shared" si="34"/>
        <v>317.74434684481503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34.210987501962272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1.4320401149330077E-4</v>
      </c>
      <c r="AC54" s="24">
        <f t="shared" si="3"/>
        <v>34.211130705973765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64.070317414640812</v>
      </c>
      <c r="T55" s="62">
        <f t="shared" si="34"/>
        <v>317.74434684481503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33.540130903690759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1.0126052762002927E-4</v>
      </c>
      <c r="AC55" s="24">
        <f t="shared" si="3"/>
        <v>33.540232164218381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64.070317414640812</v>
      </c>
      <c r="T56" s="62">
        <f t="shared" si="34"/>
        <v>317.74434684481503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32.882429394129225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7.1602005746650385E-5</v>
      </c>
      <c r="AC56" s="24">
        <f t="shared" si="3"/>
        <v>32.882500996134972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64.070317414640812</v>
      </c>
      <c r="T57" s="62">
        <f t="shared" si="34"/>
        <v>317.74434684481503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32.23762501001189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5.0630263810014634E-5</v>
      </c>
      <c r="AC57" s="24">
        <f t="shared" si="3"/>
        <v>32.237675640275697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64.070317414640812</v>
      </c>
      <c r="T58" s="62">
        <f t="shared" si="34"/>
        <v>317.74434684481503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31.605464846575252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3.5801002873325193E-5</v>
      </c>
      <c r="AC58" s="24">
        <f t="shared" si="3"/>
        <v>31.605500647578125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64.070317414640812</v>
      </c>
      <c r="T59" s="62">
        <f t="shared" si="34"/>
        <v>317.74434684481503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30.985700958363978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2.5315131905007317E-5</v>
      </c>
      <c r="AC59" s="24">
        <f t="shared" si="3"/>
        <v>30.985726273495882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64.070317414640812</v>
      </c>
      <c r="T60" s="62">
        <f t="shared" si="34"/>
        <v>317.74434684481503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30.378090261981882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1.7900501436662596E-5</v>
      </c>
      <c r="AC60" s="24">
        <f t="shared" si="3"/>
        <v>30.378108162483318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64.070317414640812</v>
      </c>
      <c r="T61" s="62">
        <f t="shared" si="34"/>
        <v>317.74434684481503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29.782394440749908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1.2657565952503658E-5</v>
      </c>
      <c r="AC61" s="24">
        <f t="shared" si="3"/>
        <v>29.782407098315861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64.070317414640812</v>
      </c>
      <c r="T62" s="62">
        <f t="shared" si="34"/>
        <v>317.74434684481503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29.198379851233721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8.9502507183312981E-6</v>
      </c>
      <c r="AC62" s="24">
        <f t="shared" si="3"/>
        <v>29.198388801484437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64.070317414640812</v>
      </c>
      <c r="T63" s="62">
        <f t="shared" si="34"/>
        <v>317.74434684481503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28.625817431604219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6.3287829762518292E-6</v>
      </c>
      <c r="AC63" s="24">
        <f t="shared" si="3"/>
        <v>28.625823760387195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64.070317414640812</v>
      </c>
      <c r="T64" s="62">
        <f t="shared" si="34"/>
        <v>317.74434684481503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28.064482611795057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4.4751253591656491E-6</v>
      </c>
      <c r="AC64" s="24">
        <f t="shared" si="3"/>
        <v>28.064487086920415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64.070317414640812</v>
      </c>
      <c r="T65" s="62">
        <f t="shared" si="34"/>
        <v>317.74434684481503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27.514155225421923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3.1643914881259146E-6</v>
      </c>
      <c r="AC65" s="24">
        <f t="shared" si="3"/>
        <v>27.51415838981341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64.070317414640812</v>
      </c>
      <c r="T66" s="62">
        <f t="shared" si="34"/>
        <v>317.74434684481503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26.974619423429004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2.2375626795828245E-6</v>
      </c>
      <c r="AC66" s="24">
        <f t="shared" si="3"/>
        <v>26.974621660991684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64.070317414640812</v>
      </c>
      <c r="T67" s="62">
        <f t="shared" si="34"/>
        <v>317.74434684481503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26.445663589428822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1.5821957440629573E-6</v>
      </c>
      <c r="AC67" s="24">
        <f t="shared" si="3"/>
        <v>26.445665171624565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64.070317414640812</v>
      </c>
      <c r="T68" s="62">
        <f t="shared" si="34"/>
        <v>317.74434684481503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25.92708025670218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1.1187813397914123E-6</v>
      </c>
      <c r="AC68" s="24">
        <f t="shared" ref="AC68:AC131" si="57">SUM(Z68:AB68)</f>
        <v>25.927081375483521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64.070317414640812</v>
      </c>
      <c r="T69" s="62">
        <f t="shared" ref="T69:T132" si="88">$T$3</f>
        <v>317.74434684481503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25.418666026825708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7.9109787203147865E-7</v>
      </c>
      <c r="AC69" s="24">
        <f t="shared" si="57"/>
        <v>25.41866681792358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64.070317414640812</v>
      </c>
      <c r="T70" s="62">
        <f t="shared" si="88"/>
        <v>317.74434684481503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24.920221489895052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5.5939066989570613E-7</v>
      </c>
      <c r="AC70" s="24">
        <f t="shared" si="57"/>
        <v>24.920222049285723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64.070317414640812</v>
      </c>
      <c r="T71" s="62">
        <f t="shared" si="88"/>
        <v>317.74434684481503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24.431551146312461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3.9554893601573932E-7</v>
      </c>
      <c r="AC71" s="24">
        <f t="shared" si="57"/>
        <v>24.431551541861399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64.070317414640812</v>
      </c>
      <c r="T72" s="62">
        <f t="shared" si="88"/>
        <v>317.74434684481503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23.952463330108046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2.7969533494785307E-7</v>
      </c>
      <c r="AC72" s="24">
        <f t="shared" si="57"/>
        <v>23.952463609803381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64.070317414640812</v>
      </c>
      <c r="T73" s="62">
        <f t="shared" si="88"/>
        <v>317.74434684481503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23.482770133764685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1.9777446800786966E-7</v>
      </c>
      <c r="AC73" s="24">
        <f t="shared" si="57"/>
        <v>23.482770331539154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64.070317414640812</v>
      </c>
      <c r="T74" s="62">
        <f t="shared" si="88"/>
        <v>317.74434684481503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23.022287334517056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1.3984766747392653E-7</v>
      </c>
      <c r="AC74" s="24">
        <f t="shared" si="57"/>
        <v>23.022287474364724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64.070317414640812</v>
      </c>
      <c r="T75" s="62">
        <f t="shared" si="88"/>
        <v>317.74434684481503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22.570834322095898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9.8887234003934831E-8</v>
      </c>
      <c r="AC75" s="24">
        <f t="shared" si="57"/>
        <v>22.570834420983132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64.070317414640812</v>
      </c>
      <c r="T76" s="62">
        <f t="shared" si="88"/>
        <v>317.74434684481503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22.128234027889171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6.9923833736963267E-8</v>
      </c>
      <c r="AC76" s="24">
        <f t="shared" si="57"/>
        <v>22.128234097813003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64.070317414640812</v>
      </c>
      <c r="T77" s="62">
        <f t="shared" si="88"/>
        <v>317.74434684481503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21.694312855492313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4.9443617001967416E-8</v>
      </c>
      <c r="AC77" s="24">
        <f t="shared" si="57"/>
        <v>21.694312904935931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64.070317414640812</v>
      </c>
      <c r="T78" s="62">
        <f t="shared" si="88"/>
        <v>317.74434684481503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21.268900612620378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3.4961916868481633E-8</v>
      </c>
      <c r="AC78" s="24">
        <f t="shared" si="57"/>
        <v>21.268900647582296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64.070317414640812</v>
      </c>
      <c r="T79" s="62">
        <f t="shared" si="88"/>
        <v>317.74434684481503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20.851830444355315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2.4721808500983708E-8</v>
      </c>
      <c r="AC79" s="24">
        <f t="shared" si="57"/>
        <v>20.851830469077122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64.070317414640812</v>
      </c>
      <c r="T80" s="62">
        <f t="shared" si="88"/>
        <v>317.74434684481503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20.442938767702245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1.7480958434240817E-8</v>
      </c>
      <c r="AC80" s="24">
        <f t="shared" si="57"/>
        <v>20.442938785183202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64.070317414640812</v>
      </c>
      <c r="T81" s="62">
        <f t="shared" si="88"/>
        <v>317.74434684481503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20.042065207429044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1.2360904250491854E-8</v>
      </c>
      <c r="AC81" s="24">
        <f t="shared" si="57"/>
        <v>20.042065219789947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64.070317414640812</v>
      </c>
      <c r="T82" s="62">
        <f t="shared" si="88"/>
        <v>317.74434684481503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19.649052533164074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8.7404792171204083E-9</v>
      </c>
      <c r="AC82" s="24">
        <f t="shared" si="57"/>
        <v>19.649052541904553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64.070317414640812</v>
      </c>
      <c r="T83" s="62">
        <f t="shared" si="88"/>
        <v>317.74434684481503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19.263746597727376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6.1804521252459269E-9</v>
      </c>
      <c r="AC83" s="24">
        <f t="shared" si="57"/>
        <v>19.26374660390783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64.070317414640812</v>
      </c>
      <c r="T84" s="62">
        <f t="shared" si="88"/>
        <v>317.74434684481503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18.885996276671179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4.3702396085602042E-9</v>
      </c>
      <c r="AC84" s="24">
        <f t="shared" si="57"/>
        <v>18.885996281041418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64.070317414640812</v>
      </c>
      <c r="T85" s="62">
        <f t="shared" si="88"/>
        <v>317.74434684481503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18.515653409005946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3.0902260626229635E-9</v>
      </c>
      <c r="AC85" s="24">
        <f t="shared" si="57"/>
        <v>18.515653412096171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64.070317414640812</v>
      </c>
      <c r="T86" s="62">
        <f t="shared" si="88"/>
        <v>317.74434684481503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18.152572739088786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2.1851198042801021E-9</v>
      </c>
      <c r="AC86" s="24">
        <f t="shared" si="57"/>
        <v>18.152572741273907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64.070317414640812</v>
      </c>
      <c r="T87" s="62">
        <f t="shared" si="88"/>
        <v>317.74434684481503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17.79661185965136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1.5451130313114817E-9</v>
      </c>
      <c r="AC87" s="24">
        <f t="shared" si="57"/>
        <v>17.796611861196475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64.070317414640812</v>
      </c>
      <c r="T88" s="62">
        <f t="shared" si="88"/>
        <v>317.74434684481503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17.447631155945004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1.092559902140051E-9</v>
      </c>
      <c r="AC88" s="24">
        <f t="shared" si="57"/>
        <v>17.447631157037563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64.070317414640812</v>
      </c>
      <c r="T89" s="62">
        <f t="shared" si="88"/>
        <v>317.74434684481503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17.105493750981118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7.7255651565574087E-10</v>
      </c>
      <c r="AC89" s="24">
        <f t="shared" si="57"/>
        <v>17.105493751753674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64.070317414640812</v>
      </c>
      <c r="T90" s="62">
        <f t="shared" si="88"/>
        <v>317.74434684481503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16.770065451845362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5.4627995107002552E-10</v>
      </c>
      <c r="AC90" s="24">
        <f t="shared" si="57"/>
        <v>16.770065452391641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64.070317414640812</v>
      </c>
      <c r="T91" s="62">
        <f t="shared" si="88"/>
        <v>317.74434684481503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16.441214697064595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3.8627825782787043E-10</v>
      </c>
      <c r="AC91" s="24">
        <f t="shared" si="57"/>
        <v>16.441214697450874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64.070317414640812</v>
      </c>
      <c r="T92" s="62">
        <f t="shared" si="88"/>
        <v>317.74434684481503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16.118812505005927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2.7313997553501276E-10</v>
      </c>
      <c r="AC92" s="24">
        <f t="shared" si="57"/>
        <v>16.118812505279067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64.070317414640812</v>
      </c>
      <c r="T93" s="62">
        <f t="shared" si="88"/>
        <v>317.74434684481503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15.802732423287608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1.9313912891393522E-10</v>
      </c>
      <c r="AC93" s="24">
        <f t="shared" si="57"/>
        <v>15.802732423480748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64.070317414640812</v>
      </c>
      <c r="T94" s="62">
        <f t="shared" si="88"/>
        <v>317.74434684481503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15.492850479181973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1.3656998776750638E-10</v>
      </c>
      <c r="AC94" s="24">
        <f t="shared" si="57"/>
        <v>15.492850479318543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64.070317414640812</v>
      </c>
      <c r="T95" s="62">
        <f t="shared" si="88"/>
        <v>317.74434684481503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15.189045130990927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9.6569564456967609E-11</v>
      </c>
      <c r="AC95" s="24">
        <f t="shared" si="57"/>
        <v>15.189045131087497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64.070317414640812</v>
      </c>
      <c r="T96" s="62">
        <f t="shared" si="88"/>
        <v>317.74434684481503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14.891197220374941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6.828499388375319E-11</v>
      </c>
      <c r="AC96" s="24">
        <f t="shared" si="57"/>
        <v>14.891197220443226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64.070317414640812</v>
      </c>
      <c r="T97" s="62">
        <f t="shared" si="88"/>
        <v>317.74434684481503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14.599189925616848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4.8284782228483804E-11</v>
      </c>
      <c r="AC97" s="24">
        <f t="shared" si="57"/>
        <v>14.599189925665133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64.070317414640812</v>
      </c>
      <c r="T98" s="62">
        <f t="shared" si="88"/>
        <v>317.74434684481503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14.312908715802097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3.4142496941876595E-11</v>
      </c>
      <c r="AC98" s="24">
        <f t="shared" si="57"/>
        <v>14.31290871583624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64.070317414640812</v>
      </c>
      <c r="T99" s="62">
        <f t="shared" si="88"/>
        <v>317.74434684481503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14.032241305897518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2.4142391114241902E-11</v>
      </c>
      <c r="AC99" s="24">
        <f t="shared" si="57"/>
        <v>14.03224130592166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64.070317414640812</v>
      </c>
      <c r="T100" s="62">
        <f t="shared" si="88"/>
        <v>317.74434684481503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13.757077612710951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1.7071248470938298E-11</v>
      </c>
      <c r="AC100" s="24">
        <f t="shared" si="57"/>
        <v>13.757077612728022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64.070317414640812</v>
      </c>
      <c r="T101" s="62">
        <f t="shared" si="88"/>
        <v>317.74434684481503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13.487309711714492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1.2071195557120951E-11</v>
      </c>
      <c r="AC101" s="24">
        <f t="shared" si="57"/>
        <v>13.487309711726562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64.070317414640812</v>
      </c>
      <c r="T102" s="62">
        <f t="shared" si="88"/>
        <v>317.74434684481503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13.2228317947144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8.5356242354691488E-12</v>
      </c>
      <c r="AC102" s="24">
        <f t="shared" si="57"/>
        <v>13.222831794722936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64.070317414640812</v>
      </c>
      <c r="T103" s="62">
        <f t="shared" si="88"/>
        <v>317.74434684481503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12.963540128351081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6.0355977785604755E-12</v>
      </c>
      <c r="AC103" s="24">
        <f t="shared" si="57"/>
        <v>12.963540128357117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64.070317414640812</v>
      </c>
      <c r="T104" s="62">
        <f t="shared" si="88"/>
        <v>317.74434684481503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12.709333013412845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4.2678121177345744E-12</v>
      </c>
      <c r="AC104" s="24">
        <f t="shared" si="57"/>
        <v>12.709333013417114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64.070317414640812</v>
      </c>
      <c r="T105" s="62">
        <f t="shared" si="88"/>
        <v>317.74434684481503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12.460110744947517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3.0177988892802378E-12</v>
      </c>
      <c r="AC105" s="24">
        <f t="shared" si="57"/>
        <v>12.460110744950535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64.070317414640812</v>
      </c>
      <c r="T106" s="62">
        <f t="shared" si="88"/>
        <v>317.74434684481503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12.215775573156222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2.1339060588672872E-12</v>
      </c>
      <c r="AC106" s="24">
        <f t="shared" si="57"/>
        <v>12.215775573158355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64.070317414640812</v>
      </c>
      <c r="T107" s="62">
        <f t="shared" si="88"/>
        <v>317.74434684481503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11.976231665054014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1.5088994446401189E-12</v>
      </c>
      <c r="AC107" s="24">
        <f t="shared" si="57"/>
        <v>11.976231665055522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64.070317414640812</v>
      </c>
      <c r="T108" s="62">
        <f t="shared" si="88"/>
        <v>317.74434684481503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11.741385066882334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1.0669530294336436E-12</v>
      </c>
      <c r="AC108" s="24">
        <f t="shared" si="57"/>
        <v>11.741385066883401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64.070317414640812</v>
      </c>
      <c r="T109" s="62">
        <f t="shared" si="88"/>
        <v>317.74434684481503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11.511143667258519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7.5444972232005944E-13</v>
      </c>
      <c r="AC109" s="24">
        <f t="shared" si="57"/>
        <v>11.511143667259274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64.070317414640812</v>
      </c>
      <c r="T110" s="62">
        <f t="shared" si="88"/>
        <v>317.74434684481503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11.28541716104794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5.334765147168218E-13</v>
      </c>
      <c r="AC110" s="24">
        <f t="shared" si="57"/>
        <v>11.285417161048473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64.070317414640812</v>
      </c>
      <c r="T111" s="62">
        <f t="shared" si="88"/>
        <v>317.74434684481503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11.064117013944577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3.7722486116002972E-13</v>
      </c>
      <c r="AC111" s="24">
        <f t="shared" si="57"/>
        <v>11.064117013944953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64.070317414640812</v>
      </c>
      <c r="T112" s="62">
        <f t="shared" si="88"/>
        <v>317.74434684481503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10.847156427746148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2.667382573584109E-13</v>
      </c>
      <c r="AC112" s="24">
        <f t="shared" si="57"/>
        <v>10.847156427746414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64.070317414640812</v>
      </c>
      <c r="T113" s="62">
        <f t="shared" si="88"/>
        <v>317.74434684481503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10.63445030631018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1.8861243058001486E-13</v>
      </c>
      <c r="AC113" s="24">
        <f t="shared" si="57"/>
        <v>10.634450306310368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64.070317414640812</v>
      </c>
      <c r="T114" s="62">
        <f t="shared" si="88"/>
        <v>317.74434684481503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10.425915222177649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1.3336912867920545E-13</v>
      </c>
      <c r="AC114" s="24">
        <f t="shared" si="57"/>
        <v>10.425915222177782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64.070317414640812</v>
      </c>
      <c r="T115" s="62">
        <f t="shared" si="88"/>
        <v>317.74434684481503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10.221469383851113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9.430621529000743E-14</v>
      </c>
      <c r="AC115" s="24">
        <f t="shared" si="57"/>
        <v>10.221469383851208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64.070317414640812</v>
      </c>
      <c r="T116" s="62">
        <f t="shared" si="88"/>
        <v>317.74434684481503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10.021032603714513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6.6684564339602725E-14</v>
      </c>
      <c r="AC116" s="24">
        <f t="shared" si="57"/>
        <v>10.02103260371458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64.070317414640812</v>
      </c>
      <c r="T117" s="62">
        <f t="shared" si="88"/>
        <v>317.74434684481503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9.8245262665820281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4.7153107645003715E-14</v>
      </c>
      <c r="AC117" s="24">
        <f t="shared" si="57"/>
        <v>9.8245262665820761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64.070317414640812</v>
      </c>
      <c r="T118" s="62">
        <f t="shared" si="88"/>
        <v>317.74434684481503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9.6318732988636793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3.3342282169801362E-14</v>
      </c>
      <c r="AC118" s="24">
        <f t="shared" si="57"/>
        <v>9.631873298863713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64.070317414640812</v>
      </c>
      <c r="T119" s="62">
        <f t="shared" si="88"/>
        <v>317.74434684481503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9.4429981383355805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2.3576553822501858E-14</v>
      </c>
      <c r="AC119" s="24">
        <f t="shared" si="57"/>
        <v>9.4429981383356036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64.070317414640812</v>
      </c>
      <c r="T120" s="62">
        <f t="shared" si="88"/>
        <v>317.74434684481503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9.2578267045029659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1.6671141084900681E-14</v>
      </c>
      <c r="AC120" s="24">
        <f t="shared" si="57"/>
        <v>9.2578267045029818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64.070317414640812</v>
      </c>
      <c r="T121" s="62">
        <f t="shared" si="88"/>
        <v>317.74434684481503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9.0762863695443858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1.1788276911250929E-14</v>
      </c>
      <c r="AC121" s="24">
        <f t="shared" si="57"/>
        <v>9.0762863695443983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64.070317414640812</v>
      </c>
      <c r="T122" s="62">
        <f t="shared" si="88"/>
        <v>317.74434684481503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8.898305929825673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8.3355705424503406E-15</v>
      </c>
      <c r="AC122" s="24">
        <f t="shared" si="57"/>
        <v>8.8983059298256819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64.070317414640812</v>
      </c>
      <c r="T123" s="62">
        <f t="shared" si="88"/>
        <v>317.74434684481503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8.7238155779724949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5.8941384556254644E-15</v>
      </c>
      <c r="AC123" s="24">
        <f t="shared" si="57"/>
        <v>8.7238155779725002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64.070317414640812</v>
      </c>
      <c r="T124" s="62">
        <f t="shared" si="88"/>
        <v>317.74434684481503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8.552746875490552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4.1677852712251703E-15</v>
      </c>
      <c r="AC124" s="24">
        <f t="shared" si="57"/>
        <v>8.5527468754905556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64.070317414640812</v>
      </c>
      <c r="T125" s="62">
        <f t="shared" si="88"/>
        <v>317.74434684481503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8.3850327259226738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2.9470692278127322E-15</v>
      </c>
      <c r="AC125" s="24">
        <f t="shared" si="57"/>
        <v>8.3850327259226773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64.070317414640812</v>
      </c>
      <c r="T126" s="62">
        <f t="shared" si="88"/>
        <v>317.74434684481503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8.2206073485322921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2.0838926356125851E-15</v>
      </c>
      <c r="AC126" s="24">
        <f t="shared" si="57"/>
        <v>8.2206073485322939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64.070317414640812</v>
      </c>
      <c r="T127" s="62">
        <f t="shared" si="88"/>
        <v>317.74434684481503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8.0594062525029582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1.4735346139063661E-15</v>
      </c>
      <c r="AC127" s="24">
        <f t="shared" si="57"/>
        <v>8.0594062525029599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64.070317414640812</v>
      </c>
      <c r="T128" s="62">
        <f t="shared" si="88"/>
        <v>317.74434684481503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7.9013662116437988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1.0419463178062926E-15</v>
      </c>
      <c r="AC128" s="24">
        <f t="shared" si="57"/>
        <v>7.9013662116437997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64.070317414640812</v>
      </c>
      <c r="T129" s="62">
        <f t="shared" si="88"/>
        <v>317.74434684481503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7.7464252395909812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7.3676730695318305E-16</v>
      </c>
      <c r="AC129" s="24">
        <f t="shared" si="57"/>
        <v>7.7464252395909821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64.070317414640812</v>
      </c>
      <c r="T130" s="62">
        <f t="shared" si="88"/>
        <v>317.74434684481503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7.594522565495458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5.2097315890314629E-16</v>
      </c>
      <c r="AC130" s="24">
        <f t="shared" si="57"/>
        <v>7.5945225654954589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64.070317414640812</v>
      </c>
      <c r="T131" s="62">
        <f t="shared" si="88"/>
        <v>317.74434684481503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7.4455986101874654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3.6838365347659152E-16</v>
      </c>
      <c r="AC131" s="24">
        <f t="shared" si="57"/>
        <v>7.4455986101874654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64.070317414640812</v>
      </c>
      <c r="T132" s="62">
        <f t="shared" si="88"/>
        <v>317.74434684481503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7.2995949628084187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2.6048657945157314E-16</v>
      </c>
      <c r="AC132" s="24">
        <f t="shared" ref="AC132:AC153" si="111">SUM(Z132:AB132)</f>
        <v>7.2995949628084187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64.070317414640812</v>
      </c>
      <c r="T133" s="62">
        <f t="shared" ref="T133:T196" si="142">$T$3</f>
        <v>317.74434684481503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7.1564543579010431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1.8419182673829576E-16</v>
      </c>
      <c r="AC133" s="24">
        <f t="shared" si="111"/>
        <v>7.1564543579010431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64.070317414640812</v>
      </c>
      <c r="T134" s="62">
        <f t="shared" si="142"/>
        <v>317.74434684481503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7.0161206529487536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1.3024328972578657E-16</v>
      </c>
      <c r="AC134" s="24">
        <f t="shared" si="111"/>
        <v>7.0161206529487536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64.070317414640812</v>
      </c>
      <c r="T135" s="62">
        <f t="shared" si="142"/>
        <v>317.74434684481503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6.8785388063554702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9.2095913369147881E-17</v>
      </c>
      <c r="AC135" s="24">
        <f t="shared" si="111"/>
        <v>6.8785388063554702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64.070317414640812</v>
      </c>
      <c r="T136" s="62">
        <f t="shared" si="142"/>
        <v>317.74434684481503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6.7436548558572404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6.5121644862893286E-17</v>
      </c>
      <c r="AC136" s="24">
        <f t="shared" si="111"/>
        <v>6.7436548558572404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64.070317414640812</v>
      </c>
      <c r="T137" s="62">
        <f t="shared" si="142"/>
        <v>317.74434684481503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6.6114158973571948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4.6047956684573941E-17</v>
      </c>
      <c r="AC137" s="24">
        <f t="shared" si="111"/>
        <v>6.6114158973571948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64.070317414640812</v>
      </c>
      <c r="T138" s="62">
        <f t="shared" si="142"/>
        <v>317.74434684481503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6.4817700641755351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3.2560822431446643E-17</v>
      </c>
      <c r="AC138" s="24">
        <f t="shared" si="111"/>
        <v>6.4817700641755351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64.070317414640812</v>
      </c>
      <c r="T139" s="62">
        <f t="shared" si="142"/>
        <v>317.74434684481503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6.3546665067064172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2.302397834228697E-17</v>
      </c>
      <c r="AC139" s="24">
        <f t="shared" si="111"/>
        <v>6.3546665067064172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64.070317414640812</v>
      </c>
      <c r="T140" s="62">
        <f t="shared" si="142"/>
        <v>317.74434684481503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6.2300553724737542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1.6280411215723321E-17</v>
      </c>
      <c r="AC140" s="24">
        <f t="shared" si="111"/>
        <v>6.2300553724737542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64.070317414640812</v>
      </c>
      <c r="T141" s="62">
        <f t="shared" si="142"/>
        <v>317.74434684481503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6.1078877865781065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1.1511989171143485E-17</v>
      </c>
      <c r="AC141" s="24">
        <f t="shared" si="111"/>
        <v>6.1078877865781065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64.070317414640812</v>
      </c>
      <c r="T142" s="62">
        <f t="shared" si="142"/>
        <v>317.74434684481503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5.9881158325270025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8.1402056078616607E-18</v>
      </c>
      <c r="AC142" s="24">
        <f t="shared" si="111"/>
        <v>5.9881158325270025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64.070317414640812</v>
      </c>
      <c r="T143" s="62">
        <f t="shared" si="142"/>
        <v>317.74434684481503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5.8706925334411624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5.7559945855717426E-18</v>
      </c>
      <c r="AC143" s="24">
        <f t="shared" si="111"/>
        <v>5.8706925334411624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64.070317414640812</v>
      </c>
      <c r="T144" s="62">
        <f t="shared" si="142"/>
        <v>317.74434684481503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5.7555718336292552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4.0701028039308304E-18</v>
      </c>
      <c r="AC144" s="24">
        <f t="shared" si="111"/>
        <v>5.7555718336292552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64.070317414640812</v>
      </c>
      <c r="T145" s="62">
        <f t="shared" si="142"/>
        <v>317.74434684481503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5.6427085805239656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2.8779972927858713E-18</v>
      </c>
      <c r="AC145" s="24">
        <f t="shared" si="111"/>
        <v>5.6427085805239656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64.070317414640812</v>
      </c>
      <c r="T146" s="62">
        <f t="shared" si="142"/>
        <v>317.74434684481503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5.5320585069722839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2.0350514019654152E-18</v>
      </c>
      <c r="AC146" s="24">
        <f t="shared" si="111"/>
        <v>5.5320585069722839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64.070317414640812</v>
      </c>
      <c r="T147" s="62">
        <f t="shared" si="142"/>
        <v>317.74434684481503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5.4235782138730695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1.4389986463929356E-18</v>
      </c>
      <c r="AC147" s="24">
        <f t="shared" si="111"/>
        <v>5.4235782138730695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64.070317414640812</v>
      </c>
      <c r="T148" s="62">
        <f t="shared" si="142"/>
        <v>317.74434684481503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5.3172251531550856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1.0175257009827076E-18</v>
      </c>
      <c r="AC148" s="24">
        <f t="shared" si="111"/>
        <v>5.3172251531550856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64.070317414640812</v>
      </c>
      <c r="T149" s="62">
        <f t="shared" si="142"/>
        <v>317.74434684481503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5.2129576110888198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7.1949932319646782E-19</v>
      </c>
      <c r="AC149" s="24">
        <f t="shared" si="111"/>
        <v>5.2129576110888198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64.070317414640812</v>
      </c>
      <c r="T150" s="62">
        <f t="shared" si="142"/>
        <v>317.74434684481503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5.1107346919255523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5.087628504913538E-19</v>
      </c>
      <c r="AC150" s="24">
        <f t="shared" si="111"/>
        <v>5.1107346919255523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64.070317414640812</v>
      </c>
      <c r="T151" s="62">
        <f t="shared" si="142"/>
        <v>317.74434684481503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5.0105163018572521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3.5974966159823391E-19</v>
      </c>
      <c r="AC151" s="24">
        <f t="shared" si="111"/>
        <v>5.0105163018572521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64.070317414640812</v>
      </c>
      <c r="T152" s="62">
        <f t="shared" si="142"/>
        <v>317.74434684481503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4.9122631332910096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2.543814252456769E-19</v>
      </c>
      <c r="AC152" s="24">
        <f t="shared" si="111"/>
        <v>4.9122631332910096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64.070317414640812</v>
      </c>
      <c r="T153" s="62">
        <f t="shared" si="142"/>
        <v>317.74434684481503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4.8159366494318352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1.7987483079911696E-19</v>
      </c>
      <c r="AC153" s="24">
        <f t="shared" si="111"/>
        <v>4.8159366494318352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64.070317414640812</v>
      </c>
      <c r="T154" s="62">
        <f t="shared" si="142"/>
        <v>317.74434684481503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4.7214990691677858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1.2719071262283845E-19</v>
      </c>
      <c r="AC154" s="24">
        <f t="shared" ref="AC154:AC203" si="163">SUM(Z154:AB154)</f>
        <v>4.7214990691677858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64.070317414640812</v>
      </c>
      <c r="T155" s="62">
        <f t="shared" si="142"/>
        <v>317.74434684481503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4.6289133522514785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8.9937415399558478E-20</v>
      </c>
      <c r="AC155" s="24">
        <f t="shared" si="163"/>
        <v>4.6289133522514785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64.070317414640812</v>
      </c>
      <c r="T156" s="62">
        <f t="shared" si="142"/>
        <v>317.74434684481503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4.5381431847721885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6.3595356311419225E-20</v>
      </c>
      <c r="AC156" s="24">
        <f t="shared" si="163"/>
        <v>4.5381431847721885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64.070317414640812</v>
      </c>
      <c r="T157" s="62">
        <f t="shared" si="142"/>
        <v>317.74434684481503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4.4491529649128321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4.4968707699779239E-20</v>
      </c>
      <c r="AC157" s="24">
        <f t="shared" si="163"/>
        <v>4.4491529649128321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64.070317414640812</v>
      </c>
      <c r="T158" s="62">
        <f t="shared" si="142"/>
        <v>317.74434684481503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4.361907788986243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3.1797678155709612E-20</v>
      </c>
      <c r="AC158" s="24">
        <f t="shared" si="163"/>
        <v>4.361907788986243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64.070317414640812</v>
      </c>
      <c r="T159" s="62">
        <f t="shared" si="142"/>
        <v>317.74434684481503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4.2763734377452716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2.2484353849889619E-20</v>
      </c>
      <c r="AC159" s="24">
        <f t="shared" si="163"/>
        <v>4.2763734377452716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64.070317414640812</v>
      </c>
      <c r="T160" s="62">
        <f t="shared" si="142"/>
        <v>317.74434684481503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4.1925163629613325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1.5898839077854806E-20</v>
      </c>
      <c r="AC160" s="24">
        <f t="shared" si="163"/>
        <v>4.1925163629613325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64.070317414640812</v>
      </c>
      <c r="T161" s="62">
        <f t="shared" si="142"/>
        <v>317.74434684481503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4.1103036742661416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1.124217692494481E-20</v>
      </c>
      <c r="AC161" s="24">
        <f t="shared" si="163"/>
        <v>4.1103036742661416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64.070317414640812</v>
      </c>
      <c r="T162" s="62">
        <f t="shared" si="142"/>
        <v>317.74434684481503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4.0297031262514746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7.9494195389274031E-21</v>
      </c>
      <c r="AC162" s="24">
        <f t="shared" si="163"/>
        <v>4.0297031262514746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64.070317414640812</v>
      </c>
      <c r="T163" s="62">
        <f t="shared" si="142"/>
        <v>317.74434684481503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3.950683105821895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5.6210884624724049E-21</v>
      </c>
      <c r="AC163" s="24">
        <f t="shared" si="163"/>
        <v>3.950683105821895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64.070317414640812</v>
      </c>
      <c r="T164" s="62">
        <f t="shared" si="142"/>
        <v>317.74434684481503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3.8732126197954861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3.9747097694637015E-21</v>
      </c>
      <c r="AC164" s="24">
        <f t="shared" si="163"/>
        <v>3.8732126197954861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64.070317414640812</v>
      </c>
      <c r="T165" s="62">
        <f t="shared" si="142"/>
        <v>317.74434684481503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3.7972612827477246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2.8105442312362024E-21</v>
      </c>
      <c r="AC165" s="24">
        <f t="shared" si="163"/>
        <v>3.7972612827477246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64.070317414640812</v>
      </c>
      <c r="T166" s="62">
        <f t="shared" si="142"/>
        <v>317.74434684481503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3.7227993050937283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1.9873548847318508E-21</v>
      </c>
      <c r="AC166" s="24">
        <f t="shared" si="163"/>
        <v>3.7227993050937283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64.070317414640812</v>
      </c>
      <c r="T167" s="62">
        <f t="shared" si="142"/>
        <v>317.74434684481503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3.6497974814042049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1.4052721156181012E-21</v>
      </c>
      <c r="AC167" s="24">
        <f t="shared" si="163"/>
        <v>3.6497974814042049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64.070317414640812</v>
      </c>
      <c r="T168" s="62">
        <f t="shared" si="142"/>
        <v>317.74434684481503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3.5782271789505176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9.9367744236592538E-22</v>
      </c>
      <c r="AC168" s="24">
        <f t="shared" si="163"/>
        <v>3.5782271789505176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64.070317414640812</v>
      </c>
      <c r="T169" s="62">
        <f t="shared" si="142"/>
        <v>317.74434684481503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3.5080603264743728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7.0263605780905061E-22</v>
      </c>
      <c r="AC169" s="24">
        <f t="shared" si="163"/>
        <v>3.5080603264743728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64.070317414640812</v>
      </c>
      <c r="T170" s="62">
        <f t="shared" si="142"/>
        <v>317.74434684481503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3.4392694031777311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4.9683872118296269E-22</v>
      </c>
      <c r="AC170" s="24">
        <f t="shared" si="163"/>
        <v>3.4392694031777311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64.070317414640812</v>
      </c>
      <c r="T171" s="62">
        <f t="shared" si="142"/>
        <v>317.74434684481503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3.3718274279286162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3.513180289045253E-22</v>
      </c>
      <c r="AC171" s="24">
        <f t="shared" si="163"/>
        <v>3.3718274279286162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64.070317414640812</v>
      </c>
      <c r="T172" s="62">
        <f t="shared" si="142"/>
        <v>317.74434684481503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3.3057079486785934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2.4841936059148135E-22</v>
      </c>
      <c r="AC172" s="24">
        <f t="shared" si="163"/>
        <v>3.3057079486785934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64.070317414640812</v>
      </c>
      <c r="T173" s="62">
        <f t="shared" si="142"/>
        <v>317.74434684481503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3.2408850320877636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1.7565901445226265E-22</v>
      </c>
      <c r="AC173" s="24">
        <f t="shared" si="163"/>
        <v>3.2408850320877636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64.070317414640812</v>
      </c>
      <c r="T174" s="62">
        <f t="shared" si="142"/>
        <v>317.74434684481503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3.1773332533532046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1.2420968029574067E-22</v>
      </c>
      <c r="AC174" s="24">
        <f t="shared" si="163"/>
        <v>3.1773332533532046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64.070317414640812</v>
      </c>
      <c r="T175" s="62">
        <f t="shared" si="142"/>
        <v>317.74434684481503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3.1150276862368731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8.7829507226131326E-23</v>
      </c>
      <c r="AC175" s="24">
        <f t="shared" si="163"/>
        <v>3.1150276862368731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64.070317414640812</v>
      </c>
      <c r="T176" s="62">
        <f t="shared" si="142"/>
        <v>317.74434684481503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3.0539438932890492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6.2104840147870336E-23</v>
      </c>
      <c r="AC176" s="24">
        <f t="shared" si="163"/>
        <v>3.0539438932890492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64.070317414640812</v>
      </c>
      <c r="T177" s="62">
        <f t="shared" si="142"/>
        <v>317.74434684481503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2.9940579162634973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4.3914753613065663E-23</v>
      </c>
      <c r="AC177" s="24">
        <f t="shared" si="163"/>
        <v>2.9940579162634973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64.070317414640812</v>
      </c>
      <c r="T178" s="62">
        <f t="shared" si="142"/>
        <v>317.74434684481503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2.9353462667205772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3.1052420073935168E-23</v>
      </c>
      <c r="AC178" s="24">
        <f t="shared" si="163"/>
        <v>2.9353462667205772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64.070317414640812</v>
      </c>
      <c r="T179" s="62">
        <f t="shared" si="142"/>
        <v>317.74434684481503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2.8777859168146236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2.1957376806532831E-23</v>
      </c>
      <c r="AC179" s="24">
        <f t="shared" si="163"/>
        <v>2.8777859168146236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64.070317414640812</v>
      </c>
      <c r="T180" s="62">
        <f t="shared" si="142"/>
        <v>317.74434684481503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2.8213542902619788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1.5526210036967584E-23</v>
      </c>
      <c r="AC180" s="24">
        <f t="shared" si="163"/>
        <v>2.8213542902619788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64.070317414640812</v>
      </c>
      <c r="T181" s="62">
        <f t="shared" si="142"/>
        <v>317.74434684481503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2.7660292534861379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1.0978688403266416E-23</v>
      </c>
      <c r="AC181" s="24">
        <f t="shared" si="163"/>
        <v>2.7660292534861379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64.070317414640812</v>
      </c>
      <c r="T182" s="62">
        <f t="shared" si="142"/>
        <v>317.74434684481503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2.7117891069365312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7.7631050184837921E-24</v>
      </c>
      <c r="AC182" s="24">
        <f t="shared" si="163"/>
        <v>2.7117891069365312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64.070317414640812</v>
      </c>
      <c r="T183" s="62">
        <f t="shared" si="142"/>
        <v>317.74434684481503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2.6586125765775392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5.4893442016332079E-24</v>
      </c>
      <c r="AC183" s="24">
        <f t="shared" si="163"/>
        <v>2.6586125765775392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64.070317414640812</v>
      </c>
      <c r="T184" s="62">
        <f t="shared" si="142"/>
        <v>317.74434684481503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2.6064788055444064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3.881552509241896E-24</v>
      </c>
      <c r="AC184" s="24">
        <f t="shared" si="163"/>
        <v>2.6064788055444064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64.070317414640812</v>
      </c>
      <c r="T185" s="62">
        <f t="shared" si="142"/>
        <v>317.74434684481503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2.5553673459627726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2.7446721008166039E-24</v>
      </c>
      <c r="AC185" s="24">
        <f t="shared" si="163"/>
        <v>2.5553673459627726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64.070317414640812</v>
      </c>
      <c r="T186" s="62">
        <f t="shared" si="142"/>
        <v>317.74434684481503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2.5052581509286229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1.940776254620948E-24</v>
      </c>
      <c r="AC186" s="24">
        <f t="shared" si="163"/>
        <v>2.5052581509286229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64.070317414640812</v>
      </c>
      <c r="T187" s="62">
        <f t="shared" si="142"/>
        <v>317.74434684481503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2.4561315666455017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1.372336050408302E-24</v>
      </c>
      <c r="AC187" s="24">
        <f t="shared" si="163"/>
        <v>2.4561315666455017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64.070317414640812</v>
      </c>
      <c r="T188" s="62">
        <f t="shared" si="142"/>
        <v>317.74434684481503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2.4079683247159149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9.7038812731047401E-25</v>
      </c>
      <c r="AC188" s="24">
        <f t="shared" si="163"/>
        <v>2.4079683247159149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64.070317414640812</v>
      </c>
      <c r="T189" s="62">
        <f t="shared" si="142"/>
        <v>317.74434684481503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2.3607495345838903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6.8616802520415098E-25</v>
      </c>
      <c r="AC189" s="24">
        <f t="shared" si="163"/>
        <v>2.3607495345838903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64.070317414640812</v>
      </c>
      <c r="T190" s="62">
        <f t="shared" si="142"/>
        <v>317.74434684481503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2.3144566761257366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4.85194063655237E-25</v>
      </c>
      <c r="AC190" s="24">
        <f t="shared" si="163"/>
        <v>2.3144566761257366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64.070317414640812</v>
      </c>
      <c r="T191" s="62">
        <f t="shared" si="142"/>
        <v>317.74434684481503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2.2690715923860916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3.4308401260207549E-25</v>
      </c>
      <c r="AC191" s="24">
        <f t="shared" si="163"/>
        <v>2.2690715923860916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64.070317414640812</v>
      </c>
      <c r="T192" s="62">
        <f t="shared" si="142"/>
        <v>317.74434684481503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2.2245764824564134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2.425970318276185E-25</v>
      </c>
      <c r="AC192" s="24">
        <f t="shared" si="163"/>
        <v>2.2245764824564134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64.070317414640812</v>
      </c>
      <c r="T193" s="62">
        <f t="shared" si="142"/>
        <v>317.74434684481503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2.1809538944931188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1.7154200630103775E-25</v>
      </c>
      <c r="AC193" s="24">
        <f t="shared" si="163"/>
        <v>2.1809538944931188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64.070317414640812</v>
      </c>
      <c r="T194" s="62">
        <f t="shared" si="142"/>
        <v>317.74434684481503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2.1381867188726331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1.2129851591380925E-25</v>
      </c>
      <c r="AC194" s="24">
        <f t="shared" si="163"/>
        <v>2.1381867188726331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64.070317414640812</v>
      </c>
      <c r="T195" s="62">
        <f t="shared" si="142"/>
        <v>317.74434684481503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2.0962581814806636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8.5771003150518873E-26</v>
      </c>
      <c r="AC195" s="24">
        <f t="shared" si="163"/>
        <v>2.0962581814806636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64.070317414640812</v>
      </c>
      <c r="T196" s="62">
        <f t="shared" si="142"/>
        <v>317.74434684481503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2.0551518371330681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6.0649257956904625E-26</v>
      </c>
      <c r="AC196" s="24">
        <f t="shared" si="163"/>
        <v>2.0551518371330681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64.070317414640812</v>
      </c>
      <c r="T197" s="62">
        <f t="shared" ref="T197:T203" si="204">$T$3</f>
        <v>317.74434684481503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2.0148515631257347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4.2885501575259436E-26</v>
      </c>
      <c r="AC197" s="24">
        <f t="shared" si="163"/>
        <v>2.0148515631257347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64.070317414640812</v>
      </c>
      <c r="T198" s="62">
        <f t="shared" si="204"/>
        <v>317.74434684481503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1.975341552910945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3.0324628978452313E-26</v>
      </c>
      <c r="AC198" s="24">
        <f t="shared" si="163"/>
        <v>1.975341552910945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64.070317414640812</v>
      </c>
      <c r="T199" s="62">
        <f t="shared" si="204"/>
        <v>317.74434684481503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1.9366063098977406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2.1442750787629718E-26</v>
      </c>
      <c r="AC199" s="24">
        <f t="shared" si="163"/>
        <v>1.9366063098977406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64.070317414640812</v>
      </c>
      <c r="T200" s="62">
        <f t="shared" si="204"/>
        <v>317.74434684481503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1.8986306413738598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1.5162314489226156E-26</v>
      </c>
      <c r="AC200" s="24">
        <f t="shared" si="163"/>
        <v>1.8986306413738598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64.070317414640812</v>
      </c>
      <c r="T201" s="62">
        <f t="shared" si="204"/>
        <v>317.74434684481503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1.8613996525468617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1.0721375393814859E-26</v>
      </c>
      <c r="AC201" s="24">
        <f t="shared" si="163"/>
        <v>1.8613996525468617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64.070317414640812</v>
      </c>
      <c r="T202" s="62">
        <f t="shared" si="204"/>
        <v>317.74434684481503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1.8248987407021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7.5811572446130782E-27</v>
      </c>
      <c r="AC202" s="24">
        <f t="shared" si="163"/>
        <v>1.8248987407021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64.070317414640812</v>
      </c>
      <c r="T203" s="62">
        <f t="shared" si="204"/>
        <v>317.74434684481503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1.7891135894752563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5.3606876969074296E-27</v>
      </c>
      <c r="AC203" s="24">
        <f t="shared" si="163"/>
        <v>1.7891135894752563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1.4062935701520467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41" workbookViewId="0">
      <selection activeCell="C57" sqref="C57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A6" sqref="A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Robusta</v>
      </c>
      <c r="B6" s="155">
        <f>'Données projet'!D9</f>
        <v>2.0099999999999998</v>
      </c>
      <c r="C6" s="156">
        <f ca="1">IF(OR('Données projet'!B9="",'Données projet'!C9="",'Données projet'!C9=0%),0,Calculateur!S3)</f>
        <v>64.070317414640812</v>
      </c>
      <c r="D6" s="156">
        <f>IF(OR('Données projet'!B9="",'Données projet'!C9="",'Données projet'!C9=0%),0,Calculateur!T3)</f>
        <v>317.74434684481503</v>
      </c>
      <c r="E6" s="156">
        <f ca="1">MIN(C6,D6)</f>
        <v>64.070317414640812</v>
      </c>
      <c r="F6" s="156">
        <f ca="1">E6*B6</f>
        <v>128.781338003428</v>
      </c>
      <c r="G6" s="156">
        <f ca="1">F6*(100%-'Données projet'!$C$24)*(100%-'Données projet'!$C$25)*(100%-'Données projet'!$C$26)*(100%-'Données projet'!$C$27)</f>
        <v>110.10804399293094</v>
      </c>
      <c r="H6" s="157">
        <f>IF(OR('Données projet'!B9="",'Données projet'!C9="",'Données projet'!C9=0%),0,AVERAGE(Calculateur!$AC$3:$AC$33)*B6)</f>
        <v>63.987710167191359</v>
      </c>
      <c r="I6" s="158">
        <f>H6*(100%-'Données projet'!$C$24)*(100%-'Données projet'!$C$25)*(100%-'Données projet'!$C$26)*(100%-'Données projet'!$C$27)</f>
        <v>54.709492192948616</v>
      </c>
      <c r="J6" s="159">
        <f>IF(OR('Données projet'!B9="",'Données projet'!C9="",'Données projet'!C9=0%),0,SUM(Calculateur!$V$3:$V$33)*VLOOKUP('Données projet'!$B$9,Paramètres!$A$1:$I$89,9,0)*B6)</f>
        <v>484.4502</v>
      </c>
      <c r="K6" s="160">
        <f>J6*(100%-'Données projet'!$C$24)*(100%-'Données projet'!$C$25)*(100%-'Données projet'!$C$26)*(100%-'Données projet'!$C$27)</f>
        <v>414.20492099999996</v>
      </c>
      <c r="L6" s="161">
        <f ca="1">G6+I6+K6</f>
        <v>579.02245718587949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128.781338003428</v>
      </c>
      <c r="G16" s="175">
        <f t="shared" ca="1" si="3"/>
        <v>110.10804399293094</v>
      </c>
      <c r="H16" s="176">
        <f t="shared" si="3"/>
        <v>63.987710167191359</v>
      </c>
      <c r="I16" s="176">
        <f t="shared" si="3"/>
        <v>54.709492192948616</v>
      </c>
      <c r="J16" s="177">
        <f t="shared" si="3"/>
        <v>484.4502</v>
      </c>
      <c r="K16" s="177">
        <f t="shared" si="3"/>
        <v>414.20492099999996</v>
      </c>
      <c r="L16" s="178">
        <f t="shared" ca="1" si="3"/>
        <v>579.02245718587949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N22" sqref="N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6942.3492919745313</v>
      </c>
      <c r="U10" s="190">
        <f>'Données projet'!D9</f>
        <v>2.0099999999999998</v>
      </c>
      <c r="V10" s="189">
        <f>U10*T10</f>
        <v>13954.122076868807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3793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16</v>
      </c>
      <c r="B23" s="193">
        <f>'Données projet'!D36</f>
        <v>234</v>
      </c>
      <c r="C23" s="206">
        <v>60</v>
      </c>
      <c r="D23" s="194">
        <f>B23*C23</f>
        <v>14040</v>
      </c>
      <c r="E23" s="206"/>
      <c r="F23" s="261"/>
      <c r="H23" s="203">
        <v>3</v>
      </c>
      <c r="I23" s="204">
        <v>350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4267.4524494547877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17213.259174092847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700</v>
      </c>
      <c r="Q25" s="265"/>
      <c r="R25" s="25"/>
      <c r="S25" s="198" t="s">
        <v>266</v>
      </c>
      <c r="T25" s="341">
        <f ca="1">T23-T24</f>
        <v>-12945.80672463806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8563.8105343745519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700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669.85645933014359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641.0109658661662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613.40762283843651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586.99294051525044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561.71573255047883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537.52701679471681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514.37992037771937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492.2295888782005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471.03309940497655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450.74937742103032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431.33911714931128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412.76470540603958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394.99014871391347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377.98100355398429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361.70430962103757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346.12852595314615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Feuil1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2025-02-13T13:18:23Z</dcterms:modified>
</cp:coreProperties>
</file>