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lients\Vergers du Sud\Label Bas carbone - Vergers du Sud\3 - Livrables\Dépôt Dossier\DSG\"/>
    </mc:Choice>
  </mc:AlternateContent>
  <xr:revisionPtr revIDLastSave="0" documentId="13_ncr:1_{368A4777-F0BE-4A13-89B9-C7C72DF70340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2" l="1"/>
  <c r="B21" i="2"/>
  <c r="B20" i="2"/>
  <c r="L8" i="2"/>
  <c r="E25" i="9" l="1"/>
  <c r="F25" i="9"/>
  <c r="G25" i="9"/>
  <c r="H25" i="9"/>
  <c r="I25" i="9"/>
  <c r="J25" i="9"/>
  <c r="K25" i="9"/>
  <c r="L25" i="9"/>
  <c r="D25" i="9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E140" i="5" s="1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D59" i="5" l="1"/>
  <c r="K86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C25" i="9" l="1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D73" i="5" l="1"/>
  <c r="D76" i="5" s="1"/>
  <c r="D87" i="5" s="1"/>
  <c r="D46" i="5"/>
  <c r="D49" i="5" s="1"/>
  <c r="D60" i="5" s="1"/>
  <c r="E73" i="5"/>
  <c r="E76" i="5" s="1"/>
  <c r="E87" i="5" s="1"/>
  <c r="E46" i="5"/>
  <c r="E49" i="5" s="1"/>
  <c r="E60" i="5" s="1"/>
  <c r="K100" i="5"/>
  <c r="K103" i="5" s="1"/>
  <c r="K114" i="5" s="1"/>
  <c r="D100" i="5"/>
  <c r="D103" i="5" s="1"/>
  <c r="D114" i="5" s="1"/>
  <c r="F73" i="5"/>
  <c r="F76" i="5" s="1"/>
  <c r="F87" i="5" s="1"/>
  <c r="F46" i="5"/>
  <c r="F49" i="5" s="1"/>
  <c r="F60" i="5" s="1"/>
  <c r="D127" i="5"/>
  <c r="D130" i="5" s="1"/>
  <c r="D141" i="5" s="1"/>
  <c r="E100" i="5"/>
  <c r="E103" i="5" s="1"/>
  <c r="E114" i="5" s="1"/>
  <c r="G73" i="5"/>
  <c r="G76" i="5" s="1"/>
  <c r="G87" i="5" s="1"/>
  <c r="G46" i="5"/>
  <c r="G49" i="5" s="1"/>
  <c r="G60" i="5" s="1"/>
  <c r="C46" i="5"/>
  <c r="C49" i="5" s="1"/>
  <c r="C60" i="5" s="1"/>
  <c r="E127" i="5"/>
  <c r="E130" i="5" s="1"/>
  <c r="E141" i="5" s="1"/>
  <c r="F100" i="5"/>
  <c r="F103" i="5" s="1"/>
  <c r="F114" i="5" s="1"/>
  <c r="H73" i="5"/>
  <c r="H76" i="5" s="1"/>
  <c r="H87" i="5" s="1"/>
  <c r="H46" i="5"/>
  <c r="H49" i="5" s="1"/>
  <c r="H60" i="5" s="1"/>
  <c r="F127" i="5"/>
  <c r="F130" i="5" s="1"/>
  <c r="F141" i="5" s="1"/>
  <c r="G100" i="5"/>
  <c r="G103" i="5" s="1"/>
  <c r="G114" i="5" s="1"/>
  <c r="C100" i="5"/>
  <c r="C103" i="5" s="1"/>
  <c r="C114" i="5" s="1"/>
  <c r="I73" i="5"/>
  <c r="I76" i="5" s="1"/>
  <c r="I87" i="5" s="1"/>
  <c r="C73" i="5"/>
  <c r="C76" i="5" s="1"/>
  <c r="C87" i="5" s="1"/>
  <c r="I46" i="5"/>
  <c r="I49" i="5" s="1"/>
  <c r="I60" i="5" s="1"/>
  <c r="J127" i="5"/>
  <c r="J130" i="5" s="1"/>
  <c r="J141" i="5" s="1"/>
  <c r="G127" i="5"/>
  <c r="G130" i="5" s="1"/>
  <c r="G141" i="5" s="1"/>
  <c r="H100" i="5"/>
  <c r="H103" i="5" s="1"/>
  <c r="H114" i="5" s="1"/>
  <c r="J73" i="5"/>
  <c r="J76" i="5" s="1"/>
  <c r="J87" i="5" s="1"/>
  <c r="J46" i="5"/>
  <c r="J49" i="5" s="1"/>
  <c r="J60" i="5" s="1"/>
  <c r="H127" i="5"/>
  <c r="H130" i="5" s="1"/>
  <c r="H141" i="5" s="1"/>
  <c r="C127" i="5"/>
  <c r="C130" i="5" s="1"/>
  <c r="C141" i="5" s="1"/>
  <c r="I100" i="5"/>
  <c r="I103" i="5" s="1"/>
  <c r="I114" i="5" s="1"/>
  <c r="K73" i="5"/>
  <c r="K76" i="5" s="1"/>
  <c r="K87" i="5" s="1"/>
  <c r="K46" i="5"/>
  <c r="K49" i="5" s="1"/>
  <c r="K60" i="5" s="1"/>
  <c r="I127" i="5"/>
  <c r="I130" i="5" s="1"/>
  <c r="I141" i="5" s="1"/>
  <c r="J100" i="5"/>
  <c r="J103" i="5" s="1"/>
  <c r="J114" i="5" s="1"/>
  <c r="L73" i="5"/>
  <c r="L76" i="5" s="1"/>
  <c r="L87" i="5" s="1"/>
  <c r="L46" i="5"/>
  <c r="L49" i="5" s="1"/>
  <c r="L60" i="5" s="1"/>
  <c r="K127" i="5"/>
  <c r="K130" i="5" s="1"/>
  <c r="K141" i="5" s="1"/>
  <c r="L100" i="5"/>
  <c r="L103" i="5" s="1"/>
  <c r="L114" i="5" s="1"/>
  <c r="L127" i="5"/>
  <c r="L130" i="5" s="1"/>
  <c r="L141" i="5" s="1"/>
  <c r="J19" i="5"/>
  <c r="J22" i="5" s="1"/>
  <c r="J33" i="5" s="1"/>
  <c r="D19" i="5"/>
  <c r="D22" i="5" s="1"/>
  <c r="D33" i="5" s="1"/>
  <c r="E19" i="5"/>
  <c r="E22" i="5" s="1"/>
  <c r="E33" i="5" s="1"/>
  <c r="L19" i="5"/>
  <c r="L22" i="5" s="1"/>
  <c r="L33" i="5" s="1"/>
  <c r="F19" i="5"/>
  <c r="F22" i="5" s="1"/>
  <c r="F33" i="5" s="1"/>
  <c r="G19" i="5"/>
  <c r="G22" i="5" s="1"/>
  <c r="G33" i="5" s="1"/>
  <c r="C19" i="5"/>
  <c r="C22" i="5" s="1"/>
  <c r="H19" i="5"/>
  <c r="H22" i="5" s="1"/>
  <c r="H33" i="5" s="1"/>
  <c r="I19" i="5"/>
  <c r="I22" i="5" s="1"/>
  <c r="I33" i="5" s="1"/>
  <c r="K19" i="5"/>
  <c r="K22" i="5" s="1"/>
  <c r="K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H28" i="9"/>
  <c r="G37" i="2" s="1"/>
  <c r="G38" i="2" s="1"/>
  <c r="G28" i="9"/>
  <c r="F37" i="2" s="1"/>
  <c r="I28" i="9"/>
  <c r="H37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E39" i="2" s="1"/>
  <c r="I38" i="2"/>
  <c r="I39" i="2" s="1"/>
  <c r="F38" i="2"/>
  <c r="F39" i="2" s="1"/>
  <c r="H38" i="2"/>
  <c r="H39" i="2" s="1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D39" i="2"/>
  <c r="C33" i="5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C6" i="6" s="1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E28" i="2" s="1"/>
  <c r="F27" i="2"/>
  <c r="F28" i="2" s="1"/>
  <c r="G27" i="2"/>
  <c r="G28" i="2" s="1"/>
  <c r="H27" i="2"/>
  <c r="H28" i="2" s="1"/>
  <c r="I27" i="2"/>
  <c r="I28" i="2" s="1"/>
  <c r="J27" i="2"/>
  <c r="J28" i="2" s="1"/>
  <c r="K27" i="2"/>
  <c r="K28" i="2" s="1"/>
  <c r="B43" i="2"/>
  <c r="C31" i="2"/>
  <c r="D31" i="2"/>
  <c r="E31" i="2"/>
  <c r="F31" i="2"/>
  <c r="G31" i="2"/>
  <c r="H31" i="2"/>
  <c r="I31" i="2"/>
  <c r="J31" i="2"/>
  <c r="K31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<sst xmlns="http://schemas.openxmlformats.org/spreadsheetml/2006/main" count="952" uniqueCount="349">
  <si>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</si>
  <si>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</si>
  <si>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</si>
  <si>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</si>
  <si>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</si>
  <si>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</si>
  <si>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</si>
  <si>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</si>
  <si>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</si>
  <si>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</si>
  <si>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</si>
  <si>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</si>
  <si>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</si>
  <si>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</si>
  <si>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</si>
  <si>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</si>
  <si>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</si>
  <si>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</si>
  <si>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</si>
  <si>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</si>
  <si>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</si>
  <si>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</si>
  <si>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</si>
  <si>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</si>
  <si>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</si>
  <si>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</si>
  <si>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</si>
  <si>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</si>
  <si>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</si>
  <si>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</si>
  <si>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</si>
  <si>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</si>
  <si>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</si>
  <si>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</si>
  <si>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</si>
  <si>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</si>
  <si>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</si>
  <si>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</si>
  <si>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</si>
  <si>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</si>
  <si>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</si>
  <si>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</si>
  <si>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</si>
  <si>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</si>
  <si>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</si>
  <si>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</si>
  <si>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</si>
  <si>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</si>
  <si>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</si>
  <si>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</si>
  <si>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</si>
  <si>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</si>
  <si>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</si>
  <si>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</si>
  <si>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</si>
  <si>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</si>
  <si>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</si>
  <si>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</si>
  <si>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</si>
  <si>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</si>
  <si>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</si>
  <si>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</si>
  <si>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</si>
  <si>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</si>
  <si>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</si>
  <si>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</si>
  <si>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</si>
  <si>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</si>
  <si>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</si>
  <si>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</si>
  <si>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</si>
  <si>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</si>
  <si>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</si>
  <si>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</si>
  <si>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</si>
  <si>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</si>
  <si>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</si>
  <si>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</si>
  <si>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</si>
  <si>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</si>
  <si>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</si>
  <si>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</si>
  <si>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</si>
  <si>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</si>
  <si>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</si>
  <si>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</si>
  <si>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</si>
  <si>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</si>
  <si>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</si>
  <si>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</si>
  <si>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</si>
  <si>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</si>
  <si>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</si>
  <si>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</si>
  <si>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</si>
  <si>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</si>
  <si>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</si>
  <si>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</si>
  <si>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</si>
  <si>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</si>
  <si>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</si>
  <si>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</si>
  <si>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</si>
  <si>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</si>
  <si>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</si>
  <si>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</si>
  <si>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</si>
  <si>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</si>
  <si>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</si>
  <si>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</si>
  <si>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</si>
  <si>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</si>
  <si>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</si>
  <si>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</si>
  <si>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</si>
  <si>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</si>
  <si>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</si>
  <si>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</si>
  <si>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</si>
  <si>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</si>
  <si>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</si>
  <si>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</si>
  <si>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</si>
  <si>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</si>
  <si>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</si>
  <si>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</si>
  <si>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</si>
  <si>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</si>
  <si>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</si>
  <si>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</si>
  <si>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</si>
  <si>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</si>
  <si>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</si>
  <si>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</si>
  <si>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</si>
  <si>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</si>
  <si>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</si>
  <si>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</si>
  <si>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</si>
  <si>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</si>
  <si>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</si>
  <si>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</si>
  <si>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</si>
  <si>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</si>
  <si>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</si>
  <si>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</si>
  <si>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</si>
  <si>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</si>
  <si>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</si>
  <si>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</si>
  <si>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</si>
  <si>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</si>
  <si>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</si>
  <si>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</si>
  <si>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</si>
  <si>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</si>
  <si>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</si>
  <si>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</si>
  <si>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</si>
  <si>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</si>
  <si>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</si>
  <si>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</si>
  <si>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</si>
  <si>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</si>
  <si>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</si>
  <si>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</si>
  <si>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</si>
  <si>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</si>
  <si>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</si>
  <si>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</si>
  <si>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</si>
  <si>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</si>
  <si>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</si>
  <si>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</si>
  <si>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</si>
  <si>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</si>
  <si>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</si>
  <si>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</si>
  <si>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</si>
  <si>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</si>
  <si>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</si>
  <si>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</si>
  <si>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</si>
  <si>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</si>
  <si>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</si>
  <si>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</si>
  <si>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</si>
  <si>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</si>
  <si>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</si>
  <si>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</si>
  <si>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</si>
  <si>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</si>
  <si>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</si>
  <si>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</si>
  <si>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</si>
  <si>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</si>
  <si>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</si>
  <si>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</si>
  <si>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</si>
  <si>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</si>
  <si>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</si>
  <si>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</si>
  <si>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</si>
  <si>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</si>
  <si>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</si>
  <si>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</si>
  <si>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</si>
  <si>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</si>
  <si>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</si>
  <si>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</si>
  <si>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</si>
  <si>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</si>
  <si>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</si>
  <si>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</si>
  <si>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</si>
  <si>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</si>
  <si>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</si>
  <si>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</si>
  <si>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</si>
  <si>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</si>
  <si>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</si>
  <si>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</si>
  <si>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</si>
  <si>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</si>
  <si>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</si>
  <si>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</si>
  <si>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</si>
  <si>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</si>
  <si>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</si>
  <si>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</si>
  <si>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</si>
  <si>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</si>
  <si>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</si>
  <si>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</si>
  <si>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</si>
  <si>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</si>
  <si>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</si>
  <si>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</si>
  <si>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</si>
  <si>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</si>
  <si>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</si>
  <si>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</si>
  <si>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</si>
  <si>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</si>
  <si>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</si>
  <si>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</si>
  <si>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</si>
  <si>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</si>
  <si>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</si>
  <si>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</si>
  <si>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</si>
  <si>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</si>
  <si>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</si>
  <si>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</si>
  <si>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</si>
  <si>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</si>
  <si>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</si>
  <si>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</si>
  <si>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</si>
  <si>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</si>
  <si>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</si>
  <si>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</si>
  <si>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</si>
  <si>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</si>
  <si>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</si>
  <si>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</si>
  <si>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</si>
  <si>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</si>
  <si>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</si>
  <si>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</si>
  <si>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</si>
  <si>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</si>
  <si>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</si>
  <si>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</si>
  <si>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</si>
  <si>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</si>
  <si>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</si>
  <si>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</si>
  <si>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</si>
  <si>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</si>
  <si>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</si>
  <si>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</si>
  <si>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</si>
  <si>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</si>
  <si>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</si>
  <si>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</si>
  <si>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</si>
  <si>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</si>
  <si>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</si>
  <si>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</si>
  <si>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</si>
  <si>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</si>
  <si>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</si>
  <si>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</si>
  <si>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</si>
  <si>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</si>
  <si>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</si>
  <si>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</si>
  <si>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</si>
  <si>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</si>
  <si>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</si>
  <si>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</si>
  <si>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</si>
  <si>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</si>
  <si>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</si>
  <si>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</si>
  <si>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</si>
  <si>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</si>
  <si>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</si>
  <si>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</si>
  <si>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</si>
  <si>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</si>
  <si>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</si>
  <si>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</si>
  <si>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</si>
  <si>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</si>
  <si>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</si>
  <si>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</si>
  <si>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</si>
  <si>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</si>
  <si>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</si>
  <si>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</si>
  <si>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</si>
  <si>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</si>
  <si>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</si>
  <si>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</si>
  <si>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</si>
  <si>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</si>
  <si>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</si>
  <si>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</si>
  <si>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</si>
  <si>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</si>
  <si>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</si>
  <si>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</si>
  <si>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</si>
  <si>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</si>
  <si>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</si>
  <si>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</si>
  <si>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</si>
  <si>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</si>
  <si>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</si>
  <si>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</si>
  <si>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</si>
  <si>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</si>
  <si>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</si>
  <si>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</si>
  <si>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Manosque</t>
  </si>
  <si>
    <t>Valensole</t>
  </si>
  <si>
    <t>Manoque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</si>
</sst>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104" t="s">
        <v>315</v>
      </c>
      <c r="L3" s="104"/>
      <c r="M3" s="104"/>
      <c r="N3" s="104"/>
      <c r="O3" s="104"/>
      <c r="P3" s="104"/>
    </row>
    <row r="4" spans="2:16" x14ac:dyDescent="0.3">
      <c r="K4" s="104"/>
      <c r="L4" s="104"/>
      <c r="M4" s="104"/>
      <c r="N4" s="104"/>
      <c r="O4" s="104"/>
      <c r="P4" s="104"/>
    </row>
    <row r="5" spans="2:16" x14ac:dyDescent="0.3">
      <c r="K5" s="104"/>
      <c r="L5" s="104"/>
      <c r="M5" s="104"/>
      <c r="N5" s="104"/>
      <c r="O5" s="104"/>
      <c r="P5" s="104"/>
    </row>
    <row r="7" spans="2:16" ht="15" customHeight="1" x14ac:dyDescent="0.3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3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3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3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3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3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3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3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3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3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3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3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3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3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3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3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3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3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3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3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3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3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3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3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3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3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107</v>
      </c>
    </row>
    <row r="38" spans="6:6" x14ac:dyDescent="0.3">
      <c r="F38" s="8" t="s">
        <v>108</v>
      </c>
    </row>
    <row r="39" spans="6:6" x14ac:dyDescent="0.3">
      <c r="F39" s="8" t="s">
        <v>109</v>
      </c>
    </row>
    <row r="40" spans="6:6" x14ac:dyDescent="0.3">
      <c r="F40" s="8" t="s">
        <v>110</v>
      </c>
    </row>
    <row r="41" spans="6:6" x14ac:dyDescent="0.3">
      <c r="F41" s="8" t="s">
        <v>111</v>
      </c>
    </row>
    <row r="42" spans="6:6" x14ac:dyDescent="0.3">
      <c r="F42" s="8" t="s">
        <v>112</v>
      </c>
    </row>
    <row r="43" spans="6:6" x14ac:dyDescent="0.3">
      <c r="F43" s="8" t="s">
        <v>113</v>
      </c>
    </row>
    <row r="44" spans="6:6" x14ac:dyDescent="0.3">
      <c r="F44" s="8" t="s">
        <v>114</v>
      </c>
    </row>
    <row r="45" spans="6:6" x14ac:dyDescent="0.3">
      <c r="F45" s="8" t="s">
        <v>115</v>
      </c>
    </row>
    <row r="46" spans="6:6" x14ac:dyDescent="0.3">
      <c r="F46" s="8" t="s">
        <v>116</v>
      </c>
    </row>
    <row r="47" spans="6:6" x14ac:dyDescent="0.3">
      <c r="F47" s="8" t="s">
        <v>117</v>
      </c>
    </row>
    <row r="48" spans="6:6" x14ac:dyDescent="0.3">
      <c r="F48" s="8" t="s">
        <v>118</v>
      </c>
    </row>
    <row r="49" spans="6:6" x14ac:dyDescent="0.3">
      <c r="F49" s="8" t="s">
        <v>119</v>
      </c>
    </row>
    <row r="50" spans="6:6" x14ac:dyDescent="0.3">
      <c r="F50" s="8" t="s">
        <v>120</v>
      </c>
    </row>
    <row r="51" spans="6:6" x14ac:dyDescent="0.3">
      <c r="F51" s="8" t="s">
        <v>121</v>
      </c>
    </row>
    <row r="52" spans="6:6" x14ac:dyDescent="0.3">
      <c r="F52" s="8" t="s">
        <v>122</v>
      </c>
    </row>
    <row r="53" spans="6:6" x14ac:dyDescent="0.3">
      <c r="F53" s="8" t="s">
        <v>123</v>
      </c>
    </row>
    <row r="54" spans="6:6" x14ac:dyDescent="0.3">
      <c r="F54" s="8" t="s">
        <v>124</v>
      </c>
    </row>
    <row r="55" spans="6:6" x14ac:dyDescent="0.3">
      <c r="F55" s="8" t="s">
        <v>125</v>
      </c>
    </row>
    <row r="56" spans="6:6" x14ac:dyDescent="0.3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2" zoomScale="73" zoomScaleNormal="92" workbookViewId="0">
      <selection activeCell="N17" sqref="N17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18" t="s">
        <v>343</v>
      </c>
      <c r="B2" s="119"/>
      <c r="C2" s="32" t="s">
        <v>342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3">
      <c r="A3" s="2"/>
      <c r="AG3" s="2" t="s">
        <v>341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289</v>
      </c>
      <c r="B7" s="1" t="s">
        <v>346</v>
      </c>
      <c r="C7" s="1" t="s">
        <v>348</v>
      </c>
      <c r="D7" s="1" t="s">
        <v>346</v>
      </c>
      <c r="E7" s="1" t="s">
        <v>347</v>
      </c>
      <c r="F7" s="1" t="s">
        <v>346</v>
      </c>
      <c r="G7" s="1" t="s">
        <v>346</v>
      </c>
      <c r="H7" s="1" t="s">
        <v>346</v>
      </c>
      <c r="I7" s="1" t="s">
        <v>346</v>
      </c>
      <c r="J7" s="1" t="s">
        <v>346</v>
      </c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23.5</v>
      </c>
      <c r="C8" s="26">
        <v>3.8</v>
      </c>
      <c r="D8" s="26">
        <v>2.67</v>
      </c>
      <c r="E8" s="26">
        <v>1.1000000000000001</v>
      </c>
      <c r="F8" s="26">
        <v>4.5999999999999996</v>
      </c>
      <c r="G8" s="26">
        <v>1</v>
      </c>
      <c r="H8" s="26">
        <v>2.2000000000000002</v>
      </c>
      <c r="I8" s="26">
        <v>1.1000000000000001</v>
      </c>
      <c r="J8" s="26">
        <f>1.05+0.26</f>
        <v>1.31</v>
      </c>
      <c r="K8" s="26"/>
      <c r="L8" s="103">
        <f>SUM(B8:K8)</f>
        <v>41.280000000000008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313</v>
      </c>
      <c r="B9" s="1" t="s">
        <v>49</v>
      </c>
      <c r="C9" s="1" t="s">
        <v>49</v>
      </c>
      <c r="D9" s="1" t="s">
        <v>49</v>
      </c>
      <c r="E9" s="1" t="s">
        <v>49</v>
      </c>
      <c r="F9" s="1" t="s">
        <v>50</v>
      </c>
      <c r="G9" s="1" t="s">
        <v>50</v>
      </c>
      <c r="H9" s="1" t="s">
        <v>50</v>
      </c>
      <c r="I9" s="1" t="s">
        <v>49</v>
      </c>
      <c r="J9" s="1" t="s">
        <v>49</v>
      </c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287</v>
      </c>
      <c r="B10" s="75"/>
      <c r="C10" s="75"/>
      <c r="D10" s="75"/>
      <c r="E10" s="75"/>
      <c r="F10" s="75" t="s">
        <v>134</v>
      </c>
      <c r="G10" s="75" t="s">
        <v>134</v>
      </c>
      <c r="H10" s="75" t="s">
        <v>134</v>
      </c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">
        <v>48</v>
      </c>
      <c r="C11" s="1" t="s">
        <v>48</v>
      </c>
      <c r="D11" s="1" t="s">
        <v>48</v>
      </c>
      <c r="E11" s="1" t="s">
        <v>48</v>
      </c>
      <c r="F11" s="1" t="s">
        <v>48</v>
      </c>
      <c r="G11" s="1" t="s">
        <v>48</v>
      </c>
      <c r="H11" s="1" t="s">
        <v>48</v>
      </c>
      <c r="I11" s="1" t="s">
        <v>48</v>
      </c>
      <c r="J11" s="1" t="s">
        <v>48</v>
      </c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291</v>
      </c>
      <c r="B12" s="1">
        <v>3175</v>
      </c>
      <c r="C12" s="1">
        <v>2286</v>
      </c>
      <c r="D12" s="1">
        <v>2286</v>
      </c>
      <c r="E12" s="1">
        <v>3175</v>
      </c>
      <c r="F12" s="1">
        <v>2105</v>
      </c>
      <c r="G12" s="1">
        <v>2105</v>
      </c>
      <c r="H12" s="1">
        <v>2105</v>
      </c>
      <c r="I12" s="1">
        <v>3175</v>
      </c>
      <c r="J12" s="1">
        <v>2286</v>
      </c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5</v>
      </c>
      <c r="C13" s="27" t="s">
        <v>5</v>
      </c>
      <c r="D13" s="27" t="s">
        <v>5</v>
      </c>
      <c r="E13" s="27" t="s">
        <v>5</v>
      </c>
      <c r="F13" s="27" t="s">
        <v>5</v>
      </c>
      <c r="G13" s="27" t="s">
        <v>5</v>
      </c>
      <c r="H13" s="27" t="s">
        <v>5</v>
      </c>
      <c r="I13" s="27" t="s">
        <v>5</v>
      </c>
      <c r="J13" s="27" t="s">
        <v>5</v>
      </c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292</v>
      </c>
      <c r="B14" s="1">
        <v>20</v>
      </c>
      <c r="C14" s="1">
        <v>20</v>
      </c>
      <c r="D14" s="1">
        <v>20</v>
      </c>
      <c r="E14" s="1">
        <v>20</v>
      </c>
      <c r="F14" s="1">
        <v>20</v>
      </c>
      <c r="G14" s="1">
        <v>20</v>
      </c>
      <c r="H14" s="1">
        <v>20</v>
      </c>
      <c r="I14" s="1">
        <v>20</v>
      </c>
      <c r="J14" s="1">
        <v>20</v>
      </c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0.7</v>
      </c>
      <c r="C15" s="29">
        <v>0.7</v>
      </c>
      <c r="D15" s="29">
        <v>0.7</v>
      </c>
      <c r="E15" s="29">
        <v>0.7</v>
      </c>
      <c r="F15" s="29">
        <v>0.7</v>
      </c>
      <c r="G15" s="29">
        <v>0.7</v>
      </c>
      <c r="H15" s="29">
        <v>0.7</v>
      </c>
      <c r="I15" s="29">
        <v>0.7</v>
      </c>
      <c r="J15" s="29">
        <v>0.7</v>
      </c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1" t="s">
        <v>0</v>
      </c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295</v>
      </c>
      <c r="B17" s="1" t="s">
        <v>73</v>
      </c>
      <c r="C17" s="1" t="s">
        <v>73</v>
      </c>
      <c r="D17" s="1" t="s">
        <v>73</v>
      </c>
      <c r="E17" s="1" t="s">
        <v>80</v>
      </c>
      <c r="F17" s="1" t="s">
        <v>73</v>
      </c>
      <c r="G17" s="1" t="s">
        <v>102</v>
      </c>
      <c r="H17" s="1" t="s">
        <v>80</v>
      </c>
      <c r="I17" s="1" t="s">
        <v>102</v>
      </c>
      <c r="J17" s="1" t="s">
        <v>102</v>
      </c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296</v>
      </c>
      <c r="B18" s="1" t="s">
        <v>106</v>
      </c>
      <c r="C18" s="1" t="s">
        <v>106</v>
      </c>
      <c r="D18" s="1" t="s">
        <v>106</v>
      </c>
      <c r="E18" s="1" t="s">
        <v>73</v>
      </c>
      <c r="F18" s="1" t="s">
        <v>73</v>
      </c>
      <c r="G18" s="1" t="s">
        <v>73</v>
      </c>
      <c r="H18" s="1" t="s">
        <v>111</v>
      </c>
      <c r="I18" s="1" t="s">
        <v>102</v>
      </c>
      <c r="J18" s="1" t="s">
        <v>102</v>
      </c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297</v>
      </c>
      <c r="B19" s="1" t="s">
        <v>106</v>
      </c>
      <c r="C19" s="1" t="s">
        <v>106</v>
      </c>
      <c r="D19" s="1" t="s">
        <v>106</v>
      </c>
      <c r="E19" s="1" t="s">
        <v>73</v>
      </c>
      <c r="F19" s="1" t="s">
        <v>73</v>
      </c>
      <c r="G19" s="1" t="s">
        <v>72</v>
      </c>
      <c r="H19" s="1" t="s">
        <v>73</v>
      </c>
      <c r="I19" s="1" t="s">
        <v>124</v>
      </c>
      <c r="J19" s="1" t="s">
        <v>102</v>
      </c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f>134.3</f>
        <v>134.30000000000001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f>B20+41.2825</f>
        <v>175.58250000000001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Poirier - Palmette</v>
      </c>
      <c r="C26" s="11" t="str">
        <f t="shared" si="0"/>
        <v>Poirier - Palmette</v>
      </c>
      <c r="D26" s="11" t="str">
        <f t="shared" si="0"/>
        <v>Poirier - Palmette</v>
      </c>
      <c r="E26" s="11" t="str">
        <f t="shared" si="0"/>
        <v>Poirier - Palmette</v>
      </c>
      <c r="F26" s="11" t="str">
        <f t="shared" si="0"/>
        <v>Pommier - Palmette</v>
      </c>
      <c r="G26" s="11" t="str">
        <f t="shared" si="0"/>
        <v>Pommier - Palmette</v>
      </c>
      <c r="H26" s="11" t="str">
        <f t="shared" si="0"/>
        <v>Pommier - Palmette</v>
      </c>
      <c r="I26" s="11" t="str">
        <f t="shared" si="0"/>
        <v>Poirier - Palmette</v>
      </c>
      <c r="J26" s="11" t="str">
        <f t="shared" si="0"/>
        <v>Poirier - Palmette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 t="e">
        <f>IF(B12="","",VLOOKUP(B26,'(ne pas modifier) BDD_REF'!$C$21:$D$42,2,FALSE))</f>
        <v>#N/A</v>
      </c>
      <c r="C27" s="12" t="e">
        <f>IF(C12="","",VLOOKUP(C26,'(ne pas modifier) BDD_REF'!$C$21:$D$42,2,FALSE))</f>
        <v>#N/A</v>
      </c>
      <c r="D27" s="12" t="e">
        <f>IF(D12="","",VLOOKUP(D26,'(ne pas modifier) BDD_REF'!$C$21:$D$42,2,FALSE))</f>
        <v>#N/A</v>
      </c>
      <c r="E27" s="12" t="e">
        <f>IF(E12="","",VLOOKUP(E26,'(ne pas modifier) BDD_REF'!$C$21:$D$42,2,FALSE))</f>
        <v>#N/A</v>
      </c>
      <c r="F27" s="12" t="e">
        <f>IF(F12="","",VLOOKUP(F26,'(ne pas modifier) BDD_REF'!$C$21:$D$42,2,FALSE))</f>
        <v>#N/A</v>
      </c>
      <c r="G27" s="12" t="e">
        <f>IF(G12="","",VLOOKUP(G26,'(ne pas modifier) BDD_REF'!$C$21:$D$42,2,FALSE))</f>
        <v>#N/A</v>
      </c>
      <c r="H27" s="12" t="e">
        <f>IF(H12="","",VLOOKUP(H26,'(ne pas modifier) BDD_REF'!$C$21:$D$42,2,FALSE))</f>
        <v>#N/A</v>
      </c>
      <c r="I27" s="12" t="e">
        <f>IF(I12="","",VLOOKUP(I26,'(ne pas modifier) BDD_REF'!$C$21:$D$42,2,FALSE))</f>
        <v>#N/A</v>
      </c>
      <c r="J27" s="12" t="e">
        <f>IF(J12="","",VLOOKUP(J26,'(ne pas modifier) BDD_REF'!$C$21:$D$42,2,FALSE))</f>
        <v>#N/A</v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290</v>
      </c>
      <c r="B28" s="13" t="e">
        <f t="shared" ref="B28:K28" si="1">IF(B12="","",IF(B12&gt;=B27,"OUI","NON"))</f>
        <v>#N/A</v>
      </c>
      <c r="C28" s="13" t="e">
        <f t="shared" si="1"/>
        <v>#N/A</v>
      </c>
      <c r="D28" s="13" t="e">
        <f t="shared" si="1"/>
        <v>#N/A</v>
      </c>
      <c r="E28" s="13" t="e">
        <f t="shared" si="1"/>
        <v>#N/A</v>
      </c>
      <c r="F28" s="13" t="e">
        <f t="shared" si="1"/>
        <v>#N/A</v>
      </c>
      <c r="G28" s="13" t="e">
        <f t="shared" si="1"/>
        <v>#N/A</v>
      </c>
      <c r="H28" s="13" t="e">
        <f t="shared" si="1"/>
        <v>#N/A</v>
      </c>
      <c r="I28" s="13" t="e">
        <f t="shared" si="1"/>
        <v>#N/A</v>
      </c>
      <c r="J28" s="13" t="e">
        <f t="shared" si="1"/>
        <v>#N/A</v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Climat Sec Mediterranéen - Grandes cultures</v>
      </c>
      <c r="C34" s="46" t="str">
        <f>CONCATENATE(Eligibilité_projet!C13," - ",Eligibilité_projet!C16)</f>
        <v>Climat Sec Mediterranéen - Grandes cultures</v>
      </c>
      <c r="D34" s="46" t="str">
        <f>CONCATENATE(Eligibilité_projet!D13," - ",Eligibilité_projet!D16)</f>
        <v>Climat Sec Mediterranéen - Grandes cultures</v>
      </c>
      <c r="E34" s="46" t="str">
        <f>CONCATENATE(Eligibilité_projet!E13," - ",Eligibilité_projet!E16)</f>
        <v>Climat Sec Mediterranéen - Grandes cultures</v>
      </c>
      <c r="F34" s="46" t="str">
        <f>CONCATENATE(Eligibilité_projet!F13," - ",Eligibilité_projet!F16)</f>
        <v>Climat Sec Mediterranéen - Grandes cultures</v>
      </c>
      <c r="G34" s="46" t="str">
        <f>CONCATENATE(Eligibilité_projet!G13," - ",Eligibilité_projet!G16)</f>
        <v>Climat Sec Mediterranéen - Grandes cultures</v>
      </c>
      <c r="H34" s="46" t="str">
        <f>CONCATENATE(Eligibilité_projet!H13," - ",Eligibilité_projet!H16)</f>
        <v>Climat Sec Mediterranéen - Grandes cultures</v>
      </c>
      <c r="I34" s="46" t="str">
        <f>CONCATENATE(Eligibilité_projet!I13," - ",Eligibilité_projet!I16)</f>
        <v>Climat Sec Mediterranéen - Grandes cultures</v>
      </c>
      <c r="J34" s="46" t="str">
        <f>CONCATENATE(Eligibilité_projet!J13," - ",Eligibilité_projet!J16)</f>
        <v>Climat Sec Mediterranéen - Grandes cultures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cultures-Climat Sec Mediterranéen</v>
      </c>
      <c r="C35" s="46" t="str">
        <f>CONCATENATE(Eligibilité_projet!C14," - ",Eligibilité_projet!C16,"-",Eligibilité_projet!C13)</f>
        <v>20 - Grandes cultures-Climat Sec Mediterranéen</v>
      </c>
      <c r="D35" s="46" t="str">
        <f>CONCATENATE(Eligibilité_projet!D14," - ",Eligibilité_projet!D16,"-",Eligibilité_projet!D13)</f>
        <v>20 - Grandes cultures-Climat Sec Mediterranéen</v>
      </c>
      <c r="E35" s="46" t="str">
        <f>CONCATENATE(Eligibilité_projet!E14," - ",Eligibilité_projet!E16,"-",Eligibilité_projet!E13)</f>
        <v>20 - Grandes cultures-Climat Sec Mediterranéen</v>
      </c>
      <c r="F35" s="46" t="str">
        <f>CONCATENATE(Eligibilité_projet!F14," - ",Eligibilité_projet!F16,"-",Eligibilité_projet!F13)</f>
        <v>20 - Grandes cultures-Climat Sec Mediterranéen</v>
      </c>
      <c r="G35" s="46" t="str">
        <f>CONCATENATE(Eligibilité_projet!G14," - ",Eligibilité_projet!G16,"-",Eligibilité_projet!G13)</f>
        <v>20 - Grandes cultures-Climat Sec Mediterranéen</v>
      </c>
      <c r="H35" s="46" t="str">
        <f>CONCATENATE(Eligibilité_projet!H14," - ",Eligibilité_projet!H16,"-",Eligibilité_projet!H13)</f>
        <v>20 - Grandes cultures-Climat Sec Mediterranéen</v>
      </c>
      <c r="I35" s="46" t="str">
        <f>CONCATENATE(Eligibilité_projet!I14," - ",Eligibilité_projet!I16,"-",Eligibilité_projet!I13)</f>
        <v>20 - Grandes cultures-Climat Sec Mediterranéen</v>
      </c>
      <c r="J35" s="46" t="str">
        <f>CONCATENATE(Eligibilité_projet!J14," - ",Eligibilité_projet!J16,"-",Eligibilité_projet!J13)</f>
        <v>20 - Grandes cultures-Climat Sec Mediterranéen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306</v>
      </c>
      <c r="B36" s="47">
        <f>RECant_sol!C9</f>
        <v>453.23666666666651</v>
      </c>
      <c r="C36" s="47">
        <f>RECant_sol!D9</f>
        <v>73.289333333333303</v>
      </c>
      <c r="D36" s="47">
        <f>RECant_sol!E9</f>
        <v>51.495399999999982</v>
      </c>
      <c r="E36" s="47">
        <f>RECant_sol!F9</f>
        <v>21.21533333333333</v>
      </c>
      <c r="F36" s="47">
        <f>RECant_sol!G9</f>
        <v>88.718666666666607</v>
      </c>
      <c r="G36" s="47">
        <f>RECant_sol!H9</f>
        <v>19.286666666666658</v>
      </c>
      <c r="H36" s="47">
        <f>RECant_sol!I9</f>
        <v>42.43066666666666</v>
      </c>
      <c r="I36" s="47">
        <f>RECant_sol!J9</f>
        <v>21.21533333333333</v>
      </c>
      <c r="J36" s="47">
        <f>RECant_sol!K9</f>
        <v>25.265533333333323</v>
      </c>
      <c r="K36" s="47">
        <f>RECant_sol!L9</f>
        <v>0</v>
      </c>
      <c r="L36" s="101">
        <f>SUM(B36:K36)</f>
        <v>796.15359999999976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307</v>
      </c>
      <c r="B37" s="48">
        <f>RECant_biom!C28</f>
        <v>862.56936507936507</v>
      </c>
      <c r="C37" s="48">
        <f>RECant_biom!D28</f>
        <v>139.47930158730159</v>
      </c>
      <c r="D37" s="47">
        <f>RECant_biom!E28</f>
        <v>98.00256190476189</v>
      </c>
      <c r="E37" s="47">
        <f>RECant_biom!F28</f>
        <v>40.375587301587302</v>
      </c>
      <c r="F37" s="47">
        <f>RECant_biom!G28</f>
        <v>168.84336507936504</v>
      </c>
      <c r="G37" s="47">
        <f>RECant_biom!H28</f>
        <v>36.705079365079364</v>
      </c>
      <c r="H37" s="47">
        <f>RECant_biom!I28</f>
        <v>80.751174603174604</v>
      </c>
      <c r="I37" s="47">
        <f>RECant_biom!J28</f>
        <v>40.375587301587302</v>
      </c>
      <c r="J37" s="47">
        <f>RECant_biom!K28</f>
        <v>48.083653968253969</v>
      </c>
      <c r="K37" s="47">
        <f>RECant_biom!L28</f>
        <v>0</v>
      </c>
      <c r="L37" s="102">
        <f>SUM(B37:K37)</f>
        <v>1515.185676190476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227</v>
      </c>
      <c r="B38" s="48">
        <f t="shared" ref="B38:K38" si="3">IF(B36="","",B36+B37)</f>
        <v>1315.8060317460315</v>
      </c>
      <c r="C38" s="48">
        <f t="shared" si="3"/>
        <v>212.7686349206349</v>
      </c>
      <c r="D38" s="47">
        <f t="shared" si="3"/>
        <v>149.49796190476187</v>
      </c>
      <c r="E38" s="47">
        <f t="shared" si="3"/>
        <v>61.590920634920636</v>
      </c>
      <c r="F38" s="47">
        <f t="shared" si="3"/>
        <v>257.56203174603166</v>
      </c>
      <c r="G38" s="47">
        <f t="shared" si="3"/>
        <v>55.991746031746018</v>
      </c>
      <c r="H38" s="47">
        <f t="shared" si="3"/>
        <v>123.18184126984127</v>
      </c>
      <c r="I38" s="47">
        <f t="shared" si="3"/>
        <v>61.590920634920636</v>
      </c>
      <c r="J38" s="47">
        <f t="shared" si="3"/>
        <v>73.349187301587293</v>
      </c>
      <c r="K38" s="47">
        <f t="shared" si="3"/>
        <v>0</v>
      </c>
      <c r="L38" s="102">
        <f>SUM(B38:K38)</f>
        <v>2311.3392761904756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>OUI</v>
      </c>
      <c r="E39" s="13" t="str">
        <f t="shared" si="4"/>
        <v>OUI</v>
      </c>
      <c r="F39" s="13" t="str">
        <f t="shared" si="4"/>
        <v>OUI</v>
      </c>
      <c r="G39" s="13" t="str">
        <f t="shared" si="4"/>
        <v>OUI</v>
      </c>
      <c r="H39" s="13" t="str">
        <f t="shared" si="4"/>
        <v>OUI</v>
      </c>
      <c r="I39" s="13" t="str">
        <f t="shared" si="4"/>
        <v>OUI</v>
      </c>
      <c r="J39" s="13" t="str">
        <f t="shared" si="4"/>
        <v>OUI</v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>OUI</v>
      </c>
      <c r="E43" s="13" t="str">
        <f t="shared" si="5"/>
        <v>OUI</v>
      </c>
      <c r="F43" s="13" t="str">
        <f t="shared" si="5"/>
        <v>OUI</v>
      </c>
      <c r="G43" s="13" t="str">
        <f t="shared" si="5"/>
        <v>OUI</v>
      </c>
      <c r="H43" s="13" t="str">
        <f t="shared" si="5"/>
        <v>OUI</v>
      </c>
      <c r="I43" s="13" t="str">
        <f t="shared" si="5"/>
        <v>OUI</v>
      </c>
      <c r="J43" s="13" t="str">
        <f t="shared" si="5"/>
        <v>OUI</v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D23" sqref="D23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3.5554199434386664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3.5554199434386664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3.5554199434386664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3.8275534230968007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3.4623325584952003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2.6578173390562334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3.9559893343120671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1.4293711389310002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1.4874535399215001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27.486777164128803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BDD_REF'!$A$194:$B$203,2,FALSE)/1000)</f>
        <v>0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3.3667024762240003</v>
      </c>
      <c r="G6" s="16">
        <f>IF(Eligibilité_projet!G10="",0,VLOOKUP(Eligibilité_projet!G10,'(ne pas modifier) BDD_REF'!$A$194:$B$203,2,FALSE)/1000)</f>
        <v>3.3667024762240003</v>
      </c>
      <c r="H6" s="16">
        <f>IF(Eligibilité_projet!H10="",0,VLOOKUP(Eligibilité_projet!H10,'(ne pas modifier) BDD_REF'!$A$194:$B$203,2,FALSE)/1000)</f>
        <v>3.3667024762240003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10.100107428672001</v>
      </c>
      <c r="M6" s="2"/>
      <c r="N6" s="2"/>
    </row>
    <row r="7" spans="1:14" x14ac:dyDescent="0.3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-417.76184335404326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-67.552978925334656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-47.464856244906187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-21.051543827032404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-2.199491892237599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3.5444256858388345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-6.4821554389687357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-7.8615412641205014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-9.7428206864858264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-576.57280594729048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B23" sqref="B23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x14ac:dyDescent="0.3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3.5554199434386664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3.5554199434386664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3.5554199434386664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3.8275534230968007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3.4623325584952003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2.6578173390562334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3.9559893343120671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1.4293711389310002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1.4874535399215001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27.486777164128803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147</v>
      </c>
      <c r="B7" s="7" t="s">
        <v>316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0</v>
      </c>
    </row>
    <row r="8" spans="1:15" x14ac:dyDescent="0.3">
      <c r="B8" s="7" t="s">
        <v>317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0</v>
      </c>
    </row>
    <row r="9" spans="1:15" x14ac:dyDescent="0.3">
      <c r="B9" s="7" t="s">
        <v>318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3">
      <c r="B10" s="20" t="s">
        <v>332</v>
      </c>
      <c r="C10" s="42">
        <f>C7*'(ne pas modifier) BDD_REF'!$B$206 + (C8+C9)*'(ne pas modifier) BDD_REF'!$B$207</f>
        <v>0</v>
      </c>
      <c r="D10" s="42">
        <f>D7*'(ne pas modifier) BDD_REF'!$B$206 + (D8+D9)*'(ne pas modifier) BDD_REF'!$B$207</f>
        <v>0</v>
      </c>
      <c r="E10" s="42">
        <f>E7*'(ne pas modifier) BDD_REF'!$B$206 + (E8+E9)*'(ne pas modifier) BDD_REF'!$B$207</f>
        <v>0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0</v>
      </c>
    </row>
    <row r="11" spans="1:15" x14ac:dyDescent="0.3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0</v>
      </c>
      <c r="D11" s="42">
        <f>((D7*'(ne pas modifier) BDD_REF'!$B$219)+('RECeff + REIamont (2)'!D8+'RECeff + REIamont (2)'!D9)*'(ne pas modifier) BDD_REF'!$B$220)*'(ne pas modifier) BDD_REF'!$B$208</f>
        <v>0</v>
      </c>
      <c r="E11" s="42">
        <f>((E7*'(ne pas modifier) BDD_REF'!$B$219)+('RECeff + REIamont (2)'!E8+'RECeff + REIamont (2)'!E9)*'(ne pas modifier) BDD_REF'!$B$220)*'(ne pas modifier) BDD_REF'!$B$208</f>
        <v>0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0</v>
      </c>
    </row>
    <row r="12" spans="1:15" x14ac:dyDescent="0.3">
      <c r="B12" s="20" t="s">
        <v>334</v>
      </c>
      <c r="C12" s="42">
        <f>(C7+C8+C9)*'(ne pas modifier) BDD_REF'!$B$221*'(ne pas modifier) BDD_REF'!$B$209</f>
        <v>0</v>
      </c>
      <c r="D12" s="42">
        <f>(D7+D8+D9)*'(ne pas modifier) BDD_REF'!$B$221*'(ne pas modifier) BDD_REF'!$B$209</f>
        <v>0</v>
      </c>
      <c r="E12" s="42">
        <f>(E7+E8+E9)*'(ne pas modifier) BDD_REF'!$B$221*'(ne pas modifier) BDD_REF'!$B$209</f>
        <v>0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0</v>
      </c>
    </row>
    <row r="13" spans="1:15" x14ac:dyDescent="0.3">
      <c r="B13" s="7" t="s">
        <v>319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320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42">
        <f t="shared" si="0"/>
        <v>0</v>
      </c>
    </row>
    <row r="15" spans="1:15" x14ac:dyDescent="0.3">
      <c r="B15" s="7" t="s">
        <v>321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322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323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324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0</v>
      </c>
    </row>
    <row r="20" spans="1:108" x14ac:dyDescent="0.3">
      <c r="B20" s="7" t="s">
        <v>325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42">
        <f t="shared" si="0"/>
        <v>0</v>
      </c>
    </row>
    <row r="21" spans="1:108" x14ac:dyDescent="0.3">
      <c r="B21" s="3" t="s">
        <v>185</v>
      </c>
      <c r="C21" s="42">
        <f>(C20*'(ne pas modifier) BDD_REF'!$B$210)/1000</f>
        <v>0</v>
      </c>
      <c r="D21" s="42">
        <f>(D20*'(ne pas modifier) BDD_REF'!$B$210)/1000</f>
        <v>0</v>
      </c>
      <c r="E21" s="42">
        <f>(E20*'(ne pas modifier) BDD_REF'!$B$210)/1000</f>
        <v>0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0</v>
      </c>
    </row>
    <row r="22" spans="1:108" s="17" customFormat="1" x14ac:dyDescent="0.3">
      <c r="A22" s="19"/>
      <c r="B22" s="20" t="s">
        <v>186</v>
      </c>
      <c r="C22" s="94">
        <f>C19+C21</f>
        <v>0</v>
      </c>
      <c r="D22" s="94">
        <f t="shared" ref="D22:L22" si="1">D19+D21</f>
        <v>0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326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42">
        <f t="shared" si="0"/>
        <v>0</v>
      </c>
    </row>
    <row r="24" spans="1:108" x14ac:dyDescent="0.3">
      <c r="B24" s="7" t="s">
        <v>327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0</v>
      </c>
    </row>
    <row r="25" spans="1:108" x14ac:dyDescent="0.3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0</v>
      </c>
      <c r="D25" s="42">
        <f>(D7*'(ne pas modifier) BDD_REF'!$B$211+'RECeff + REIamont (2)'!D23*'(ne pas modifier) BDD_REF'!$B$212+'RECeff + REIamont (2)'!D24*'(ne pas modifier) BDD_REF'!$B$213)/1000</f>
        <v>0</v>
      </c>
      <c r="E25" s="42">
        <f>(E7*'(ne pas modifier) BDD_REF'!$B$211+'RECeff + REIamont (2)'!E23*'(ne pas modifier) BDD_REF'!$B$212+'RECeff + REIamont (2)'!E24*'(ne pas modifier) BDD_REF'!$B$213)/1000</f>
        <v>0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0</v>
      </c>
    </row>
    <row r="26" spans="1:108" hidden="1" x14ac:dyDescent="0.3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294</v>
      </c>
      <c r="B27" s="7" t="s">
        <v>328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329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x14ac:dyDescent="0.3">
      <c r="B29" s="7" t="s">
        <v>330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331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0</v>
      </c>
    </row>
    <row r="32" spans="1:108" s="17" customFormat="1" x14ac:dyDescent="0.3">
      <c r="A32" s="19"/>
      <c r="B32" s="20" t="s">
        <v>187</v>
      </c>
      <c r="C32" s="94">
        <f>C25+C26+C31</f>
        <v>0</v>
      </c>
      <c r="D32" s="94">
        <f t="shared" ref="D32:L32" si="2">D25+D26+D31</f>
        <v>0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145</v>
      </c>
      <c r="C33" s="96">
        <f>((C10+C11+C12)/1000*44/28*'(ne pas modifier) BDD_REF'!$B$231)+'RECeff + REIamont (2)'!C22+'RECeff + REIamont (2)'!C32</f>
        <v>0</v>
      </c>
      <c r="D33" s="96">
        <f>((D10+D11+D12)/1000*44/28*'(ne pas modifier) BDD_REF'!$B$231)+'RECeff + REIamont (2)'!D22+'RECeff + REIamont (2)'!D32</f>
        <v>0</v>
      </c>
      <c r="E33" s="96">
        <f>((E10+E11+E12)/1000*44/28*'(ne pas modifier) BDD_REF'!$B$231)+'RECeff + REIamont (2)'!E22+'RECeff + REIamont (2)'!E32</f>
        <v>0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0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148</v>
      </c>
      <c r="B34" s="7" t="s">
        <v>316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42">
        <f t="shared" si="0"/>
        <v>0</v>
      </c>
    </row>
    <row r="35" spans="1:108" x14ac:dyDescent="0.3">
      <c r="B35" s="7" t="s">
        <v>317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0</v>
      </c>
    </row>
    <row r="36" spans="1:108" x14ac:dyDescent="0.3">
      <c r="B36" s="7" t="s">
        <v>318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">
      <c r="B37" s="20" t="s">
        <v>332</v>
      </c>
      <c r="C37" s="42">
        <f>C34*'(ne pas modifier) BDD_REF'!$B$206 + (C35+C36)*'(ne pas modifier) BDD_REF'!$B$207</f>
        <v>0</v>
      </c>
      <c r="D37" s="42">
        <f>D34*'(ne pas modifier) BDD_REF'!$B$206 + (D35+D36)*'(ne pas modifier) BDD_REF'!$B$207</f>
        <v>0</v>
      </c>
      <c r="E37" s="42">
        <f>E34*'(ne pas modifier) BDD_REF'!$B$206 + (E35+E36)*'(ne pas modifier) BDD_REF'!$B$207</f>
        <v>0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0</v>
      </c>
    </row>
    <row r="38" spans="1:108" x14ac:dyDescent="0.3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0</v>
      </c>
      <c r="D38" s="42">
        <f>((D34*'(ne pas modifier) BDD_REF'!$B$219)+('RECeff + REIamont (2)'!D35+'RECeff + REIamont (2)'!D36)*'(ne pas modifier) BDD_REF'!$B$220)*'(ne pas modifier) BDD_REF'!$B$208</f>
        <v>0</v>
      </c>
      <c r="E38" s="42">
        <f>((E34*'(ne pas modifier) BDD_REF'!$B$219)+('RECeff + REIamont (2)'!E35+'RECeff + REIamont (2)'!E36)*'(ne pas modifier) BDD_REF'!$B$220)*'(ne pas modifier) BDD_REF'!$B$208</f>
        <v>0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0</v>
      </c>
    </row>
    <row r="39" spans="1:108" x14ac:dyDescent="0.3">
      <c r="B39" s="20" t="s">
        <v>334</v>
      </c>
      <c r="C39" s="42">
        <f>(C34+C35+C36)*'(ne pas modifier) BDD_REF'!$B$221*'(ne pas modifier) BDD_REF'!$B$209</f>
        <v>0</v>
      </c>
      <c r="D39" s="42">
        <f>(D34+D35+D36)*'(ne pas modifier) BDD_REF'!$B$221*'(ne pas modifier) BDD_REF'!$B$209</f>
        <v>0</v>
      </c>
      <c r="E39" s="42">
        <f>(E34+E35+E36)*'(ne pas modifier) BDD_REF'!$B$221*'(ne pas modifier) BDD_REF'!$B$209</f>
        <v>0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</v>
      </c>
    </row>
    <row r="40" spans="1:108" x14ac:dyDescent="0.3">
      <c r="B40" s="7" t="s">
        <v>319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320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42">
        <f t="shared" si="3"/>
        <v>0</v>
      </c>
    </row>
    <row r="42" spans="1:108" x14ac:dyDescent="0.3">
      <c r="B42" s="7" t="s">
        <v>321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322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323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324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0</v>
      </c>
    </row>
    <row r="47" spans="1:108" x14ac:dyDescent="0.3">
      <c r="B47" s="7" t="s">
        <v>325</v>
      </c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42">
        <f t="shared" si="3"/>
        <v>0</v>
      </c>
    </row>
    <row r="48" spans="1:108" x14ac:dyDescent="0.3">
      <c r="B48" s="3" t="s">
        <v>185</v>
      </c>
      <c r="C48" s="42">
        <f>(C47*'(ne pas modifier) BDD_REF'!$B$210)/1000</f>
        <v>0</v>
      </c>
      <c r="D48" s="42">
        <f>(D47*'(ne pas modifier) BDD_REF'!$B$210)/1000</f>
        <v>0</v>
      </c>
      <c r="E48" s="42">
        <f>(E47*'(ne pas modifier) BDD_REF'!$B$210)/1000</f>
        <v>0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0</v>
      </c>
    </row>
    <row r="49" spans="1:108" s="17" customFormat="1" x14ac:dyDescent="0.3">
      <c r="A49" s="19"/>
      <c r="B49" s="20" t="s">
        <v>186</v>
      </c>
      <c r="C49" s="94">
        <f>C46+C48</f>
        <v>0</v>
      </c>
      <c r="D49" s="94">
        <f t="shared" ref="D49:L49" si="4">D46+D48</f>
        <v>0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326</v>
      </c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42">
        <f t="shared" si="3"/>
        <v>0</v>
      </c>
    </row>
    <row r="51" spans="1:108" x14ac:dyDescent="0.3">
      <c r="B51" s="7" t="s">
        <v>327</v>
      </c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42">
        <f t="shared" si="3"/>
        <v>0</v>
      </c>
    </row>
    <row r="52" spans="1:108" x14ac:dyDescent="0.3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0</v>
      </c>
      <c r="D52" s="42">
        <f>(D34*'(ne pas modifier) BDD_REF'!$B$211+'RECeff + REIamont (2)'!D50*'(ne pas modifier) BDD_REF'!$B$212+'RECeff + REIamont (2)'!D51*'(ne pas modifier) BDD_REF'!$B$213)/1000</f>
        <v>0</v>
      </c>
      <c r="E52" s="42">
        <f>(E34*'(ne pas modifier) BDD_REF'!$B$211+'RECeff + REIamont (2)'!E50*'(ne pas modifier) BDD_REF'!$B$212+'RECeff + REIamont (2)'!E51*'(ne pas modifier) BDD_REF'!$B$213)/1000</f>
        <v>0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</v>
      </c>
    </row>
    <row r="53" spans="1:108" hidden="1" x14ac:dyDescent="0.3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328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329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0</v>
      </c>
    </row>
    <row r="56" spans="1:108" x14ac:dyDescent="0.3">
      <c r="B56" s="7" t="s">
        <v>330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331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0</v>
      </c>
    </row>
    <row r="59" spans="1:108" s="17" customFormat="1" x14ac:dyDescent="0.3">
      <c r="A59" s="19"/>
      <c r="B59" s="20" t="s">
        <v>187</v>
      </c>
      <c r="C59" s="94">
        <f>C52+C53+C58</f>
        <v>0</v>
      </c>
      <c r="D59" s="94">
        <f t="shared" ref="D59:L59" si="5">D52+D53+D58</f>
        <v>0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145</v>
      </c>
      <c r="C60" s="96">
        <f>((C37+C38+C39)/1000*44/28*'(ne pas modifier) BDD_REF'!$B$231)+'RECeff + REIamont (2)'!C49+'RECeff + REIamont (2)'!C59</f>
        <v>0</v>
      </c>
      <c r="D60" s="96">
        <f>((D37+D38+D39)/1000*44/28*'(ne pas modifier) BDD_REF'!$B$231)+'RECeff + REIamont (2)'!D49+'RECeff + REIamont (2)'!D59</f>
        <v>0</v>
      </c>
      <c r="E60" s="96">
        <f>((E37+E38+E39)/1000*44/28*'(ne pas modifier) BDD_REF'!$B$231)+'RECeff + REIamont (2)'!E49+'RECeff + REIamont (2)'!E59</f>
        <v>0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0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149</v>
      </c>
      <c r="B61" s="7" t="s">
        <v>316</v>
      </c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42">
        <f t="shared" si="3"/>
        <v>0</v>
      </c>
    </row>
    <row r="62" spans="1:108" x14ac:dyDescent="0.3">
      <c r="B62" s="7" t="s">
        <v>317</v>
      </c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0</v>
      </c>
    </row>
    <row r="63" spans="1:108" x14ac:dyDescent="0.3">
      <c r="B63" s="7" t="s">
        <v>318</v>
      </c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3">
      <c r="B64" s="20" t="s">
        <v>332</v>
      </c>
      <c r="C64" s="42">
        <f>C61*'(ne pas modifier) BDD_REF'!$B$206 + (C62+C63)*'(ne pas modifier) BDD_REF'!$B$207</f>
        <v>0</v>
      </c>
      <c r="D64" s="42">
        <f>D61*'(ne pas modifier) BDD_REF'!$B$206 + (D62+D63)*'(ne pas modifier) BDD_REF'!$B$207</f>
        <v>0</v>
      </c>
      <c r="E64" s="42">
        <f>E61*'(ne pas modifier) BDD_REF'!$B$206 + (E62+E63)*'(ne pas modifier) BDD_REF'!$B$207</f>
        <v>0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0</v>
      </c>
    </row>
    <row r="65" spans="1:108" x14ac:dyDescent="0.3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0</v>
      </c>
      <c r="D65" s="42">
        <f>((D61*'(ne pas modifier) BDD_REF'!$B$219)+('RECeff + REIamont (2)'!D62+'RECeff + REIamont (2)'!D63)*'(ne pas modifier) BDD_REF'!$B$220)*'(ne pas modifier) BDD_REF'!$B$208</f>
        <v>0</v>
      </c>
      <c r="E65" s="42">
        <f>((E61*'(ne pas modifier) BDD_REF'!$B$219)+('RECeff + REIamont (2)'!E62+'RECeff + REIamont (2)'!E63)*'(ne pas modifier) BDD_REF'!$B$220)*'(ne pas modifier) BDD_REF'!$B$208</f>
        <v>0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0</v>
      </c>
    </row>
    <row r="66" spans="1:108" x14ac:dyDescent="0.3">
      <c r="B66" s="20" t="s">
        <v>334</v>
      </c>
      <c r="C66" s="42">
        <f>(C61+C62+C63)*'(ne pas modifier) BDD_REF'!$B$221*'(ne pas modifier) BDD_REF'!$B$209</f>
        <v>0</v>
      </c>
      <c r="D66" s="42">
        <f>(D61+D62+D63)*'(ne pas modifier) BDD_REF'!$B$221*'(ne pas modifier) BDD_REF'!$B$209</f>
        <v>0</v>
      </c>
      <c r="E66" s="42">
        <f>(E61+E62+E63)*'(ne pas modifier) BDD_REF'!$B$221*'(ne pas modifier) BDD_REF'!$B$209</f>
        <v>0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</v>
      </c>
    </row>
    <row r="67" spans="1:108" x14ac:dyDescent="0.3">
      <c r="B67" s="7" t="s">
        <v>319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320</v>
      </c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42">
        <f t="shared" si="3"/>
        <v>0</v>
      </c>
    </row>
    <row r="69" spans="1:108" x14ac:dyDescent="0.3">
      <c r="B69" s="7" t="s">
        <v>321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0</v>
      </c>
    </row>
    <row r="74" spans="1:108" x14ac:dyDescent="0.3">
      <c r="B74" s="7" t="s">
        <v>325</v>
      </c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42">
        <f t="shared" si="6"/>
        <v>0</v>
      </c>
    </row>
    <row r="75" spans="1:108" x14ac:dyDescent="0.3">
      <c r="B75" s="3" t="s">
        <v>185</v>
      </c>
      <c r="C75" s="42">
        <f>(C74*'(ne pas modifier) BDD_REF'!$B$210)/1000</f>
        <v>0</v>
      </c>
      <c r="D75" s="42">
        <f>(D74*'(ne pas modifier) BDD_REF'!$B$210)/1000</f>
        <v>0</v>
      </c>
      <c r="E75" s="42">
        <f>(E74*'(ne pas modifier) BDD_REF'!$B$210)/1000</f>
        <v>0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0</v>
      </c>
    </row>
    <row r="76" spans="1:108" s="17" customFormat="1" x14ac:dyDescent="0.3">
      <c r="A76" s="19"/>
      <c r="B76" s="20" t="s">
        <v>186</v>
      </c>
      <c r="C76" s="94">
        <f>C73+C75</f>
        <v>0</v>
      </c>
      <c r="D76" s="94">
        <f t="shared" ref="D76:L76" si="7">D73+D75</f>
        <v>0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326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42">
        <f t="shared" si="6"/>
        <v>0</v>
      </c>
    </row>
    <row r="78" spans="1:108" x14ac:dyDescent="0.3">
      <c r="B78" s="7" t="s">
        <v>327</v>
      </c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42">
        <f t="shared" si="6"/>
        <v>0</v>
      </c>
    </row>
    <row r="79" spans="1:108" x14ac:dyDescent="0.3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</v>
      </c>
      <c r="D79" s="42">
        <f>(D61*'(ne pas modifier) BDD_REF'!$B$211+'RECeff + REIamont (2)'!D77*'(ne pas modifier) BDD_REF'!$B$212+'RECeff + REIamont (2)'!D78*'(ne pas modifier) BDD_REF'!$B$213)/1000</f>
        <v>0</v>
      </c>
      <c r="E79" s="42">
        <f>(E61*'(ne pas modifier) BDD_REF'!$B$211+'RECeff + REIamont (2)'!E77*'(ne pas modifier) BDD_REF'!$B$212+'RECeff + REIamont (2)'!E78*'(ne pas modifier) BDD_REF'!$B$213)/1000</f>
        <v>0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</v>
      </c>
    </row>
    <row r="80" spans="1:108" hidden="1" x14ac:dyDescent="0.3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328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0</v>
      </c>
    </row>
    <row r="82" spans="1:108" x14ac:dyDescent="0.3">
      <c r="B82" s="7" t="s">
        <v>329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0</v>
      </c>
    </row>
    <row r="83" spans="1:108" x14ac:dyDescent="0.3">
      <c r="B83" s="7" t="s">
        <v>330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331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0</v>
      </c>
    </row>
    <row r="86" spans="1:108" s="17" customFormat="1" x14ac:dyDescent="0.3">
      <c r="A86" s="19"/>
      <c r="B86" s="20" t="s">
        <v>187</v>
      </c>
      <c r="C86" s="94">
        <f>C79+C80+C85</f>
        <v>0</v>
      </c>
      <c r="D86" s="94">
        <f t="shared" ref="D86:L86" si="8">D79+D80+D85</f>
        <v>0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145</v>
      </c>
      <c r="C87" s="96">
        <f>((C64+C65+C66)/1000*44/28*'(ne pas modifier) BDD_REF'!$B$231)+'RECeff + REIamont (2)'!C76+'RECeff + REIamont (2)'!C86</f>
        <v>0</v>
      </c>
      <c r="D87" s="96">
        <f>((D64+D65+D66)/1000*44/28*'(ne pas modifier) BDD_REF'!$B$231)+'RECeff + REIamont (2)'!D76+'RECeff + REIamont (2)'!D86</f>
        <v>0</v>
      </c>
      <c r="E87" s="96">
        <f>((E64+E65+E66)/1000*44/28*'(ne pas modifier) BDD_REF'!$B$231)+'RECeff + REIamont (2)'!E76+'RECeff + REIamont (2)'!E86</f>
        <v>0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0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150</v>
      </c>
      <c r="B88" s="7" t="s">
        <v>316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42">
        <f t="shared" si="6"/>
        <v>0</v>
      </c>
    </row>
    <row r="89" spans="1:108" x14ac:dyDescent="0.3">
      <c r="B89" s="7" t="s">
        <v>317</v>
      </c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0</v>
      </c>
    </row>
    <row r="90" spans="1:108" x14ac:dyDescent="0.3">
      <c r="B90" s="7" t="s">
        <v>318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3">
      <c r="B91" s="20" t="s">
        <v>332</v>
      </c>
      <c r="C91" s="42">
        <f>C88*'(ne pas modifier) BDD_REF'!$B$206 + (C89+C90)*'(ne pas modifier) BDD_REF'!$B$207</f>
        <v>0</v>
      </c>
      <c r="D91" s="42">
        <f>D88*'(ne pas modifier) BDD_REF'!$B$206 + (D89+D90)*'(ne pas modifier) BDD_REF'!$B$207</f>
        <v>0</v>
      </c>
      <c r="E91" s="42">
        <f>E88*'(ne pas modifier) BDD_REF'!$B$206 + (E89+E90)*'(ne pas modifier) BDD_REF'!$B$207</f>
        <v>0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0</v>
      </c>
    </row>
    <row r="92" spans="1:108" x14ac:dyDescent="0.3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0</v>
      </c>
      <c r="D92" s="42">
        <f>((D88*'(ne pas modifier) BDD_REF'!$B$219)+('RECeff + REIamont (2)'!D89+'RECeff + REIamont (2)'!D90)*'(ne pas modifier) BDD_REF'!$B$220)*'(ne pas modifier) BDD_REF'!$B$208</f>
        <v>0</v>
      </c>
      <c r="E92" s="42">
        <f>((E88*'(ne pas modifier) BDD_REF'!$B$219)+('RECeff + REIamont (2)'!E89+'RECeff + REIamont (2)'!E90)*'(ne pas modifier) BDD_REF'!$B$220)*'(ne pas modifier) BDD_REF'!$B$208</f>
        <v>0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</v>
      </c>
    </row>
    <row r="93" spans="1:108" x14ac:dyDescent="0.3">
      <c r="B93" s="20" t="s">
        <v>334</v>
      </c>
      <c r="C93" s="42">
        <f>(C88+C89+C90)*'(ne pas modifier) BDD_REF'!$B$221*'(ne pas modifier) BDD_REF'!$B$209</f>
        <v>0</v>
      </c>
      <c r="D93" s="42">
        <f>(D88+D89+D90)*'(ne pas modifier) BDD_REF'!$B$221*'(ne pas modifier) BDD_REF'!$B$209</f>
        <v>0</v>
      </c>
      <c r="E93" s="42">
        <f>(E88+E89+E90)*'(ne pas modifier) BDD_REF'!$B$221*'(ne pas modifier) BDD_REF'!$B$209</f>
        <v>0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</v>
      </c>
    </row>
    <row r="94" spans="1:108" x14ac:dyDescent="0.3">
      <c r="B94" s="7" t="s">
        <v>319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320</v>
      </c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42">
        <f t="shared" si="6"/>
        <v>0</v>
      </c>
    </row>
    <row r="96" spans="1:108" x14ac:dyDescent="0.3">
      <c r="B96" s="7" t="s">
        <v>321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0</v>
      </c>
    </row>
    <row r="101" spans="1:108" x14ac:dyDescent="0.3">
      <c r="B101" s="7" t="s">
        <v>325</v>
      </c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0</v>
      </c>
    </row>
    <row r="102" spans="1:108" x14ac:dyDescent="0.3">
      <c r="B102" s="3" t="s">
        <v>185</v>
      </c>
      <c r="C102" s="42">
        <f>(C101*'(ne pas modifier) BDD_REF'!$B$210)/1000</f>
        <v>0</v>
      </c>
      <c r="D102" s="42">
        <f>(D101*'(ne pas modifier) BDD_REF'!$B$210)/1000</f>
        <v>0</v>
      </c>
      <c r="E102" s="42">
        <f>(E101*'(ne pas modifier) BDD_REF'!$B$210)/1000</f>
        <v>0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0</v>
      </c>
    </row>
    <row r="103" spans="1:108" s="17" customFormat="1" x14ac:dyDescent="0.3">
      <c r="A103" s="19"/>
      <c r="B103" s="20" t="s">
        <v>186</v>
      </c>
      <c r="C103" s="94">
        <f>C100+C102</f>
        <v>0</v>
      </c>
      <c r="D103" s="94">
        <f t="shared" ref="D103:L103" si="9">D100+D102</f>
        <v>0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326</v>
      </c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0</v>
      </c>
    </row>
    <row r="105" spans="1:108" x14ac:dyDescent="0.3">
      <c r="B105" s="7" t="s">
        <v>327</v>
      </c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0</v>
      </c>
    </row>
    <row r="106" spans="1:108" x14ac:dyDescent="0.3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</v>
      </c>
      <c r="D106" s="42">
        <f>(D88*'(ne pas modifier) BDD_REF'!$B$211+'RECeff + REIamont (2)'!D104*'(ne pas modifier) BDD_REF'!$B$212+'RECeff + REIamont (2)'!D105*'(ne pas modifier) BDD_REF'!$B$213)/1000</f>
        <v>0</v>
      </c>
      <c r="E106" s="42">
        <f>(E88*'(ne pas modifier) BDD_REF'!$B$211+'RECeff + REIamont (2)'!E104*'(ne pas modifier) BDD_REF'!$B$212+'RECeff + REIamont (2)'!E105*'(ne pas modifier) BDD_REF'!$B$213)/1000</f>
        <v>0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</v>
      </c>
    </row>
    <row r="107" spans="1:108" hidden="1" x14ac:dyDescent="0.3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328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0</v>
      </c>
    </row>
    <row r="109" spans="1:108" x14ac:dyDescent="0.3">
      <c r="B109" s="7" t="s">
        <v>329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3">
      <c r="B110" s="7" t="s">
        <v>330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3">
      <c r="B111" s="7" t="s">
        <v>331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0</v>
      </c>
    </row>
    <row r="113" spans="1:108" s="17" customFormat="1" x14ac:dyDescent="0.3">
      <c r="A113" s="19"/>
      <c r="B113" s="20" t="s">
        <v>187</v>
      </c>
      <c r="C113" s="94">
        <f>C106+C107+C112</f>
        <v>0</v>
      </c>
      <c r="D113" s="94">
        <f t="shared" ref="D113:L113" si="11">D106+D107+D112</f>
        <v>0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145</v>
      </c>
      <c r="C114" s="96">
        <f>((C91+C92+C93)/1000*44/28*'(ne pas modifier) BDD_REF'!$B$231)+'RECeff + REIamont (2)'!C103+'RECeff + REIamont (2)'!C113</f>
        <v>0</v>
      </c>
      <c r="D114" s="96">
        <f>((D91+D92+D93)/1000*44/28*'(ne pas modifier) BDD_REF'!$B$231)+'RECeff + REIamont (2)'!D103+'RECeff + REIamont (2)'!D113</f>
        <v>0</v>
      </c>
      <c r="E114" s="96">
        <f>((E91+E92+E93)/1000*44/28*'(ne pas modifier) BDD_REF'!$B$231)+'RECeff + REIamont (2)'!E103+'RECeff + REIamont (2)'!E113</f>
        <v>0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0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151</v>
      </c>
      <c r="B115" s="7" t="s">
        <v>316</v>
      </c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0</v>
      </c>
    </row>
    <row r="116" spans="1:108" x14ac:dyDescent="0.3">
      <c r="B116" s="7" t="s">
        <v>317</v>
      </c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0</v>
      </c>
    </row>
    <row r="117" spans="1:108" x14ac:dyDescent="0.3">
      <c r="B117" s="7" t="s">
        <v>318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">
      <c r="B118" s="20" t="s">
        <v>332</v>
      </c>
      <c r="C118" s="42">
        <f>C115*'(ne pas modifier) BDD_REF'!$B$206 + (C116+C117)*'(ne pas modifier) BDD_REF'!$B$207</f>
        <v>0</v>
      </c>
      <c r="D118" s="42">
        <f>D115*'(ne pas modifier) BDD_REF'!$B$206 + (D116+D117)*'(ne pas modifier) BDD_REF'!$B$207</f>
        <v>0</v>
      </c>
      <c r="E118" s="42">
        <f>E115*'(ne pas modifier) BDD_REF'!$B$206 + (E116+E117)*'(ne pas modifier) BDD_REF'!$B$207</f>
        <v>0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0</v>
      </c>
    </row>
    <row r="119" spans="1:108" x14ac:dyDescent="0.3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0</v>
      </c>
      <c r="D119" s="42">
        <f>((D115*'(ne pas modifier) BDD_REF'!$B$219)+('RECeff + REIamont (2)'!D116+'RECeff + REIamont (2)'!D117)*'(ne pas modifier) BDD_REF'!$B$220)*'(ne pas modifier) BDD_REF'!$B$208</f>
        <v>0</v>
      </c>
      <c r="E119" s="42">
        <f>((E115*'(ne pas modifier) BDD_REF'!$B$219)+('RECeff + REIamont (2)'!E116+'RECeff + REIamont (2)'!E117)*'(ne pas modifier) BDD_REF'!$B$220)*'(ne pas modifier) BDD_REF'!$B$208</f>
        <v>0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</v>
      </c>
    </row>
    <row r="120" spans="1:108" x14ac:dyDescent="0.3">
      <c r="B120" s="20" t="s">
        <v>334</v>
      </c>
      <c r="C120" s="42">
        <f>(C115+C116+C117)*'(ne pas modifier) BDD_REF'!$B$221*'(ne pas modifier) BDD_REF'!$B$209</f>
        <v>0</v>
      </c>
      <c r="D120" s="42">
        <f>(D115+D116+D117)*'(ne pas modifier) BDD_REF'!$B$221*'(ne pas modifier) BDD_REF'!$B$209</f>
        <v>0</v>
      </c>
      <c r="E120" s="42">
        <f>(E115+E116+E117)*'(ne pas modifier) BDD_REF'!$B$221*'(ne pas modifier) BDD_REF'!$B$209</f>
        <v>0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</v>
      </c>
    </row>
    <row r="121" spans="1:108" x14ac:dyDescent="0.3">
      <c r="B121" s="7" t="s">
        <v>319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320</v>
      </c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0</v>
      </c>
    </row>
    <row r="123" spans="1:108" x14ac:dyDescent="0.3">
      <c r="B123" s="7" t="s">
        <v>321</v>
      </c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0</v>
      </c>
    </row>
    <row r="128" spans="1:108" x14ac:dyDescent="0.3">
      <c r="B128" s="7" t="s">
        <v>325</v>
      </c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0</v>
      </c>
    </row>
    <row r="129" spans="1:108" x14ac:dyDescent="0.3">
      <c r="B129" s="3" t="s">
        <v>185</v>
      </c>
      <c r="C129" s="42">
        <f>(C128*'(ne pas modifier) BDD_REF'!$B$210)/1000</f>
        <v>0</v>
      </c>
      <c r="D129" s="42">
        <f>(D128*'(ne pas modifier) BDD_REF'!$B$210)/1000</f>
        <v>0</v>
      </c>
      <c r="E129" s="42">
        <f>(E128*'(ne pas modifier) BDD_REF'!$B$210)/1000</f>
        <v>0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0</v>
      </c>
    </row>
    <row r="130" spans="1:108" s="17" customFormat="1" x14ac:dyDescent="0.3">
      <c r="A130" s="19"/>
      <c r="B130" s="20" t="s">
        <v>186</v>
      </c>
      <c r="C130" s="94">
        <f>C127+C129</f>
        <v>0</v>
      </c>
      <c r="D130" s="94">
        <f t="shared" ref="D130:L130" si="12">D127+D129</f>
        <v>0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326</v>
      </c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0</v>
      </c>
    </row>
    <row r="132" spans="1:108" x14ac:dyDescent="0.3">
      <c r="B132" s="7" t="s">
        <v>327</v>
      </c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0</v>
      </c>
    </row>
    <row r="133" spans="1:108" x14ac:dyDescent="0.3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</v>
      </c>
      <c r="D133" s="42">
        <f>(D115*'(ne pas modifier) BDD_REF'!$B$211+'RECeff + REIamont (2)'!D131*'(ne pas modifier) BDD_REF'!$B$212+'RECeff + REIamont (2)'!D132*'(ne pas modifier) BDD_REF'!$B$213)/1000</f>
        <v>0</v>
      </c>
      <c r="E133" s="42">
        <f>(E115*'(ne pas modifier) BDD_REF'!$B$211+'RECeff + REIamont (2)'!E131*'(ne pas modifier) BDD_REF'!$B$212+'RECeff + REIamont (2)'!E132*'(ne pas modifier) BDD_REF'!$B$213)/1000</f>
        <v>0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</v>
      </c>
    </row>
    <row r="134" spans="1:108" hidden="1" x14ac:dyDescent="0.3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328</v>
      </c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0</v>
      </c>
    </row>
    <row r="136" spans="1:108" x14ac:dyDescent="0.3">
      <c r="B136" s="7" t="s">
        <v>329</v>
      </c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3">
      <c r="B137" s="7" t="s">
        <v>330</v>
      </c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0</v>
      </c>
    </row>
    <row r="138" spans="1:108" x14ac:dyDescent="0.3">
      <c r="B138" s="7" t="s">
        <v>331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0</v>
      </c>
    </row>
    <row r="140" spans="1:108" s="17" customFormat="1" x14ac:dyDescent="0.3">
      <c r="A140" s="19"/>
      <c r="B140" s="20" t="s">
        <v>187</v>
      </c>
      <c r="C140" s="94">
        <f>C133+C134+C139</f>
        <v>0</v>
      </c>
      <c r="D140" s="94">
        <f t="shared" ref="D140:L140" si="14">D133+D134+D139</f>
        <v>0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145</v>
      </c>
      <c r="C141" s="96">
        <f>((C118+C119+C120)/1000*44/28*'(ne pas modifier) BDD_REF'!$B$231)+'RECeff + REIamont (2)'!C130+'RECeff + REIamont (2)'!C140</f>
        <v>0</v>
      </c>
      <c r="D141" s="96">
        <f>((D118+D119+D120)/1000*44/28*'(ne pas modifier) BDD_REF'!$B$231)+'RECeff + REIamont (2)'!D130+'RECeff + REIamont (2)'!D140</f>
        <v>0</v>
      </c>
      <c r="E141" s="96">
        <f>((E118+E119+E120)/1000*44/28*'(ne pas modifier) BDD_REF'!$B$231)+'RECeff + REIamont (2)'!E130+'RECeff + REIamont (2)'!E140</f>
        <v>0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0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190</v>
      </c>
      <c r="C142" s="97">
        <f>C33+C60+C87+C114+C141</f>
        <v>0</v>
      </c>
      <c r="D142" s="97">
        <f t="shared" ref="D142:L142" si="15">D33+D60+D87+D114+D141</f>
        <v>0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0</v>
      </c>
    </row>
    <row r="143" spans="1:108" x14ac:dyDescent="0.3">
      <c r="B143" s="79" t="s">
        <v>223</v>
      </c>
      <c r="C143" s="97">
        <f>(C142-C5*5)</f>
        <v>-17.77709971719333</v>
      </c>
      <c r="D143" s="97">
        <f t="shared" ref="D143:L143" si="16">(D142-D5*5)</f>
        <v>-17.77709971719333</v>
      </c>
      <c r="E143" s="97">
        <f t="shared" si="16"/>
        <v>-17.77709971719333</v>
      </c>
      <c r="F143" s="97">
        <f t="shared" si="16"/>
        <v>-19.137767115484003</v>
      </c>
      <c r="G143" s="97">
        <f t="shared" si="16"/>
        <v>-17.311662792476</v>
      </c>
      <c r="H143" s="97">
        <f t="shared" si="16"/>
        <v>-13.289086695281167</v>
      </c>
      <c r="I143" s="97">
        <f t="shared" si="16"/>
        <v>-19.779946671560335</v>
      </c>
      <c r="J143" s="97">
        <f t="shared" si="16"/>
        <v>-7.1468556946550006</v>
      </c>
      <c r="K143" s="97">
        <f t="shared" si="16"/>
        <v>-7.4372676996075002</v>
      </c>
      <c r="L143" s="97">
        <f t="shared" si="16"/>
        <v>0</v>
      </c>
      <c r="M143" s="97"/>
    </row>
    <row r="144" spans="1:108" x14ac:dyDescent="0.3">
      <c r="B144" s="22" t="s">
        <v>189</v>
      </c>
      <c r="C144" s="91">
        <f>C143*Eligibilité_projet!B8</f>
        <v>-417.76184335404326</v>
      </c>
      <c r="D144" s="91">
        <f>D143*Eligibilité_projet!C8</f>
        <v>-67.552978925334656</v>
      </c>
      <c r="E144" s="91">
        <f>E143*Eligibilité_projet!D8</f>
        <v>-47.464856244906187</v>
      </c>
      <c r="F144" s="91">
        <f>F143*Eligibilité_projet!E8</f>
        <v>-21.051543827032404</v>
      </c>
      <c r="G144" s="91">
        <f>G143*Eligibilité_projet!F8</f>
        <v>-79.633648845389587</v>
      </c>
      <c r="H144" s="91">
        <f>H143*Eligibilité_projet!G8</f>
        <v>-13.289086695281167</v>
      </c>
      <c r="I144" s="91">
        <f>I143*Eligibilité_projet!H8</f>
        <v>-43.515882677432742</v>
      </c>
      <c r="J144" s="91">
        <f>J143*Eligibilité_projet!I8</f>
        <v>-7.8615412641205014</v>
      </c>
      <c r="K144" s="91">
        <f>K143*Eligibilité_projet!J8</f>
        <v>-9.7428206864858264</v>
      </c>
      <c r="L144" s="91">
        <f>L143*Eligibilité_projet!K8</f>
        <v>0</v>
      </c>
      <c r="M144" s="91">
        <f>SUM(C144:L144)</f>
        <v>-707.87420252002642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idden="1" x14ac:dyDescent="0.3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idden="1" x14ac:dyDescent="0.3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idden="1" x14ac:dyDescent="0.3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idden="1" x14ac:dyDescent="0.3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idden="1" x14ac:dyDescent="0.3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idden="1" x14ac:dyDescent="0.3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idden="1" x14ac:dyDescent="0.3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idden="1" x14ac:dyDescent="0.3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idden="1" x14ac:dyDescent="0.3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idden="1" x14ac:dyDescent="0.3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idden="1" x14ac:dyDescent="0.3">
      <c r="B32" s="38" t="s">
        <v>240</v>
      </c>
      <c r="C32" s="34">
        <f>'(ne pas modifier) BDD_REF'!$B$277*REIaval!D32</f>
        <v>11111.12</v>
      </c>
      <c r="D32" s="2">
        <v>40</v>
      </c>
    </row>
    <row r="33" spans="2:4" hidden="1" x14ac:dyDescent="0.3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idden="1" x14ac:dyDescent="0.3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idden="1" x14ac:dyDescent="0.3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idden="1" x14ac:dyDescent="0.3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idden="1" x14ac:dyDescent="0.3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idden="1" x14ac:dyDescent="0.3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idden="1" x14ac:dyDescent="0.3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idden="1" x14ac:dyDescent="0.3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idden="1" x14ac:dyDescent="0.3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idden="1" x14ac:dyDescent="0.3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idden="1" x14ac:dyDescent="0.3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idden="1" x14ac:dyDescent="0.3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idden="1" x14ac:dyDescent="0.3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idden="1" x14ac:dyDescent="0.3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idden="1" x14ac:dyDescent="0.3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idden="1" x14ac:dyDescent="0.3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idden="1" x14ac:dyDescent="0.3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260</v>
      </c>
      <c r="C51" s="39" t="s">
        <v>259</v>
      </c>
      <c r="M51" s="2"/>
    </row>
    <row r="52" spans="1:13" ht="28.8" x14ac:dyDescent="0.3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x14ac:dyDescent="0.3">
      <c r="B53" s="38" t="s">
        <v>240</v>
      </c>
      <c r="C53" s="41">
        <f>0.325/1000</f>
        <v>3.2499999999999999E-4</v>
      </c>
      <c r="M53" s="2"/>
    </row>
    <row r="54" spans="1:13" x14ac:dyDescent="0.3">
      <c r="B54" s="38" t="s">
        <v>256</v>
      </c>
      <c r="C54" s="41">
        <f>0.335/1000</f>
        <v>3.3500000000000001E-4</v>
      </c>
      <c r="M54" s="2"/>
    </row>
    <row r="55" spans="1:13" x14ac:dyDescent="0.3">
      <c r="B55" s="38" t="s">
        <v>257</v>
      </c>
      <c r="C55" s="41">
        <f>0.282/1000</f>
        <v>2.8199999999999997E-4</v>
      </c>
      <c r="M55" s="2"/>
    </row>
    <row r="56" spans="1:13" ht="28.8" x14ac:dyDescent="0.3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x14ac:dyDescent="0.3">
      <c r="B57" s="38" t="s">
        <v>263</v>
      </c>
      <c r="C57" s="38">
        <f>0.313/1000</f>
        <v>3.1300000000000002E-4</v>
      </c>
      <c r="M57" s="2"/>
    </row>
    <row r="58" spans="1:13" x14ac:dyDescent="0.3">
      <c r="B58" s="38" t="s">
        <v>264</v>
      </c>
      <c r="C58" s="38">
        <f>0.319/1000</f>
        <v>3.19E-4</v>
      </c>
      <c r="M58" s="2"/>
    </row>
    <row r="59" spans="1:13" x14ac:dyDescent="0.3">
      <c r="B59" s="38" t="s">
        <v>265</v>
      </c>
      <c r="C59" s="38">
        <f>0.306/1000</f>
        <v>3.0600000000000001E-4</v>
      </c>
      <c r="M59" s="2"/>
    </row>
    <row r="60" spans="1:13" x14ac:dyDescent="0.3">
      <c r="B60" s="38" t="s">
        <v>266</v>
      </c>
      <c r="C60" s="38">
        <f>0.174/1000</f>
        <v>1.74E-4</v>
      </c>
      <c r="M60" s="2"/>
    </row>
    <row r="61" spans="1:13" x14ac:dyDescent="0.3">
      <c r="B61" s="38" t="s">
        <v>267</v>
      </c>
      <c r="C61" s="38">
        <f>0.273/1000</f>
        <v>2.7300000000000002E-4</v>
      </c>
      <c r="M61" s="2"/>
    </row>
    <row r="62" spans="1:13" x14ac:dyDescent="0.3">
      <c r="B62" s="38" t="s">
        <v>244</v>
      </c>
      <c r="C62" s="38">
        <f>0.272/1000</f>
        <v>2.72E-4</v>
      </c>
      <c r="M62" s="2"/>
    </row>
    <row r="63" spans="1:13" x14ac:dyDescent="0.3">
      <c r="B63" s="38" t="s">
        <v>268</v>
      </c>
      <c r="C63" s="38">
        <f>0.311/1000</f>
        <v>3.1100000000000002E-4</v>
      </c>
      <c r="M63" s="2"/>
    </row>
    <row r="64" spans="1:13" x14ac:dyDescent="0.3">
      <c r="B64" s="38" t="s">
        <v>269</v>
      </c>
      <c r="C64" s="38">
        <f>0.132/1000</f>
        <v>1.3200000000000001E-4</v>
      </c>
      <c r="M64" s="2"/>
    </row>
    <row r="65" spans="1:13" x14ac:dyDescent="0.3">
      <c r="B65" s="38" t="s">
        <v>270</v>
      </c>
      <c r="C65" s="38">
        <f>0.238/1000</f>
        <v>2.3799999999999998E-4</v>
      </c>
      <c r="M65" s="2"/>
    </row>
    <row r="66" spans="1:13" x14ac:dyDescent="0.3">
      <c r="B66" s="38" t="s">
        <v>271</v>
      </c>
      <c r="C66" s="38">
        <f>0.23/1000</f>
        <v>2.3000000000000001E-4</v>
      </c>
      <c r="M66" s="2"/>
    </row>
    <row r="67" spans="1:13" ht="43.2" x14ac:dyDescent="0.3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x14ac:dyDescent="0.3">
      <c r="B68" s="38" t="s">
        <v>274</v>
      </c>
      <c r="C68" s="38">
        <f>0.331/1000</f>
        <v>3.3100000000000002E-4</v>
      </c>
      <c r="M68" s="2"/>
    </row>
    <row r="69" spans="1:13" x14ac:dyDescent="0.3">
      <c r="B69" s="38" t="s">
        <v>275</v>
      </c>
      <c r="C69" s="38">
        <f>0.331/1000</f>
        <v>3.3100000000000002E-4</v>
      </c>
      <c r="M69" s="2"/>
    </row>
    <row r="70" spans="1:13" ht="28.8" x14ac:dyDescent="0.3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x14ac:dyDescent="0.3">
      <c r="B71" s="38" t="s">
        <v>278</v>
      </c>
      <c r="C71" s="38">
        <f>0.308/1000</f>
        <v>3.0800000000000001E-4</v>
      </c>
      <c r="M71" s="2"/>
    </row>
    <row r="72" spans="1:13" x14ac:dyDescent="0.3">
      <c r="B72" s="38" t="s">
        <v>279</v>
      </c>
      <c r="C72" s="38">
        <f>0.313/1000</f>
        <v>3.1300000000000002E-4</v>
      </c>
      <c r="M72" s="2"/>
    </row>
    <row r="73" spans="1:13" ht="28.8" x14ac:dyDescent="0.3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28.8" x14ac:dyDescent="0.3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x14ac:dyDescent="0.3">
      <c r="B75" s="38" t="s">
        <v>284</v>
      </c>
      <c r="C75" s="38">
        <f>0.244/1000</f>
        <v>2.4399999999999999E-4</v>
      </c>
      <c r="M75" s="2"/>
    </row>
    <row r="76" spans="1:13" ht="28.8" x14ac:dyDescent="0.3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228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x14ac:dyDescent="0.3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2.4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2.4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2.4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2.4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2.4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2.4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2.4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2.4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2.4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21.599999999999998</v>
      </c>
      <c r="N5" s="2"/>
      <c r="O5" s="2"/>
      <c r="P5" s="2"/>
      <c r="Q5" s="2"/>
    </row>
    <row r="6" spans="1:17" x14ac:dyDescent="0.3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3.72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3.72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3.72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3.72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3.72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3.72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3.72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3.72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3.72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33.479999999999997</v>
      </c>
      <c r="N6" s="2"/>
      <c r="O6" s="2"/>
      <c r="P6" s="2"/>
      <c r="Q6" s="2"/>
    </row>
    <row r="7" spans="1:17" x14ac:dyDescent="0.3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5.04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5.04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5.04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5.04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5.04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5.04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5.04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5.04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5.04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45.36</v>
      </c>
      <c r="N7" s="2"/>
      <c r="O7" s="2"/>
      <c r="P7" s="2"/>
      <c r="Q7" s="2"/>
    </row>
    <row r="8" spans="1:17" x14ac:dyDescent="0.3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6.36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6.36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6.36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6.36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6.36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6.36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6.36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6.36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6.36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57.24</v>
      </c>
      <c r="N8" s="2"/>
      <c r="O8" s="2"/>
      <c r="P8" s="2"/>
      <c r="Q8" s="2"/>
    </row>
    <row r="9" spans="1:17" x14ac:dyDescent="0.3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6.6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6.6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6.6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6.6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6.6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6.6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6.6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6.6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6.6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59.400000000000006</v>
      </c>
      <c r="N9" s="2"/>
      <c r="O9" s="2"/>
      <c r="P9" s="2"/>
      <c r="Q9" s="2"/>
    </row>
    <row r="10" spans="1:17" x14ac:dyDescent="0.3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7.7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7.7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7.7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7.7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7.7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7.7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7.7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7.7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7.7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69.300000000000011</v>
      </c>
      <c r="N10" s="2"/>
      <c r="O10" s="2"/>
      <c r="P10" s="2"/>
      <c r="Q10" s="2"/>
    </row>
    <row r="11" spans="1:17" x14ac:dyDescent="0.3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8.8000000000000007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8.8000000000000007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8.8000000000000007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8.8000000000000007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8.8000000000000007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8.8000000000000007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8.8000000000000007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8.8000000000000007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8.8000000000000007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79.199999999999989</v>
      </c>
      <c r="N11" s="2"/>
      <c r="O11" s="2"/>
      <c r="P11" s="2"/>
      <c r="Q11" s="2"/>
    </row>
    <row r="12" spans="1:17" x14ac:dyDescent="0.3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9.9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9.9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9.9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9.9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9.9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9.9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9.9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9.9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9.9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89.100000000000009</v>
      </c>
      <c r="N12" s="2"/>
      <c r="O12" s="2"/>
      <c r="P12" s="2"/>
      <c r="Q12" s="2"/>
    </row>
    <row r="13" spans="1:17" x14ac:dyDescent="0.3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11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11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11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11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11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11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11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11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11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99</v>
      </c>
      <c r="N13" s="2"/>
      <c r="O13" s="2"/>
      <c r="P13" s="2"/>
      <c r="Q13" s="2"/>
    </row>
    <row r="14" spans="1:17" x14ac:dyDescent="0.3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12.1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12.1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12.1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12.1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12.1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12.1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12.1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12.1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12.1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108.89999999999998</v>
      </c>
      <c r="N14" s="2"/>
      <c r="O14" s="2"/>
      <c r="P14" s="2"/>
      <c r="Q14" s="2"/>
    </row>
    <row r="15" spans="1:17" x14ac:dyDescent="0.3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12.46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12.46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12.46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12.46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12.46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12.46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12.46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12.46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12.46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112.14000000000001</v>
      </c>
      <c r="N15" s="2"/>
      <c r="O15" s="2"/>
      <c r="P15" s="2"/>
      <c r="Q15" s="2"/>
    </row>
    <row r="16" spans="1:17" x14ac:dyDescent="0.3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12.82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12.82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12.82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12.82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12.82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12.82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12.82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12.82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12.82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115.37999999999997</v>
      </c>
      <c r="N16" s="2"/>
      <c r="O16" s="2"/>
      <c r="P16" s="2"/>
      <c r="Q16" s="2"/>
    </row>
    <row r="17" spans="1:17" x14ac:dyDescent="0.3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13.18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13.18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13.18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13.18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13.18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13.18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13.18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13.18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13.18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118.62000000000003</v>
      </c>
      <c r="N17" s="2"/>
      <c r="O17" s="2"/>
      <c r="P17" s="2"/>
      <c r="Q17" s="2"/>
    </row>
    <row r="18" spans="1:17" x14ac:dyDescent="0.3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13.54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13.54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13.54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13.54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13.54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13.54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13.54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13.54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13.54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121.85999999999996</v>
      </c>
      <c r="N18" s="2"/>
      <c r="O18" s="2"/>
      <c r="P18" s="2"/>
      <c r="Q18" s="2"/>
    </row>
    <row r="19" spans="1:17" x14ac:dyDescent="0.3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13.9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13.9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13.9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13.9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13.9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13.9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13.9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13.9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13.9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125.10000000000002</v>
      </c>
      <c r="N19" s="2"/>
      <c r="O19" s="2"/>
      <c r="P19" s="2"/>
      <c r="Q19" s="2"/>
    </row>
    <row r="20" spans="1:17" x14ac:dyDescent="0.3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13.98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13.98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13.98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13.98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13.98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13.98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13.98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13.98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13.98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125.82000000000002</v>
      </c>
      <c r="N20" s="2"/>
      <c r="O20" s="2"/>
      <c r="P20" s="2"/>
      <c r="Q20" s="2"/>
    </row>
    <row r="21" spans="1:17" x14ac:dyDescent="0.3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14.06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14.06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14.06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14.06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14.06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14.06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14.06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14.06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14.06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126.54</v>
      </c>
      <c r="N21" s="2"/>
      <c r="O21" s="2"/>
      <c r="P21" s="2"/>
      <c r="Q21" s="2"/>
    </row>
    <row r="22" spans="1:17" x14ac:dyDescent="0.3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14.14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14.14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14.14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14.14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14.14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14.14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14.14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14.14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14.14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127.26</v>
      </c>
      <c r="N22" s="2"/>
      <c r="O22" s="2"/>
      <c r="P22" s="2"/>
      <c r="Q22" s="2"/>
    </row>
    <row r="23" spans="1:17" x14ac:dyDescent="0.3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14.22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14.22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14.22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14.22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14.22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14.22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14.22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14.22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14.22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127.98</v>
      </c>
      <c r="N23" s="2"/>
      <c r="O23" s="2"/>
      <c r="P23" s="2"/>
      <c r="Q23" s="2"/>
    </row>
    <row r="24" spans="1:17" x14ac:dyDescent="0.3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14.3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14.3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14.3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14.3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14.3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14.3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14.3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14.3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14.3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128.69999999999999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3">
        <f>SUMIF($A5:$A24,"&lt;"&amp;Eligibilité_projet!B14+1,C5:C24)</f>
        <v>210.22</v>
      </c>
      <c r="D25" s="23">
        <f>SUMIF($A5:$A24,"&lt;"&amp;Eligibilité_projet!C14+1,D5:D24)</f>
        <v>210.22</v>
      </c>
      <c r="E25" s="23">
        <f>SUMIF($A5:$A24,"&lt;"&amp;Eligibilité_projet!D14+1,E5:E24)</f>
        <v>210.22</v>
      </c>
      <c r="F25" s="23">
        <f>SUMIF($A5:$A24,"&lt;"&amp;Eligibilité_projet!E14+1,F5:F24)</f>
        <v>210.22</v>
      </c>
      <c r="G25" s="23">
        <f>SUMIF($A5:$A24,"&lt;"&amp;Eligibilité_projet!F14+1,G5:G24)</f>
        <v>210.22</v>
      </c>
      <c r="H25" s="23">
        <f>SUMIF($A5:$A24,"&lt;"&amp;Eligibilité_projet!G14+1,H5:H24)</f>
        <v>210.22</v>
      </c>
      <c r="I25" s="23">
        <f>SUMIF($A5:$A24,"&lt;"&amp;Eligibilité_projet!H14+1,I5:I24)</f>
        <v>210.22</v>
      </c>
      <c r="J25" s="23">
        <f>SUMIF($A5:$A24,"&lt;"&amp;Eligibilité_projet!I14+1,J5:J24)</f>
        <v>210.22</v>
      </c>
      <c r="K25" s="23">
        <f>SUMIF($A5:$A24,"&lt;"&amp;Eligibilité_projet!J14+1,K5:K24)</f>
        <v>210.22</v>
      </c>
      <c r="L25" s="23">
        <f>SUMIF($A5:$A24,"&lt;"&amp;Eligibilité_projet!K14+1,L5:L24)</f>
        <v>0</v>
      </c>
      <c r="M25" s="23">
        <f t="shared" si="0"/>
        <v>1891.98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21</v>
      </c>
      <c r="F27" s="43">
        <f>Eligibilité_projet!E14 + 1</f>
        <v>21</v>
      </c>
      <c r="G27" s="43">
        <f>Eligibilité_projet!F14 + 1</f>
        <v>21</v>
      </c>
      <c r="H27" s="43">
        <f>Eligibilité_projet!G14 + 1</f>
        <v>21</v>
      </c>
      <c r="I27" s="43">
        <f>Eligibilité_projet!H14 + 1</f>
        <v>21</v>
      </c>
      <c r="J27" s="43">
        <f>Eligibilité_projet!I14 + 1</f>
        <v>21</v>
      </c>
      <c r="K27" s="43">
        <f>Eligibilité_projet!J14 + 1</f>
        <v>21</v>
      </c>
      <c r="L27" s="43">
        <f>Eligibilité_projet!K14 + 1</f>
        <v>1</v>
      </c>
      <c r="M27" s="23">
        <f t="shared" si="0"/>
        <v>190</v>
      </c>
      <c r="N27" s="2"/>
      <c r="O27" s="2"/>
      <c r="P27" s="2"/>
      <c r="Q27" s="2"/>
    </row>
    <row r="28" spans="1:17" x14ac:dyDescent="0.3">
      <c r="B28" s="22" t="s">
        <v>300</v>
      </c>
      <c r="C28" s="25">
        <f>((C25/C27)-C26)*Eligibilité_projet!B8*44/12</f>
        <v>862.56936507936507</v>
      </c>
      <c r="D28" s="25">
        <f>((D25/D27)-D26)*Eligibilité_projet!C8*44/12</f>
        <v>139.47930158730159</v>
      </c>
      <c r="E28" s="25">
        <f>((E25/E27)-E26)*Eligibilité_projet!D8*44/12</f>
        <v>98.00256190476189</v>
      </c>
      <c r="F28" s="25">
        <f>((F25/F27)-F26)*Eligibilité_projet!E8*44/12</f>
        <v>40.375587301587302</v>
      </c>
      <c r="G28" s="25">
        <f>((G25/G27)-G26)*Eligibilité_projet!F8*44/12</f>
        <v>168.84336507936504</v>
      </c>
      <c r="H28" s="25">
        <f>((H25/H27)-H26)*Eligibilité_projet!G8*44/12</f>
        <v>36.705079365079364</v>
      </c>
      <c r="I28" s="25">
        <f>((I25/I27)-I26)*Eligibilité_projet!H8*44/12</f>
        <v>80.751174603174604</v>
      </c>
      <c r="J28" s="25">
        <f>((J25/J27)-J26)*Eligibilité_projet!I8*44/12</f>
        <v>40.375587301587302</v>
      </c>
      <c r="K28" s="25">
        <f>((K25/K27)-K26)*Eligibilité_projet!J8*44/12</f>
        <v>48.083653968253969</v>
      </c>
      <c r="L28" s="25">
        <f>((L25/L27)-L26)*Eligibilité_projet!K8*44/12</f>
        <v>0</v>
      </c>
      <c r="M28" s="25">
        <f t="shared" si="0"/>
        <v>1515.185676190476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43.1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43.1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43.1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43.1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43.1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43.1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43.1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43.1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43.1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387.90000000000009</v>
      </c>
      <c r="N5" s="2"/>
      <c r="O5" s="2"/>
      <c r="P5" s="2"/>
    </row>
    <row r="6" spans="1:16" x14ac:dyDescent="0.3">
      <c r="B6" s="7" t="s">
        <v>311</v>
      </c>
      <c r="C6" s="23">
        <f>IF(Eligibilité_projet!B13="Hors climat Mediterranéen",'(ne pas modifier) BDD_REF'!$C$271,IF(Eligibilité_projet!B13="",0,'(ne pas modifier) BDD_REF'!$B$271))</f>
        <v>41.5</v>
      </c>
      <c r="D6" s="23">
        <f>IF(Eligibilité_projet!C13="Hors climat Mediterranéen",'(ne pas modifier) BDD_REF'!$C$271,IF(Eligibilité_projet!C13="",0,'(ne pas modifier) BDD_REF'!$B$271))</f>
        <v>41.5</v>
      </c>
      <c r="E6" s="23">
        <f>IF(Eligibilité_projet!D13="Hors climat Mediterranéen",'(ne pas modifier) BDD_REF'!$C$271,IF(Eligibilité_projet!D13="",0,'(ne pas modifier) BDD_REF'!$B$271))</f>
        <v>41.5</v>
      </c>
      <c r="F6" s="23">
        <f>IF(Eligibilité_projet!E13="Hors climat Mediterranéen",'(ne pas modifier) BDD_REF'!$C$271,IF(Eligibilité_projet!E13="",0,'(ne pas modifier) BDD_REF'!$B$271))</f>
        <v>41.5</v>
      </c>
      <c r="G6" s="23">
        <f>IF(Eligibilité_projet!F13="Hors climat Mediterranéen",'(ne pas modifier) BDD_REF'!$C$271,IF(Eligibilité_projet!F13="",0,'(ne pas modifier) BDD_REF'!$B$271))</f>
        <v>41.5</v>
      </c>
      <c r="H6" s="23">
        <f>IF(Eligibilité_projet!G13="Hors climat Mediterranéen",'(ne pas modifier) BDD_REF'!$C$271,IF(Eligibilité_projet!G13="",0,'(ne pas modifier) BDD_REF'!$B$271))</f>
        <v>41.5</v>
      </c>
      <c r="I6" s="23">
        <f>IF(Eligibilité_projet!H13="Hors climat Mediterranéen",'(ne pas modifier) BDD_REF'!$C$271,IF(Eligibilité_projet!H13="",0,'(ne pas modifier) BDD_REF'!$B$271))</f>
        <v>41.5</v>
      </c>
      <c r="J6" s="23">
        <f>IF(Eligibilité_projet!I13="Hors climat Mediterranéen",'(ne pas modifier) BDD_REF'!$C$271,IF(Eligibilité_projet!I13="",0,'(ne pas modifier) BDD_REF'!$B$271))</f>
        <v>41.5</v>
      </c>
      <c r="K6" s="23">
        <f>IF(Eligibilité_projet!J13="Hors climat Mediterranéen",'(ne pas modifier) BDD_REF'!$C$271,IF(Eligibilité_projet!J13="",0,'(ne pas modifier) BDD_REF'!$B$271))</f>
        <v>41.5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373.5</v>
      </c>
      <c r="N6" s="2"/>
      <c r="O6" s="2"/>
      <c r="P6" s="2"/>
    </row>
    <row r="7" spans="1:16" x14ac:dyDescent="0.3">
      <c r="B7" s="7" t="s">
        <v>309</v>
      </c>
      <c r="C7" s="23">
        <f>Eligibilité_projet!B15</f>
        <v>0.7</v>
      </c>
      <c r="D7" s="23">
        <f>Eligibilité_projet!C15</f>
        <v>0.7</v>
      </c>
      <c r="E7" s="23">
        <f>Eligibilité_projet!D15</f>
        <v>0.7</v>
      </c>
      <c r="F7" s="23">
        <f>Eligibilité_projet!E15</f>
        <v>0.7</v>
      </c>
      <c r="G7" s="23">
        <f>Eligibilité_projet!F15</f>
        <v>0.7</v>
      </c>
      <c r="H7" s="23">
        <f>Eligibilité_projet!G15</f>
        <v>0.7</v>
      </c>
      <c r="I7" s="23">
        <f>Eligibilité_projet!H15</f>
        <v>0.7</v>
      </c>
      <c r="J7" s="23">
        <f>Eligibilité_projet!I15</f>
        <v>0.7</v>
      </c>
      <c r="K7" s="23">
        <f>Eligibilité_projet!J15</f>
        <v>0.7</v>
      </c>
      <c r="L7" s="23">
        <f>Eligibilité_projet!K15</f>
        <v>0</v>
      </c>
      <c r="M7" s="23">
        <f>SUM(C7:L7)</f>
        <v>6.3000000000000007</v>
      </c>
      <c r="N7" s="2"/>
      <c r="O7" s="2"/>
      <c r="P7" s="2"/>
    </row>
    <row r="8" spans="1:16" ht="28.8" x14ac:dyDescent="0.3">
      <c r="B8" s="7" t="s">
        <v>301</v>
      </c>
      <c r="C8" s="23">
        <f>Eligibilité_projet!B14</f>
        <v>20</v>
      </c>
      <c r="D8" s="23">
        <f>Eligibilité_projet!C14</f>
        <v>20</v>
      </c>
      <c r="E8" s="23">
        <f>Eligibilité_projet!D14</f>
        <v>20</v>
      </c>
      <c r="F8" s="23">
        <f>Eligibilité_projet!E14</f>
        <v>20</v>
      </c>
      <c r="G8" s="23">
        <f>Eligibilité_projet!F14</f>
        <v>20</v>
      </c>
      <c r="H8" s="23">
        <f>Eligibilité_projet!G14</f>
        <v>20</v>
      </c>
      <c r="I8" s="23">
        <f>Eligibilité_projet!H14</f>
        <v>20</v>
      </c>
      <c r="J8" s="23">
        <f>Eligibilité_projet!I14</f>
        <v>20</v>
      </c>
      <c r="K8" s="23">
        <f>Eligibilité_projet!J14</f>
        <v>20</v>
      </c>
      <c r="L8" s="23">
        <f>Eligibilité_projet!K14</f>
        <v>0</v>
      </c>
      <c r="M8" s="23">
        <f>SUM(C8:L8)</f>
        <v>180</v>
      </c>
      <c r="N8" s="2"/>
      <c r="O8" s="2"/>
      <c r="P8" s="2"/>
    </row>
    <row r="9" spans="1:16" x14ac:dyDescent="0.3">
      <c r="B9" s="22" t="s">
        <v>302</v>
      </c>
      <c r="C9" s="22">
        <f>((C6-C5)+('(ne pas modifier) BDD_REF'!$B$275*C7*C8))*Eligibilité_projet!B8*44/12</f>
        <v>453.23666666666651</v>
      </c>
      <c r="D9" s="22">
        <f>((D6-D5)+('(ne pas modifier) BDD_REF'!$B$275*D7*D8))*Eligibilité_projet!C8*44/12</f>
        <v>73.289333333333303</v>
      </c>
      <c r="E9" s="22">
        <f>((E6-E5)+('(ne pas modifier) BDD_REF'!$B$275*E7*E8))*Eligibilité_projet!D8*44/12</f>
        <v>51.495399999999982</v>
      </c>
      <c r="F9" s="22">
        <f>((F6-F5)+('(ne pas modifier) BDD_REF'!$B$275*F7*F8))*Eligibilité_projet!E8*44/12</f>
        <v>21.21533333333333</v>
      </c>
      <c r="G9" s="22">
        <f>((G6-G5)+('(ne pas modifier) BDD_REF'!$B$275*G7*G8))*Eligibilité_projet!F8*44/12</f>
        <v>88.718666666666607</v>
      </c>
      <c r="H9" s="22">
        <f>((H6-H5)+('(ne pas modifier) BDD_REF'!$B$275*H7*H8))*Eligibilité_projet!G8*44/12</f>
        <v>19.286666666666658</v>
      </c>
      <c r="I9" s="22">
        <f>((I6-I5)+('(ne pas modifier) BDD_REF'!$B$275*I7*I8))*Eligibilité_projet!H8*44/12</f>
        <v>42.43066666666666</v>
      </c>
      <c r="J9" s="22">
        <f>((J6-J5)+('(ne pas modifier) BDD_REF'!$B$275*J7*J8))*Eligibilité_projet!I8*44/12</f>
        <v>21.21533333333333</v>
      </c>
      <c r="K9" s="22">
        <f>((K6-K5)+('(ne pas modifier) BDD_REF'!$B$275*K7*K8))*Eligibilité_projet!J8*44/12</f>
        <v>25.265533333333323</v>
      </c>
      <c r="L9" s="22">
        <f>((L6-L5)+('(ne pas modifier) BDD_REF'!$B$275*L7*L8))*Eligibilité_projet!K8*44/12</f>
        <v>0</v>
      </c>
      <c r="M9" s="22">
        <f>SUM(C9:L9)</f>
        <v>796.15359999999976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C19" sqref="C19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3" t="s">
        <v>337</v>
      </c>
      <c r="C2" s="125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26" t="s">
        <v>142</v>
      </c>
      <c r="C4" s="127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308</v>
      </c>
      <c r="B6" s="3" t="s">
        <v>303</v>
      </c>
      <c r="C6" s="16">
        <f>IF(Eligibilité_projet!C2="NON","/",'RECeff + REIamont (1)'!L7)</f>
        <v>-576.57280594729048</v>
      </c>
      <c r="D6" s="2"/>
      <c r="E6" s="2"/>
      <c r="F6" s="2"/>
    </row>
    <row r="7" spans="1:6" x14ac:dyDescent="0.3">
      <c r="A7" s="44" t="s">
        <v>144</v>
      </c>
      <c r="B7" s="3" t="s">
        <v>303</v>
      </c>
      <c r="C7" s="16" t="str">
        <f>IF(Eligibilité_projet!C2="OUI","/",'RECeff + REIamont (2)'!M144)</f>
        <v>/</v>
      </c>
      <c r="D7" s="2"/>
      <c r="E7" s="2"/>
      <c r="F7" s="2"/>
    </row>
    <row r="8" spans="1:6" x14ac:dyDescent="0.3">
      <c r="A8" s="17"/>
      <c r="B8" s="3" t="s">
        <v>200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6">
        <f>RECant_biom!M28</f>
        <v>1515.185676190476</v>
      </c>
      <c r="D9" s="2"/>
      <c r="E9" s="2"/>
      <c r="F9" s="2"/>
    </row>
    <row r="10" spans="1:6" x14ac:dyDescent="0.3">
      <c r="A10" s="2"/>
      <c r="B10" s="3" t="s">
        <v>302</v>
      </c>
      <c r="C10" s="16">
        <f>RECant_sol!M9</f>
        <v>796.15359999999976</v>
      </c>
      <c r="D10" s="2"/>
      <c r="E10" s="2"/>
      <c r="F10" s="2"/>
    </row>
    <row r="11" spans="1:6" x14ac:dyDescent="0.3">
      <c r="A11" s="2"/>
      <c r="B11" s="20" t="s">
        <v>305</v>
      </c>
      <c r="C11" s="45">
        <f>SUM(IF(Eligibilité_projet!C2="OUI",-C6,-C7),-C8,C10,C9)</f>
        <v>2887.9120821377664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26" t="s">
        <v>143</v>
      </c>
      <c r="C13" s="127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6">
        <f>IF(Eligibilité_projet!C2="OUI",C6*(1-0.15),C7)</f>
        <v>-490.08688505519689</v>
      </c>
      <c r="D15" s="2"/>
      <c r="E15" s="2"/>
      <c r="F15" s="2"/>
    </row>
    <row r="16" spans="1:6" x14ac:dyDescent="0.3">
      <c r="A16" s="2"/>
      <c r="B16" s="3" t="s">
        <v>200</v>
      </c>
      <c r="C16" s="16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6">
        <f>C9*(1-0.1)</f>
        <v>1363.6671085714283</v>
      </c>
      <c r="D17" s="2"/>
      <c r="E17" s="2"/>
      <c r="F17" s="2"/>
    </row>
    <row r="18" spans="1:6" x14ac:dyDescent="0.3">
      <c r="A18" s="2"/>
      <c r="B18" s="3" t="s">
        <v>302</v>
      </c>
      <c r="C18" s="16">
        <f>RE!C10</f>
        <v>796.15359999999976</v>
      </c>
      <c r="D18" s="2"/>
      <c r="E18" s="2"/>
      <c r="F18" s="2"/>
    </row>
    <row r="19" spans="1:6" x14ac:dyDescent="0.3">
      <c r="A19" s="2"/>
      <c r="B19" s="20" t="s">
        <v>305</v>
      </c>
      <c r="C19" s="45">
        <f>SUM(-C15,-C16,((C17+C18)*(0.9)))</f>
        <v>2433.9255227694821</v>
      </c>
      <c r="D19" s="2"/>
      <c r="E19" s="2"/>
      <c r="F19" s="2"/>
    </row>
    <row r="20" spans="1:6" x14ac:dyDescent="0.3">
      <c r="A20" s="2"/>
      <c r="B20" s="2"/>
    </row>
    <row r="22" spans="1:6" s="36" customFormat="1" hidden="1" x14ac:dyDescent="0.3"/>
    <row r="23" spans="1:6" s="36" customFormat="1" hidden="1" x14ac:dyDescent="0.3"/>
    <row r="24" spans="1:6" s="36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28" t="s">
        <v>5</v>
      </c>
      <c r="C44" s="129"/>
      <c r="D44" s="130"/>
      <c r="E44" s="128" t="s">
        <v>69</v>
      </c>
      <c r="F44" s="129"/>
      <c r="G44" s="130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107</v>
      </c>
      <c r="B172" s="66">
        <v>2724.2246671013995</v>
      </c>
    </row>
    <row r="173" spans="1:2" x14ac:dyDescent="0.3">
      <c r="A173" s="63" t="s">
        <v>108</v>
      </c>
      <c r="B173" s="66">
        <v>2678.1548398122004</v>
      </c>
    </row>
    <row r="174" spans="1:2" x14ac:dyDescent="0.3">
      <c r="A174" s="63" t="s">
        <v>109</v>
      </c>
      <c r="B174" s="66">
        <v>925.39090928000007</v>
      </c>
    </row>
    <row r="175" spans="1:2" x14ac:dyDescent="0.3">
      <c r="A175" s="63" t="s">
        <v>110</v>
      </c>
      <c r="B175" s="66">
        <v>832.84025582999993</v>
      </c>
    </row>
    <row r="176" spans="1:2" x14ac:dyDescent="0.3">
      <c r="A176" s="63" t="s">
        <v>111</v>
      </c>
      <c r="B176" s="66">
        <v>3847.6402921410004</v>
      </c>
    </row>
    <row r="177" spans="1:2" x14ac:dyDescent="0.3">
      <c r="A177" s="63" t="s">
        <v>112</v>
      </c>
      <c r="B177" s="66">
        <v>3849.2868810089999</v>
      </c>
    </row>
    <row r="178" spans="1:2" x14ac:dyDescent="0.3">
      <c r="A178" s="63" t="s">
        <v>113</v>
      </c>
      <c r="B178" s="66">
        <v>3453.8088875220001</v>
      </c>
    </row>
    <row r="179" spans="1:2" x14ac:dyDescent="0.3">
      <c r="A179" s="63" t="s">
        <v>114</v>
      </c>
      <c r="B179" s="66">
        <v>3391.1981881470001</v>
      </c>
    </row>
    <row r="180" spans="1:2" x14ac:dyDescent="0.3">
      <c r="A180" s="63" t="s">
        <v>115</v>
      </c>
      <c r="B180" s="66">
        <v>3759.2860042549196</v>
      </c>
    </row>
    <row r="181" spans="1:2" x14ac:dyDescent="0.3">
      <c r="A181" s="63" t="s">
        <v>116</v>
      </c>
      <c r="B181" s="66">
        <v>2658.9292517203125</v>
      </c>
    </row>
    <row r="182" spans="1:2" x14ac:dyDescent="0.3">
      <c r="A182" s="63" t="s">
        <v>117</v>
      </c>
      <c r="B182" s="66">
        <v>4303.8993272226562</v>
      </c>
    </row>
    <row r="183" spans="1:2" x14ac:dyDescent="0.3">
      <c r="A183" s="63" t="s">
        <v>118</v>
      </c>
      <c r="B183" s="66">
        <v>4054.8428879156254</v>
      </c>
    </row>
    <row r="184" spans="1:2" x14ac:dyDescent="0.3">
      <c r="A184" s="63" t="s">
        <v>119</v>
      </c>
      <c r="B184" s="66">
        <v>3165.3350675625002</v>
      </c>
    </row>
    <row r="185" spans="1:2" x14ac:dyDescent="0.3">
      <c r="A185" s="63" t="s">
        <v>120</v>
      </c>
      <c r="B185" s="66">
        <v>21727.520374600001</v>
      </c>
    </row>
    <row r="186" spans="1:2" x14ac:dyDescent="0.3">
      <c r="A186" s="63" t="s">
        <v>121</v>
      </c>
      <c r="B186" s="66">
        <v>763729.18826415588</v>
      </c>
    </row>
    <row r="187" spans="1:2" x14ac:dyDescent="0.3">
      <c r="A187" s="63" t="s">
        <v>122</v>
      </c>
      <c r="B187" s="66">
        <v>28201.949841089998</v>
      </c>
    </row>
    <row r="188" spans="1:2" x14ac:dyDescent="0.3">
      <c r="A188" s="63" t="s">
        <v>123</v>
      </c>
      <c r="B188" s="66">
        <v>745475.31653372501</v>
      </c>
    </row>
    <row r="189" spans="1:2" x14ac:dyDescent="0.3">
      <c r="A189" s="63" t="s">
        <v>124</v>
      </c>
      <c r="B189" s="66">
        <v>1313.2063369499999</v>
      </c>
    </row>
    <row r="190" spans="1:2" x14ac:dyDescent="0.3">
      <c r="A190" s="63" t="s">
        <v>125</v>
      </c>
      <c r="B190" s="66">
        <v>864.20333642999981</v>
      </c>
    </row>
    <row r="191" spans="1:2" x14ac:dyDescent="0.3">
      <c r="A191" s="63" t="s">
        <v>126</v>
      </c>
      <c r="B191" s="66">
        <v>2605.9006745199999</v>
      </c>
    </row>
    <row r="193" spans="1:2" x14ac:dyDescent="0.3">
      <c r="A193" s="24" t="s">
        <v>71</v>
      </c>
      <c r="B193" s="67" t="s">
        <v>127</v>
      </c>
    </row>
    <row r="194" spans="1:2" x14ac:dyDescent="0.3">
      <c r="A194" s="8" t="s">
        <v>128</v>
      </c>
      <c r="B194" s="68">
        <v>5895.9797374104</v>
      </c>
    </row>
    <row r="195" spans="1:2" x14ac:dyDescent="0.3">
      <c r="A195" s="8" t="s">
        <v>129</v>
      </c>
      <c r="B195" s="68">
        <v>2576.2094178333336</v>
      </c>
    </row>
    <row r="196" spans="1:2" x14ac:dyDescent="0.3">
      <c r="A196" s="8" t="s">
        <v>130</v>
      </c>
      <c r="B196" s="68">
        <v>4062.9965796000001</v>
      </c>
    </row>
    <row r="197" spans="1:2" x14ac:dyDescent="0.3">
      <c r="A197" s="8" t="s">
        <v>131</v>
      </c>
      <c r="B197" s="68">
        <v>4011.4789508640006</v>
      </c>
    </row>
    <row r="198" spans="1:2" x14ac:dyDescent="0.3">
      <c r="A198" s="8" t="s">
        <v>132</v>
      </c>
      <c r="B198" s="68">
        <v>2682.7232290992001</v>
      </c>
    </row>
    <row r="199" spans="1:2" x14ac:dyDescent="0.3">
      <c r="A199" s="8" t="s">
        <v>133</v>
      </c>
      <c r="B199" s="68">
        <v>2548.7495763313045</v>
      </c>
    </row>
    <row r="200" spans="1:2" x14ac:dyDescent="0.3">
      <c r="A200" s="8" t="s">
        <v>134</v>
      </c>
      <c r="B200" s="68">
        <v>3366.7024762240003</v>
      </c>
    </row>
    <row r="201" spans="1:2" x14ac:dyDescent="0.3">
      <c r="A201" s="8" t="s">
        <v>135</v>
      </c>
      <c r="B201" s="68">
        <v>3370.0393371360001</v>
      </c>
    </row>
    <row r="202" spans="1:2" x14ac:dyDescent="0.3">
      <c r="A202" s="8" t="s">
        <v>136</v>
      </c>
      <c r="B202" s="68">
        <v>3392.0923222031997</v>
      </c>
    </row>
    <row r="203" spans="1:2" x14ac:dyDescent="0.3">
      <c r="A203" s="8" t="s">
        <v>137</v>
      </c>
      <c r="B203" s="68">
        <v>3141.3860726075795</v>
      </c>
    </row>
    <row r="205" spans="1:2" x14ac:dyDescent="0.3">
      <c r="A205" s="24" t="s">
        <v>173</v>
      </c>
      <c r="B205" s="24" t="s">
        <v>24</v>
      </c>
    </row>
    <row r="206" spans="1:2" x14ac:dyDescent="0.3">
      <c r="A206" s="8" t="s">
        <v>154</v>
      </c>
      <c r="B206" s="8">
        <v>1.6E-2</v>
      </c>
    </row>
    <row r="207" spans="1:2" x14ac:dyDescent="0.3">
      <c r="A207" s="8" t="s">
        <v>153</v>
      </c>
      <c r="B207" s="8">
        <v>6.0000000000000001E-3</v>
      </c>
    </row>
    <row r="208" spans="1:2" x14ac:dyDescent="0.3">
      <c r="A208" s="8" t="s">
        <v>157</v>
      </c>
      <c r="B208" s="69">
        <v>0.01</v>
      </c>
    </row>
    <row r="209" spans="1:5" x14ac:dyDescent="0.3">
      <c r="A209" s="8" t="s">
        <v>159</v>
      </c>
      <c r="B209" s="69">
        <v>1.0999999999999999E-2</v>
      </c>
    </row>
    <row r="210" spans="1:5" x14ac:dyDescent="0.3">
      <c r="A210" s="8" t="s">
        <v>175</v>
      </c>
      <c r="B210" s="69">
        <v>5.7000000000000002E-2</v>
      </c>
    </row>
    <row r="211" spans="1:5" x14ac:dyDescent="0.3">
      <c r="A211" s="8" t="s">
        <v>177</v>
      </c>
      <c r="B211" s="69">
        <v>4.51</v>
      </c>
    </row>
    <row r="212" spans="1:5" x14ac:dyDescent="0.3">
      <c r="A212" s="8" t="s">
        <v>178</v>
      </c>
      <c r="B212" s="69">
        <v>1.45</v>
      </c>
    </row>
    <row r="213" spans="1:5" x14ac:dyDescent="0.3">
      <c r="A213" s="8" t="s">
        <v>179</v>
      </c>
      <c r="B213" s="69">
        <v>0.71</v>
      </c>
    </row>
    <row r="214" spans="1:5" x14ac:dyDescent="0.3">
      <c r="A214" s="70" t="s">
        <v>181</v>
      </c>
      <c r="B214" s="69">
        <v>6.0090000000000003</v>
      </c>
    </row>
    <row r="215" spans="1:5" x14ac:dyDescent="0.3">
      <c r="A215" s="70" t="s">
        <v>182</v>
      </c>
      <c r="B215" s="69">
        <v>8.9849999999999994</v>
      </c>
    </row>
    <row r="216" spans="1:5" x14ac:dyDescent="0.3">
      <c r="A216" s="70" t="s">
        <v>183</v>
      </c>
      <c r="B216" s="69">
        <v>25.134</v>
      </c>
    </row>
    <row r="217" spans="1:5" x14ac:dyDescent="0.3">
      <c r="A217" s="71" t="s">
        <v>184</v>
      </c>
      <c r="B217" s="69">
        <v>8.4779999999999998</v>
      </c>
    </row>
    <row r="218" spans="1:5" x14ac:dyDescent="0.3">
      <c r="A218" s="72"/>
    </row>
    <row r="219" spans="1:5" x14ac:dyDescent="0.3">
      <c r="A219" s="8" t="s">
        <v>155</v>
      </c>
      <c r="B219" s="8">
        <v>0.11</v>
      </c>
    </row>
    <row r="220" spans="1:5" x14ac:dyDescent="0.3">
      <c r="A220" s="8" t="s">
        <v>156</v>
      </c>
      <c r="B220" s="8">
        <v>0.21</v>
      </c>
    </row>
    <row r="221" spans="1:5" x14ac:dyDescent="0.3">
      <c r="A221" s="73" t="s">
        <v>158</v>
      </c>
      <c r="B221" s="8">
        <v>0.24</v>
      </c>
    </row>
    <row r="223" spans="1:5" x14ac:dyDescent="0.3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3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3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3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3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3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3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3">
      <c r="A231" s="8" t="s">
        <v>188</v>
      </c>
      <c r="B231" s="8">
        <v>265</v>
      </c>
    </row>
    <row r="234" spans="1:5" ht="15" customHeight="1" x14ac:dyDescent="0.3">
      <c r="A234" s="41"/>
      <c r="B234" s="41" t="s">
        <v>203</v>
      </c>
      <c r="C234" s="41"/>
      <c r="D234" s="41" t="s">
        <v>204</v>
      </c>
      <c r="E234" s="41"/>
    </row>
    <row r="235" spans="1:5" ht="15.6" x14ac:dyDescent="0.3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3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3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3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3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3">
      <c r="A241" s="41"/>
      <c r="B241" s="41" t="s">
        <v>203</v>
      </c>
      <c r="C241" s="41" t="s">
        <v>204</v>
      </c>
    </row>
    <row r="242" spans="1:3" ht="18.75" customHeight="1" x14ac:dyDescent="0.4">
      <c r="A242" s="41" t="s">
        <v>213</v>
      </c>
      <c r="B242" s="41" t="s">
        <v>214</v>
      </c>
      <c r="C242" s="41" t="s">
        <v>214</v>
      </c>
    </row>
    <row r="243" spans="1:3" x14ac:dyDescent="0.3">
      <c r="A243" s="41">
        <v>1</v>
      </c>
      <c r="B243" s="41">
        <v>2.7</v>
      </c>
      <c r="C243" s="41">
        <v>2.4</v>
      </c>
    </row>
    <row r="244" spans="1:3" x14ac:dyDescent="0.3">
      <c r="A244" s="41">
        <v>2</v>
      </c>
      <c r="B244" s="41">
        <v>4.2</v>
      </c>
      <c r="C244" s="41">
        <v>3.72</v>
      </c>
    </row>
    <row r="245" spans="1:3" x14ac:dyDescent="0.3">
      <c r="A245" s="41">
        <v>3</v>
      </c>
      <c r="B245" s="41">
        <v>5.6</v>
      </c>
      <c r="C245" s="41">
        <v>5.04</v>
      </c>
    </row>
    <row r="246" spans="1:3" x14ac:dyDescent="0.3">
      <c r="A246" s="41">
        <v>4</v>
      </c>
      <c r="B246" s="41">
        <v>7.1</v>
      </c>
      <c r="C246" s="41">
        <v>6.36</v>
      </c>
    </row>
    <row r="247" spans="1:3" x14ac:dyDescent="0.3">
      <c r="A247" s="41">
        <v>5</v>
      </c>
      <c r="B247" s="41">
        <v>7.4</v>
      </c>
      <c r="C247" s="41">
        <v>6.6</v>
      </c>
    </row>
    <row r="248" spans="1:3" x14ac:dyDescent="0.3">
      <c r="A248" s="41">
        <v>6</v>
      </c>
      <c r="B248" s="41">
        <v>8.6</v>
      </c>
      <c r="C248" s="41">
        <v>7.7</v>
      </c>
    </row>
    <row r="249" spans="1:3" x14ac:dyDescent="0.3">
      <c r="A249" s="41">
        <v>7</v>
      </c>
      <c r="B249" s="41">
        <v>9.8000000000000007</v>
      </c>
      <c r="C249" s="41">
        <v>8.8000000000000007</v>
      </c>
    </row>
    <row r="250" spans="1:3" x14ac:dyDescent="0.3">
      <c r="A250" s="41">
        <v>8</v>
      </c>
      <c r="B250" s="41">
        <v>11.1</v>
      </c>
      <c r="C250" s="41">
        <v>9.9</v>
      </c>
    </row>
    <row r="251" spans="1:3" x14ac:dyDescent="0.3">
      <c r="A251" s="41">
        <v>9</v>
      </c>
      <c r="B251" s="41">
        <v>12.3</v>
      </c>
      <c r="C251" s="41">
        <v>11</v>
      </c>
    </row>
    <row r="252" spans="1:3" x14ac:dyDescent="0.3">
      <c r="A252" s="41">
        <v>10</v>
      </c>
      <c r="B252" s="41">
        <v>13.5</v>
      </c>
      <c r="C252" s="41">
        <v>12.1</v>
      </c>
    </row>
    <row r="253" spans="1:3" x14ac:dyDescent="0.3">
      <c r="A253" s="41">
        <v>11</v>
      </c>
      <c r="B253" s="41">
        <v>13.9</v>
      </c>
      <c r="C253" s="41">
        <v>12.46</v>
      </c>
    </row>
    <row r="254" spans="1:3" x14ac:dyDescent="0.3">
      <c r="A254" s="41">
        <v>12</v>
      </c>
      <c r="B254" s="41">
        <v>14.3</v>
      </c>
      <c r="C254" s="41">
        <v>12.82</v>
      </c>
    </row>
    <row r="255" spans="1:3" x14ac:dyDescent="0.3">
      <c r="A255" s="41">
        <v>13</v>
      </c>
      <c r="B255" s="41">
        <v>14.7</v>
      </c>
      <c r="C255" s="41">
        <v>13.18</v>
      </c>
    </row>
    <row r="256" spans="1:3" x14ac:dyDescent="0.3">
      <c r="A256" s="41">
        <v>14</v>
      </c>
      <c r="B256" s="41">
        <v>15.1</v>
      </c>
      <c r="C256" s="41">
        <v>13.54</v>
      </c>
    </row>
    <row r="257" spans="1:3" x14ac:dyDescent="0.3">
      <c r="A257" s="41">
        <v>15</v>
      </c>
      <c r="B257" s="41">
        <v>15.6</v>
      </c>
      <c r="C257" s="41">
        <v>13.9</v>
      </c>
    </row>
    <row r="258" spans="1:3" x14ac:dyDescent="0.3">
      <c r="A258" s="41">
        <v>16</v>
      </c>
      <c r="B258" s="41">
        <v>15.6</v>
      </c>
      <c r="C258" s="41">
        <v>13.98</v>
      </c>
    </row>
    <row r="259" spans="1:3" x14ac:dyDescent="0.3">
      <c r="A259" s="41">
        <v>17</v>
      </c>
      <c r="B259" s="41">
        <v>15.7</v>
      </c>
      <c r="C259" s="41">
        <v>14.06</v>
      </c>
    </row>
    <row r="260" spans="1:3" x14ac:dyDescent="0.3">
      <c r="A260" s="41">
        <v>18</v>
      </c>
      <c r="B260" s="41">
        <v>15.8</v>
      </c>
      <c r="C260" s="41">
        <v>14.14</v>
      </c>
    </row>
    <row r="261" spans="1:3" x14ac:dyDescent="0.3">
      <c r="A261" s="41">
        <v>19</v>
      </c>
      <c r="B261" s="41">
        <v>15.9</v>
      </c>
      <c r="C261" s="41">
        <v>14.22</v>
      </c>
    </row>
    <row r="262" spans="1:3" x14ac:dyDescent="0.3">
      <c r="A262" s="41">
        <v>20</v>
      </c>
      <c r="B262" s="41">
        <v>16</v>
      </c>
      <c r="C262" s="41">
        <v>14.3</v>
      </c>
    </row>
    <row r="264" spans="1:3" ht="15" customHeight="1" x14ac:dyDescent="0.3">
      <c r="A264" s="41" t="s">
        <v>8</v>
      </c>
      <c r="B264" s="41" t="s">
        <v>220</v>
      </c>
      <c r="C264" s="41" t="s">
        <v>221</v>
      </c>
    </row>
    <row r="265" spans="1:3" x14ac:dyDescent="0.3">
      <c r="A265" s="41" t="s">
        <v>2</v>
      </c>
      <c r="B265" s="74">
        <v>34.299999999999997</v>
      </c>
      <c r="C265" s="74">
        <v>34</v>
      </c>
    </row>
    <row r="266" spans="1:3" x14ac:dyDescent="0.3">
      <c r="A266" s="41" t="s">
        <v>1</v>
      </c>
      <c r="B266" s="74">
        <v>49.5</v>
      </c>
      <c r="C266" s="74">
        <v>85</v>
      </c>
    </row>
    <row r="267" spans="1:3" x14ac:dyDescent="0.3">
      <c r="A267" s="41" t="s">
        <v>0</v>
      </c>
      <c r="B267" s="74">
        <v>43.1</v>
      </c>
      <c r="C267" s="74">
        <v>52</v>
      </c>
    </row>
    <row r="268" spans="1:3" x14ac:dyDescent="0.3">
      <c r="A268" s="41" t="s">
        <v>217</v>
      </c>
      <c r="B268" s="41" t="s">
        <v>218</v>
      </c>
      <c r="C268" s="41" t="s">
        <v>219</v>
      </c>
    </row>
    <row r="270" spans="1:3" ht="15" customHeight="1" x14ac:dyDescent="0.3">
      <c r="A270" s="41" t="s">
        <v>8</v>
      </c>
      <c r="B270" s="41" t="s">
        <v>222</v>
      </c>
      <c r="C270" s="41" t="s">
        <v>221</v>
      </c>
    </row>
    <row r="271" spans="1:3" x14ac:dyDescent="0.3">
      <c r="A271" s="41" t="s">
        <v>210</v>
      </c>
      <c r="B271" s="41">
        <v>41.5</v>
      </c>
      <c r="C271" s="41">
        <v>47</v>
      </c>
    </row>
    <row r="272" spans="1:3" x14ac:dyDescent="0.3">
      <c r="A272" s="41" t="s">
        <v>217</v>
      </c>
      <c r="B272" s="41" t="s">
        <v>218</v>
      </c>
      <c r="C272" s="41" t="s">
        <v>219</v>
      </c>
    </row>
    <row r="275" spans="1:2" x14ac:dyDescent="0.3">
      <c r="A275" s="41" t="s">
        <v>226</v>
      </c>
      <c r="B275" s="41">
        <v>0.49</v>
      </c>
    </row>
    <row r="277" spans="1:2" x14ac:dyDescent="0.3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Garance LE GUERROUE</cp:lastModifiedBy>
  <dcterms:created xsi:type="dcterms:W3CDTF">2020-09-28T09:31:11Z</dcterms:created>
  <dcterms:modified xsi:type="dcterms:W3CDTF">2022-10-25T12:36:56Z</dcterms:modified>
</cp:coreProperties>
</file>