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4-2025/#HERMOUET/DE TINGUY/"/>
    </mc:Choice>
  </mc:AlternateContent>
  <xr:revisionPtr revIDLastSave="12" documentId="14_{646EE6A6-6C4B-4F48-BF16-A200A42ACF18}" xr6:coauthVersionLast="47" xr6:coauthVersionMax="47" xr10:uidLastSave="{EC165540-BD06-4D5B-9703-67ABF0B8711D}"/>
  <bookViews>
    <workbookView xWindow="33735" yWindow="1500" windowWidth="14610" windowHeight="1558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B7" i="2"/>
  <c r="HI7" i="2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FS20" i="2"/>
  <c r="EV20" i="2"/>
  <c r="EC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EW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FS38" i="2"/>
  <c r="EX38" i="2"/>
  <c r="HI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FS57" i="2"/>
  <c r="EV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W60" i="2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HI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EA75" i="2"/>
  <c r="HH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EV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W85" i="2" l="1"/>
  <c r="HH85" i="2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X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EA105" i="2"/>
  <c r="EB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C112" i="2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FS113" i="2"/>
  <c r="EC113" i="2"/>
  <c r="EB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V114" i="2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S118" i="2"/>
  <c r="EC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EX120" i="2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FS124" i="2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FS130" i="2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HG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B139" i="2"/>
  <c r="EA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FS141" i="2"/>
  <c r="EA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EB144" i="2"/>
  <c r="HH144" i="2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X145" i="2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A146" i="2"/>
  <c r="HH146" i="2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G150" i="2" l="1"/>
  <c r="HH150" i="2"/>
  <c r="EC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W155" i="2" l="1"/>
  <c r="EY154" i="2"/>
  <c r="ED154" i="2"/>
  <c r="EX155" i="2"/>
  <c r="DI154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H156" i="2" l="1"/>
  <c r="FS156" i="2"/>
  <c r="ED155" i="2"/>
  <c r="EB156" i="2"/>
  <c r="AB156" i="2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H157" i="2" l="1"/>
  <c r="EX157" i="2"/>
  <c r="EA157" i="2"/>
  <c r="CN156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D157" i="2"/>
  <c r="HH158" i="2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I160" i="2" l="1"/>
  <c r="EY159" i="2"/>
  <c r="DG160" i="2"/>
  <c r="FS160" i="2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ED160" i="2"/>
  <c r="EA161" i="2"/>
  <c r="EB161" i="2"/>
  <c r="FS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Y161" i="2"/>
  <c r="EW162" i="2"/>
  <c r="EB162" i="2"/>
  <c r="DI161" i="2"/>
  <c r="HH162" i="2"/>
  <c r="EC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D162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HH164" i="2"/>
  <c r="EY163" i="2"/>
  <c r="FR164" i="2"/>
  <c r="DI163" i="2"/>
  <c r="DH164" i="2"/>
  <c r="HG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X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EY166" i="2"/>
  <c r="EA167" i="2"/>
  <c r="EB167" i="2"/>
  <c r="DG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EB168" i="2"/>
  <c r="DI167" i="2"/>
  <c r="DG168" i="2"/>
  <c r="EC168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Y168" i="2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Y171" i="2"/>
  <c r="EA172" i="2"/>
  <c r="EV172" i="2"/>
  <c r="ED171" i="2"/>
  <c r="EB172" i="2"/>
  <c r="HG172" i="2"/>
  <c r="EW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W173" i="2"/>
  <c r="EX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D174" i="2"/>
  <c r="EB175" i="2"/>
  <c r="EW175" i="2"/>
  <c r="EA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Y175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EW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FS178" i="2"/>
  <c r="EW178" i="2"/>
  <c r="EA178" i="2"/>
  <c r="EB178" i="2"/>
  <c r="ED177" i="2"/>
  <c r="HH178" i="2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I179" i="2" l="1"/>
  <c r="ED178" i="2"/>
  <c r="EB179" i="2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Y179" i="2"/>
  <c r="EX180" i="2"/>
  <c r="ED179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W181" i="2"/>
  <c r="ED180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I185" i="2" l="1"/>
  <c r="EY184" i="2"/>
  <c r="EW185" i="2"/>
  <c r="EB185" i="2"/>
  <c r="HH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W186" i="2"/>
  <c r="EA186" i="2"/>
  <c r="ED185" i="2"/>
  <c r="EB186" i="2"/>
  <c r="FR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HH189" i="2" l="1"/>
  <c r="EY188" i="2"/>
  <c r="AA189" i="2"/>
  <c r="EB189" i="2"/>
  <c r="EV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H190" i="2" l="1"/>
  <c r="EY189" i="2"/>
  <c r="EV190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ED190" i="2"/>
  <c r="HH191" i="2"/>
  <c r="EW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I192" i="2" l="1"/>
  <c r="EC192" i="2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EB193" i="2"/>
  <c r="EA193" i="2"/>
  <c r="DI192" i="2"/>
  <c r="EX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G194" i="2" l="1"/>
  <c r="HI194" i="2"/>
  <c r="FQ194" i="2"/>
  <c r="EB194" i="2"/>
  <c r="ED193" i="2"/>
  <c r="EA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G195" i="2" l="1"/>
  <c r="HI195" i="2"/>
  <c r="ED194" i="2"/>
  <c r="AA195" i="2"/>
  <c r="EX195" i="2"/>
  <c r="EY194" i="2"/>
  <c r="EB195" i="2"/>
  <c r="EA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H196" i="2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H197" i="2" l="1"/>
  <c r="AA197" i="2"/>
  <c r="FS197" i="2"/>
  <c r="EY196" i="2"/>
  <c r="EA197" i="2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D197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FS199" i="2"/>
  <c r="EV199" i="2"/>
  <c r="EW199" i="2"/>
  <c r="EA199" i="2"/>
  <c r="HH199" i="2"/>
  <c r="EB199" i="2"/>
  <c r="HG199" i="2"/>
  <c r="HJ199" i="2" s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EY200" i="2" l="1"/>
  <c r="ED200" i="2"/>
  <c r="FS201" i="2"/>
  <c r="DI200" i="2"/>
  <c r="EA201" i="2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HI202" i="2" l="1"/>
  <c r="FS202" i="2"/>
  <c r="EY201" i="2"/>
  <c r="EW202" i="2"/>
  <c r="ED201" i="2"/>
  <c r="HG202" i="2"/>
  <c r="FR202" i="2"/>
  <c r="EX202" i="2"/>
  <c r="HH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BC47" i="2" a="1"/>
  <c r="BC47" i="2" s="1"/>
  <c r="BC126" i="2" a="1"/>
  <c r="BC126" i="2" s="1"/>
  <c r="BC65" i="2" a="1"/>
  <c r="BC65" i="2" s="1"/>
  <c r="BC181" i="2" a="1"/>
  <c r="BC181" i="2" s="1"/>
  <c r="DN56" i="2" a="1"/>
  <c r="DN56" i="2" s="1"/>
  <c r="GT181" i="2" a="1"/>
  <c r="GT181" i="2" s="1"/>
  <c r="DN155" i="2" a="1"/>
  <c r="DN155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29" i="2" a="1"/>
  <c r="DN129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03" i="2" a="1"/>
  <c r="DN103" i="2" s="1"/>
  <c r="DN114" i="2" a="1"/>
  <c r="DN114" i="2" s="1"/>
  <c r="CS105" i="2" a="1"/>
  <c r="CS105" i="2" s="1"/>
  <c r="FY30" i="2" a="1"/>
  <c r="FY30" i="2" s="1"/>
  <c r="FY142" i="2" a="1"/>
  <c r="FY142" i="2" s="1"/>
  <c r="FD48" i="2" a="1"/>
  <c r="FD48" i="2" s="1"/>
  <c r="FD159" i="2" a="1"/>
  <c r="FD159" i="2" s="1"/>
  <c r="BC38" i="2" a="1"/>
  <c r="BC38" i="2" s="1"/>
  <c r="BC18" i="2" a="1"/>
  <c r="BC18" i="2" s="1"/>
  <c r="DN63" i="2" a="1"/>
  <c r="DN63" i="2" s="1"/>
  <c r="GT107" i="2" a="1"/>
  <c r="GT107" i="2" s="1"/>
  <c r="EI139" i="2" a="1"/>
  <c r="EI139" i="2" s="1"/>
  <c r="EI37" i="2" a="1"/>
  <c r="EI37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65" i="2" a="1"/>
  <c r="DN65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BX107" i="2" a="1"/>
  <c r="BX107" i="2" s="1"/>
  <c r="FD82" i="2" a="1"/>
  <c r="FD82" i="2" s="1"/>
  <c r="DN187" i="2" a="1"/>
  <c r="DN187" i="2" s="1"/>
  <c r="HJ202" i="2"/>
  <c r="AX200" i="2"/>
  <c r="GT189" i="2" l="1" a="1"/>
  <c r="GT189" i="2" s="1"/>
  <c r="EI113" i="2" a="1"/>
  <c r="EI113" i="2" s="1"/>
  <c r="GT198" i="2" a="1"/>
  <c r="GT198" i="2" s="1"/>
  <c r="GT152" i="2" a="1"/>
  <c r="GT152" i="2" s="1"/>
  <c r="FY190" i="2" a="1"/>
  <c r="FY190" i="2" s="1"/>
  <c r="GT147" i="2" a="1"/>
  <c r="GT147" i="2" s="1"/>
  <c r="EI20" i="2" a="1"/>
  <c r="EI20" i="2" s="1"/>
  <c r="GT33" i="2" a="1"/>
  <c r="GT33" i="2" s="1"/>
  <c r="GT38" i="2" a="1"/>
  <c r="GT38" i="2" s="1"/>
  <c r="GT102" i="2" a="1"/>
  <c r="GT102" i="2" s="1"/>
  <c r="EI16" i="2" a="1"/>
  <c r="EI16" i="2" s="1"/>
  <c r="FY104" i="2" a="1"/>
  <c r="FY104" i="2" s="1"/>
  <c r="GT21" i="2" a="1"/>
  <c r="GT21" i="2" s="1"/>
  <c r="FY78" i="2" a="1"/>
  <c r="FY78" i="2" s="1"/>
  <c r="EI87" i="2" a="1"/>
  <c r="EI87" i="2" s="1"/>
  <c r="GT12" i="2" a="1"/>
  <c r="GT12" i="2" s="1"/>
  <c r="GT133" i="2" a="1"/>
  <c r="GT133" i="2" s="1"/>
  <c r="FY186" i="2" a="1"/>
  <c r="FY186" i="2" s="1"/>
  <c r="GT191" i="2" a="1"/>
  <c r="GT191" i="2" s="1"/>
  <c r="EI109" i="2" a="1"/>
  <c r="EI109" i="2" s="1"/>
  <c r="GT121" i="2" a="1"/>
  <c r="GT121" i="2" s="1"/>
  <c r="FY69" i="2" a="1"/>
  <c r="FY69" i="2" s="1"/>
  <c r="GT174" i="2" a="1"/>
  <c r="GT174" i="2" s="1"/>
  <c r="GT115" i="2" a="1"/>
  <c r="GT115" i="2" s="1"/>
  <c r="EI67" i="2" a="1"/>
  <c r="EI67" i="2" s="1"/>
  <c r="EI38" i="2" a="1"/>
  <c r="EI38" i="2" s="1"/>
  <c r="GT122" i="2" a="1"/>
  <c r="GT122" i="2" s="1"/>
  <c r="FY35" i="2" a="1"/>
  <c r="FY35" i="2" s="1"/>
  <c r="GT190" i="2" a="1"/>
  <c r="GT190" i="2" s="1"/>
  <c r="FY196" i="2" a="1"/>
  <c r="FY196" i="2" s="1"/>
  <c r="GT11" i="2" a="1"/>
  <c r="GT11" i="2" s="1"/>
  <c r="EI170" i="2" a="1"/>
  <c r="EI170" i="2" s="1"/>
  <c r="GT15" i="2" a="1"/>
  <c r="GT15" i="2" s="1"/>
  <c r="GT51" i="2" a="1"/>
  <c r="GT51" i="2" s="1"/>
  <c r="FY50" i="2" a="1"/>
  <c r="FY50" i="2" s="1"/>
  <c r="GT184" i="2" a="1"/>
  <c r="GT184" i="2" s="1"/>
  <c r="GT126" i="2" a="1"/>
  <c r="GT126" i="2" s="1"/>
  <c r="GT74" i="2" a="1"/>
  <c r="GT74" i="2" s="1"/>
  <c r="GT178" i="2" a="1"/>
  <c r="GT178" i="2" s="1"/>
  <c r="GT138" i="2" a="1"/>
  <c r="GT138" i="2" s="1"/>
  <c r="FD160" i="2" a="1"/>
  <c r="FD160" i="2" s="1"/>
  <c r="GT68" i="2" a="1"/>
  <c r="GT68" i="2" s="1"/>
  <c r="EI128" i="2" a="1"/>
  <c r="EI128" i="2" s="1"/>
  <c r="EI195" i="2" a="1"/>
  <c r="EI195" i="2" s="1"/>
  <c r="EI34" i="2" a="1"/>
  <c r="EI34" i="2" s="1"/>
  <c r="EI165" i="2" a="1"/>
  <c r="EI165" i="2" s="1"/>
  <c r="EI142" i="2" a="1"/>
  <c r="EI142" i="2" s="1"/>
  <c r="EI71" i="2" a="1"/>
  <c r="EI71" i="2" s="1"/>
  <c r="EI106" i="2" a="1"/>
  <c r="EI106" i="2" s="1"/>
  <c r="EI57" i="2" a="1"/>
  <c r="EI57" i="2" s="1"/>
  <c r="EI166" i="2" a="1"/>
  <c r="EI166" i="2" s="1"/>
  <c r="EI35" i="2" a="1"/>
  <c r="EI35" i="2" s="1"/>
  <c r="EI36" i="2" a="1"/>
  <c r="EI36" i="2" s="1"/>
  <c r="CS161" i="2" a="1"/>
  <c r="CS161" i="2" s="1"/>
  <c r="DN170" i="2" a="1"/>
  <c r="DN170" i="2" s="1"/>
  <c r="DN124" i="2" a="1"/>
  <c r="DN124" i="2" s="1"/>
  <c r="DN190" i="2" a="1"/>
  <c r="DN190" i="2" s="1"/>
  <c r="DN135" i="2" a="1"/>
  <c r="DN135" i="2" s="1"/>
  <c r="DN123" i="2" a="1"/>
  <c r="DN123" i="2" s="1"/>
  <c r="DN50" i="2" a="1"/>
  <c r="DN50" i="2" s="1"/>
  <c r="DN133" i="2" a="1"/>
  <c r="DN133" i="2" s="1"/>
  <c r="DN38" i="2" a="1"/>
  <c r="DN38" i="2" s="1"/>
  <c r="DN113" i="2" a="1"/>
  <c r="DN113" i="2" s="1"/>
  <c r="DN80" i="2" a="1"/>
  <c r="DN80" i="2" s="1"/>
  <c r="DN150" i="2" a="1"/>
  <c r="DN150" i="2" s="1"/>
  <c r="DN25" i="2" a="1"/>
  <c r="DN25" i="2" s="1"/>
  <c r="DN70" i="2" a="1"/>
  <c r="DN70" i="2" s="1"/>
  <c r="DN168" i="2" a="1"/>
  <c r="DN168" i="2" s="1"/>
  <c r="DN192" i="2" a="1"/>
  <c r="DN192" i="2" s="1"/>
  <c r="DN184" i="2" a="1"/>
  <c r="DN184" i="2" s="1"/>
  <c r="BC7" i="2" a="1"/>
  <c r="BC7" i="2" s="1"/>
  <c r="BC185" i="2" a="1"/>
  <c r="BC185" i="2" s="1"/>
  <c r="BC83" i="2" a="1"/>
  <c r="BC83" i="2" s="1"/>
  <c r="BC143" i="2" a="1"/>
  <c r="BC143" i="2" s="1"/>
  <c r="BC151" i="2" a="1"/>
  <c r="BC151" i="2" s="1"/>
  <c r="BC68" i="2" a="1"/>
  <c r="BC68" i="2" s="1"/>
  <c r="FD167" i="2" a="1"/>
  <c r="FD167" i="2" s="1"/>
  <c r="FD189" i="2" a="1"/>
  <c r="FD189" i="2" s="1"/>
  <c r="FD188" i="2" a="1"/>
  <c r="FD188" i="2" s="1"/>
  <c r="CS120" i="2" a="1"/>
  <c r="CS120" i="2" s="1"/>
  <c r="CS66" i="2" a="1"/>
  <c r="CS66" i="2" s="1"/>
  <c r="CS114" i="2" a="1"/>
  <c r="CS114" i="2" s="1"/>
  <c r="CS134" i="2" a="1"/>
  <c r="CS134" i="2" s="1"/>
  <c r="CS116" i="2" a="1"/>
  <c r="CS116" i="2" s="1"/>
  <c r="CS72" i="2" a="1"/>
  <c r="CS72" i="2" s="1"/>
  <c r="CS24" i="2" a="1"/>
  <c r="CS24" i="2" s="1"/>
  <c r="CS137" i="2" a="1"/>
  <c r="CS137" i="2" s="1"/>
  <c r="CS185" i="2" a="1"/>
  <c r="CS185" i="2" s="1"/>
  <c r="CS77" i="2" a="1"/>
  <c r="CS77" i="2" s="1"/>
  <c r="CS56" i="2" a="1"/>
  <c r="CS56" i="2" s="1"/>
  <c r="CS38" i="2" a="1"/>
  <c r="CS38" i="2" s="1"/>
  <c r="BC31" i="2" a="1"/>
  <c r="BC31" i="2" s="1"/>
  <c r="BC58" i="2" a="1"/>
  <c r="BC58" i="2" s="1"/>
  <c r="BC84" i="2" a="1"/>
  <c r="BC84" i="2" s="1"/>
  <c r="BC32" i="2" a="1"/>
  <c r="BC32" i="2" s="1"/>
  <c r="BC164" i="2" a="1"/>
  <c r="BC164" i="2" s="1"/>
  <c r="BC192" i="2" a="1"/>
  <c r="BC192" i="2" s="1"/>
  <c r="BC55" i="2" a="1"/>
  <c r="BC55" i="2" s="1"/>
  <c r="BC130" i="2" a="1"/>
  <c r="BC130" i="2" s="1"/>
  <c r="BC117" i="2" a="1"/>
  <c r="BC117" i="2" s="1"/>
  <c r="CS129" i="2" a="1"/>
  <c r="CS129" i="2" s="1"/>
  <c r="CS52" i="2" a="1"/>
  <c r="CS52" i="2" s="1"/>
  <c r="BC34" i="2" a="1"/>
  <c r="BC34" i="2" s="1"/>
  <c r="BC114" i="2" a="1"/>
  <c r="BC114" i="2" s="1"/>
  <c r="BC82" i="2" a="1"/>
  <c r="BC82" i="2" s="1"/>
  <c r="AH163" i="2" a="1"/>
  <c r="AH163" i="2" s="1"/>
  <c r="AH62" i="2" a="1"/>
  <c r="AH62" i="2" s="1"/>
  <c r="AH92" i="2" a="1"/>
  <c r="AH92" i="2" s="1"/>
  <c r="AH199" i="2" a="1"/>
  <c r="AH199" i="2" s="1"/>
  <c r="AH166" i="2" a="1"/>
  <c r="AH166" i="2" s="1"/>
  <c r="AH90" i="2" a="1"/>
  <c r="AH90" i="2" s="1"/>
  <c r="AH19" i="2" a="1"/>
  <c r="AH19" i="2" s="1"/>
  <c r="AH151" i="2" a="1"/>
  <c r="AH151" i="2" s="1"/>
  <c r="FD107" i="2" a="1"/>
  <c r="FD107" i="2" s="1"/>
  <c r="FD44" i="2" a="1"/>
  <c r="FD44" i="2" s="1"/>
  <c r="FY42" i="2" a="1"/>
  <c r="FY42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6" i="2" a="1"/>
  <c r="FY86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Y203" i="2" l="1"/>
  <c r="DI203" i="2"/>
  <c r="ED203" i="2"/>
  <c r="CN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AN100" i="2" l="1"/>
  <c r="AN114" i="2"/>
  <c r="AN106" i="2"/>
  <c r="AN115" i="2"/>
  <c r="AN138" i="2"/>
  <c r="AN3" i="2"/>
  <c r="C7" i="4" s="1"/>
  <c r="E7" i="4" s="1"/>
  <c r="F7" i="4" s="1"/>
  <c r="G7" i="4" s="1"/>
  <c r="L7" i="4" s="1"/>
  <c r="AN120" i="2"/>
  <c r="AN70" i="2"/>
  <c r="AN110" i="2"/>
  <c r="AN154" i="2"/>
  <c r="AN174" i="2"/>
  <c r="AN118" i="2"/>
  <c r="AN41" i="2"/>
  <c r="AN45" i="2"/>
  <c r="AN193" i="2"/>
  <c r="AN34" i="2"/>
  <c r="AN198" i="2"/>
  <c r="AN102" i="2"/>
  <c r="AN30" i="2"/>
  <c r="AN95" i="2"/>
  <c r="AN27" i="2"/>
  <c r="AN153" i="2"/>
  <c r="AN119" i="2"/>
  <c r="AN29" i="2"/>
  <c r="AN107" i="2"/>
  <c r="AN157" i="2"/>
  <c r="AN46" i="2"/>
  <c r="AN43" i="2"/>
  <c r="AN71" i="2"/>
  <c r="AN197" i="2"/>
  <c r="AN65" i="2"/>
  <c r="AN143" i="2"/>
  <c r="AN104" i="2"/>
  <c r="AN133" i="2"/>
  <c r="AN26" i="2"/>
  <c r="AN167" i="2"/>
  <c r="AN164" i="2"/>
  <c r="AN176" i="2"/>
  <c r="AN13" i="2"/>
  <c r="AN51" i="2"/>
  <c r="AN20" i="2"/>
  <c r="AN75" i="2"/>
  <c r="AN16" i="2"/>
  <c r="AN89" i="2"/>
  <c r="AN117" i="2"/>
  <c r="AN142" i="2"/>
  <c r="AN42" i="2"/>
  <c r="AN17" i="2"/>
  <c r="AN155" i="2"/>
  <c r="AN186" i="2"/>
  <c r="AN87" i="2"/>
  <c r="AN172" i="2"/>
  <c r="AN187" i="2"/>
  <c r="AN190" i="2"/>
  <c r="AN189" i="2"/>
  <c r="AN181" i="2"/>
  <c r="AN163" i="2"/>
  <c r="AN121" i="2"/>
  <c r="AN19" i="2"/>
  <c r="AN77" i="2"/>
  <c r="AN8" i="2"/>
  <c r="AN203" i="2"/>
  <c r="AN33" i="2"/>
  <c r="AN14" i="2"/>
  <c r="AN82" i="2"/>
  <c r="AN105" i="2"/>
  <c r="AN165" i="2"/>
  <c r="AN5" i="2"/>
  <c r="AN131" i="2"/>
  <c r="AN166" i="2"/>
  <c r="AN25" i="2"/>
  <c r="AN185" i="2"/>
  <c r="AN53" i="2"/>
  <c r="AN40" i="2"/>
  <c r="AN67" i="2"/>
  <c r="AN139" i="2"/>
  <c r="AN39" i="2"/>
  <c r="AN135" i="2"/>
  <c r="AN57" i="2"/>
  <c r="AN126" i="2"/>
  <c r="AN66" i="2"/>
  <c r="AN9" i="2"/>
  <c r="AN78" i="2"/>
  <c r="AN158" i="2"/>
  <c r="AN196" i="2"/>
  <c r="AN136" i="2"/>
  <c r="AN68" i="2"/>
  <c r="AN86" i="2"/>
  <c r="AN22" i="2"/>
  <c r="AN177" i="2"/>
  <c r="AN62" i="2"/>
  <c r="AN109" i="2"/>
  <c r="AN55" i="2"/>
  <c r="AN132" i="2"/>
  <c r="AN122" i="2"/>
  <c r="AN49" i="2"/>
  <c r="AN141" i="2"/>
  <c r="AN74" i="2"/>
  <c r="AN195" i="2"/>
  <c r="AN92" i="2"/>
  <c r="AN140" i="2"/>
  <c r="AN168" i="2"/>
  <c r="AN182" i="2"/>
  <c r="AN202" i="2"/>
  <c r="AN37" i="2"/>
  <c r="AN58" i="2"/>
  <c r="AN35" i="2"/>
  <c r="AN72" i="2"/>
  <c r="AN127" i="2"/>
  <c r="AN38" i="2"/>
  <c r="AN93" i="2"/>
  <c r="AN130" i="2"/>
  <c r="AN98" i="2"/>
  <c r="AN83" i="2"/>
  <c r="AN18" i="2"/>
  <c r="AN162" i="2"/>
  <c r="AN59" i="2"/>
  <c r="AN12" i="2"/>
  <c r="AN151" i="2"/>
  <c r="AN160" i="2"/>
  <c r="AN149" i="2"/>
  <c r="AN183" i="2"/>
  <c r="AN21" i="2"/>
  <c r="AN112" i="2"/>
  <c r="AN150" i="2"/>
  <c r="AN23" i="2"/>
  <c r="AN50" i="2"/>
  <c r="AN15" i="2"/>
  <c r="AN128" i="2"/>
  <c r="AN7" i="2"/>
  <c r="AN97" i="2"/>
  <c r="AN52" i="2"/>
  <c r="AN28" i="2"/>
  <c r="AN188" i="2"/>
  <c r="AN147" i="2"/>
  <c r="AN145" i="2"/>
  <c r="AN171" i="2"/>
  <c r="AN169" i="2"/>
  <c r="AN175" i="2"/>
  <c r="AN81" i="2"/>
  <c r="AN108" i="2"/>
  <c r="AN32" i="2"/>
  <c r="AN76" i="2"/>
  <c r="AN84" i="2"/>
  <c r="AN113" i="2"/>
  <c r="AN24" i="2"/>
  <c r="AN178" i="2"/>
  <c r="AN156" i="2"/>
  <c r="AN10" i="2"/>
  <c r="AN88" i="2"/>
  <c r="AN161" i="2"/>
  <c r="AN159" i="2"/>
  <c r="AN180" i="2"/>
  <c r="AN179" i="2"/>
  <c r="AN146" i="2"/>
  <c r="AN99" i="2"/>
  <c r="AN129" i="2"/>
  <c r="AN199" i="2"/>
  <c r="AN103" i="2"/>
  <c r="AN60" i="2"/>
  <c r="AN11" i="2"/>
  <c r="AN73" i="2"/>
  <c r="AN61" i="2"/>
  <c r="AN134" i="2"/>
  <c r="AN170" i="2"/>
  <c r="AN152" i="2"/>
  <c r="AN201" i="2"/>
  <c r="AN191" i="2"/>
  <c r="AN63" i="2"/>
  <c r="AN123" i="2"/>
  <c r="AN64" i="2"/>
  <c r="AN192" i="2"/>
  <c r="AN80" i="2"/>
  <c r="AN94" i="2"/>
  <c r="AN48" i="2"/>
  <c r="AN125" i="2"/>
  <c r="AN200" i="2"/>
  <c r="AN85" i="2"/>
  <c r="AN116" i="2"/>
  <c r="AN111" i="2"/>
  <c r="AN124" i="2"/>
  <c r="AN4" i="2"/>
  <c r="AN144" i="2"/>
  <c r="AN69" i="2"/>
  <c r="AN90" i="2"/>
  <c r="AN79" i="2"/>
  <c r="AN148" i="2"/>
  <c r="AN44" i="2"/>
  <c r="AN96" i="2"/>
  <c r="AN101" i="2"/>
  <c r="AN36" i="2"/>
  <c r="AN54" i="2"/>
  <c r="AN194" i="2"/>
  <c r="AN6" i="2"/>
  <c r="AN31" i="2"/>
  <c r="AN47" i="2"/>
  <c r="AN184" i="2"/>
  <c r="AN56" i="2"/>
  <c r="AN173" i="2"/>
  <c r="AN91" i="2"/>
  <c r="AN137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DT144" i="2" l="1"/>
  <c r="DT186" i="2"/>
  <c r="DT176" i="2"/>
  <c r="DT101" i="2"/>
  <c r="DT24" i="2"/>
  <c r="DT135" i="2"/>
  <c r="DT184" i="2"/>
  <c r="DT131" i="2"/>
  <c r="DT21" i="2"/>
  <c r="DT41" i="2"/>
  <c r="DT52" i="2"/>
  <c r="DT50" i="2"/>
  <c r="DT80" i="2"/>
  <c r="DT108" i="2"/>
  <c r="DT38" i="2"/>
  <c r="DT88" i="2"/>
  <c r="DT84" i="2"/>
  <c r="DT37" i="2"/>
  <c r="DT121" i="2"/>
  <c r="DT57" i="2"/>
  <c r="DT69" i="2"/>
  <c r="DT120" i="2"/>
  <c r="DT23" i="2"/>
  <c r="DT125" i="2"/>
  <c r="DT12" i="2"/>
  <c r="DT96" i="2"/>
  <c r="DT163" i="2"/>
  <c r="DT124" i="2"/>
  <c r="DT70" i="2"/>
  <c r="DT159" i="2"/>
  <c r="DT149" i="2"/>
  <c r="DT55" i="2"/>
  <c r="DT164" i="2"/>
  <c r="DT187" i="2"/>
  <c r="DT104" i="2"/>
  <c r="DT67" i="2"/>
  <c r="DT60" i="2"/>
  <c r="DT44" i="2"/>
  <c r="DT198" i="2"/>
  <c r="DT29" i="2"/>
  <c r="DT147" i="2"/>
  <c r="DT31" i="2"/>
  <c r="DT90" i="2"/>
  <c r="DT126" i="2"/>
  <c r="DT113" i="2"/>
  <c r="DT185" i="2"/>
  <c r="DT116" i="2"/>
  <c r="DT28" i="2"/>
  <c r="DT73" i="2"/>
  <c r="DT72" i="2"/>
  <c r="DT39" i="2"/>
  <c r="DT65" i="2"/>
  <c r="DT77" i="2"/>
  <c r="DT111" i="2"/>
  <c r="DT34" i="2"/>
  <c r="DT95" i="2"/>
  <c r="DT203" i="2"/>
  <c r="DT137" i="2"/>
  <c r="DT158" i="2"/>
  <c r="DT152" i="2"/>
  <c r="DT119" i="2"/>
  <c r="DT81" i="2"/>
  <c r="DT36" i="2"/>
  <c r="DT79" i="2"/>
  <c r="DT183" i="2"/>
  <c r="DT86" i="2"/>
  <c r="DT153" i="2"/>
  <c r="DT191" i="2"/>
  <c r="DT146" i="2"/>
  <c r="DT8" i="2"/>
  <c r="DT134" i="2"/>
  <c r="DT62" i="2"/>
  <c r="DT59" i="2"/>
  <c r="DT169" i="2"/>
  <c r="DT189" i="2"/>
  <c r="DT154" i="2"/>
  <c r="DT5" i="2"/>
  <c r="DT178" i="2"/>
  <c r="DT143" i="2"/>
  <c r="DT27" i="2"/>
  <c r="DT32" i="2"/>
  <c r="DT89" i="2"/>
  <c r="DT136" i="2"/>
  <c r="DT195" i="2"/>
  <c r="DT103" i="2"/>
  <c r="DT74" i="2"/>
  <c r="DT22" i="2"/>
  <c r="DT194" i="2"/>
  <c r="DT155" i="2"/>
  <c r="DT58" i="2"/>
  <c r="DT30" i="2"/>
  <c r="DT123" i="2"/>
  <c r="DT11" i="2"/>
  <c r="DT94" i="2"/>
  <c r="DT127" i="2"/>
  <c r="DT139" i="2"/>
  <c r="DT87" i="2"/>
  <c r="DT148" i="2"/>
  <c r="DT98" i="2"/>
  <c r="DT172" i="2"/>
  <c r="DT112" i="2"/>
  <c r="DT102" i="2"/>
  <c r="DT162" i="2"/>
  <c r="DT92" i="2"/>
  <c r="DT200" i="2"/>
  <c r="DT168" i="2"/>
  <c r="DT114" i="2"/>
  <c r="DT150" i="2"/>
  <c r="DT91" i="2"/>
  <c r="DT64" i="2"/>
  <c r="DT201" i="2"/>
  <c r="DT115" i="2"/>
  <c r="DT161" i="2"/>
  <c r="DT182" i="2"/>
  <c r="DT17" i="2"/>
  <c r="DT51" i="2"/>
  <c r="DT156" i="2"/>
  <c r="DT47" i="2"/>
  <c r="DT99" i="2"/>
  <c r="DT197" i="2"/>
  <c r="DT109" i="2"/>
  <c r="DT130" i="2"/>
  <c r="DT106" i="2"/>
  <c r="DT105" i="2"/>
  <c r="DT66" i="2"/>
  <c r="DT25" i="2"/>
  <c r="DT151" i="2"/>
  <c r="DT160" i="2"/>
  <c r="DT132" i="2"/>
  <c r="DT171" i="2"/>
  <c r="DT42" i="2"/>
  <c r="DT13" i="2"/>
  <c r="DT165" i="2"/>
  <c r="DT9" i="2"/>
  <c r="DT100" i="2"/>
  <c r="DT140" i="2"/>
  <c r="DT170" i="2"/>
  <c r="DT7" i="2"/>
  <c r="DT26" i="2"/>
  <c r="DT33" i="2"/>
  <c r="DT49" i="2"/>
  <c r="DT18" i="2"/>
  <c r="DT20" i="2"/>
  <c r="DT43" i="2"/>
  <c r="DT145" i="2"/>
  <c r="DT76" i="2"/>
  <c r="DT93" i="2"/>
  <c r="DT167" i="2"/>
  <c r="DT142" i="2"/>
  <c r="DT68" i="2"/>
  <c r="DT117" i="2"/>
  <c r="DT179" i="2"/>
  <c r="DT40" i="2"/>
  <c r="DT14" i="2"/>
  <c r="DT157" i="2"/>
  <c r="DT175" i="2"/>
  <c r="DT122" i="2"/>
  <c r="DT15" i="2"/>
  <c r="DT196" i="2"/>
  <c r="DT118" i="2"/>
  <c r="DT16" i="2"/>
  <c r="DT166" i="2"/>
  <c r="DT53" i="2"/>
  <c r="DT56" i="2"/>
  <c r="DT193" i="2"/>
  <c r="DT174" i="2"/>
  <c r="DT63" i="2"/>
  <c r="DT110" i="2"/>
  <c r="DT199" i="2"/>
  <c r="DT133" i="2"/>
  <c r="DT188" i="2"/>
  <c r="DT181" i="2"/>
  <c r="DT192" i="2"/>
  <c r="DT19" i="2"/>
  <c r="DT177" i="2"/>
  <c r="DT202" i="2"/>
  <c r="DT180" i="2"/>
  <c r="DT128" i="2"/>
  <c r="DT48" i="2"/>
  <c r="DT71" i="2"/>
  <c r="DT6" i="2"/>
  <c r="DT46" i="2"/>
  <c r="DT107" i="2"/>
  <c r="DT3" i="2"/>
  <c r="C11" i="4" s="1"/>
  <c r="E11" i="4" s="1"/>
  <c r="F11" i="4" s="1"/>
  <c r="G11" i="4" s="1"/>
  <c r="L11" i="4" s="1"/>
  <c r="DT97" i="2"/>
  <c r="DT141" i="2"/>
  <c r="DT4" i="2"/>
  <c r="DT129" i="2"/>
  <c r="DT82" i="2"/>
  <c r="DT173" i="2"/>
  <c r="DT10" i="2"/>
  <c r="DT83" i="2"/>
  <c r="DT61" i="2"/>
  <c r="DT138" i="2"/>
  <c r="DT35" i="2"/>
  <c r="DT85" i="2"/>
  <c r="DT78" i="2"/>
  <c r="DT75" i="2"/>
  <c r="DT45" i="2"/>
  <c r="DT54" i="2"/>
  <c r="DT190" i="2"/>
  <c r="CD153" i="2"/>
  <c r="CD134" i="2"/>
  <c r="CD189" i="2"/>
  <c r="CD51" i="2"/>
  <c r="CD186" i="2"/>
  <c r="CD21" i="2"/>
  <c r="CD32" i="2"/>
  <c r="CD65" i="2"/>
  <c r="CD201" i="2"/>
  <c r="CD177" i="2"/>
  <c r="CD182" i="2"/>
  <c r="CD37" i="2"/>
  <c r="CD11" i="2"/>
  <c r="CD10" i="2"/>
  <c r="CD64" i="2"/>
  <c r="CD171" i="2"/>
  <c r="CD78" i="2"/>
  <c r="CD136" i="2"/>
  <c r="CD174" i="2"/>
  <c r="CD73" i="2"/>
  <c r="CD33" i="2"/>
  <c r="CD50" i="2"/>
  <c r="CD97" i="2"/>
  <c r="CD25" i="2"/>
  <c r="CD167" i="2"/>
  <c r="CD118" i="2"/>
  <c r="CD100" i="2"/>
  <c r="CD57" i="2"/>
  <c r="CD44" i="2"/>
  <c r="CD103" i="2"/>
  <c r="CD49" i="2"/>
  <c r="CD7" i="2"/>
  <c r="CD93" i="2"/>
  <c r="CD131" i="2"/>
  <c r="CD168" i="2"/>
  <c r="CD162" i="2"/>
  <c r="CD80" i="2"/>
  <c r="CD116" i="2"/>
  <c r="CD197" i="2"/>
  <c r="CD176" i="2"/>
  <c r="CD183" i="2"/>
  <c r="CD140" i="2"/>
  <c r="CD58" i="2"/>
  <c r="CD155" i="2"/>
  <c r="CD196" i="2"/>
  <c r="CD137" i="2"/>
  <c r="CD160" i="2"/>
  <c r="CD191" i="2"/>
  <c r="CD139" i="2"/>
  <c r="CD66" i="2"/>
  <c r="CD76" i="2"/>
  <c r="CD20" i="2"/>
  <c r="CD114" i="2"/>
  <c r="CD36" i="2"/>
  <c r="CD3" i="2"/>
  <c r="C9" i="4" s="1"/>
  <c r="E9" i="4" s="1"/>
  <c r="F9" i="4" s="1"/>
  <c r="G9" i="4" s="1"/>
  <c r="L9" i="4" s="1"/>
  <c r="CD124" i="2"/>
  <c r="CD113" i="2"/>
  <c r="CD119" i="2"/>
  <c r="CD106" i="2"/>
  <c r="CD56" i="2"/>
  <c r="CD74" i="2"/>
  <c r="CD120" i="2"/>
  <c r="CD92" i="2"/>
  <c r="CD55" i="2"/>
  <c r="CD67" i="2"/>
  <c r="CD147" i="2"/>
  <c r="CD130" i="2"/>
  <c r="CD62" i="2"/>
  <c r="CD27" i="2"/>
  <c r="CD102" i="2"/>
  <c r="CD70" i="2"/>
  <c r="CD146" i="2"/>
  <c r="CD111" i="2"/>
  <c r="CD48" i="2"/>
  <c r="CD9" i="2"/>
  <c r="CD154" i="2"/>
  <c r="CD121" i="2"/>
  <c r="CD157" i="2"/>
  <c r="CD8" i="2"/>
  <c r="CD53" i="2"/>
  <c r="CD4" i="2"/>
  <c r="CD192" i="2"/>
  <c r="CD170" i="2"/>
  <c r="CD105" i="2"/>
  <c r="CD85" i="2"/>
  <c r="CD82" i="2"/>
  <c r="CD188" i="2"/>
  <c r="CD180" i="2"/>
  <c r="CD89" i="2"/>
  <c r="CD77" i="2"/>
  <c r="CD6" i="2"/>
  <c r="CD94" i="2"/>
  <c r="CD24" i="2"/>
  <c r="CD203" i="2"/>
  <c r="CD173" i="2"/>
  <c r="CD135" i="2"/>
  <c r="CD109" i="2"/>
  <c r="CD29" i="2"/>
  <c r="CD187" i="2"/>
  <c r="CD107" i="2"/>
  <c r="CD61" i="2"/>
  <c r="CD178" i="2"/>
  <c r="CD128" i="2"/>
  <c r="CD142" i="2"/>
  <c r="CD88" i="2"/>
  <c r="CD60" i="2"/>
  <c r="CD75" i="2"/>
  <c r="CD81" i="2"/>
  <c r="CD199" i="2"/>
  <c r="CD132" i="2"/>
  <c r="CD145" i="2"/>
  <c r="CD96" i="2"/>
  <c r="CD28" i="2"/>
  <c r="CD198" i="2"/>
  <c r="CD141" i="2"/>
  <c r="CD184" i="2"/>
  <c r="CD194" i="2"/>
  <c r="CD84" i="2"/>
  <c r="CD175" i="2"/>
  <c r="CD52" i="2"/>
  <c r="CD108" i="2"/>
  <c r="CD126" i="2"/>
  <c r="CD151" i="2"/>
  <c r="CD22" i="2"/>
  <c r="CD150" i="2"/>
  <c r="CD16" i="2"/>
  <c r="CD98" i="2"/>
  <c r="CD144" i="2"/>
  <c r="CD46" i="2"/>
  <c r="CD200" i="2"/>
  <c r="CD125" i="2"/>
  <c r="CD138" i="2"/>
  <c r="CD193" i="2"/>
  <c r="CD159" i="2"/>
  <c r="CD143" i="2"/>
  <c r="CD169" i="2"/>
  <c r="CD38" i="2"/>
  <c r="CD156" i="2"/>
  <c r="CD122" i="2"/>
  <c r="CD99" i="2"/>
  <c r="CD59" i="2"/>
  <c r="CD91" i="2"/>
  <c r="CD71" i="2"/>
  <c r="CD40" i="2"/>
  <c r="CD72" i="2"/>
  <c r="CD23" i="2"/>
  <c r="CD164" i="2"/>
  <c r="CD195" i="2"/>
  <c r="CD79" i="2"/>
  <c r="CD129" i="2"/>
  <c r="CD190" i="2"/>
  <c r="CD68" i="2"/>
  <c r="CD181" i="2"/>
  <c r="CD69" i="2"/>
  <c r="CD148" i="2"/>
  <c r="CD54" i="2"/>
  <c r="CD165" i="2"/>
  <c r="CD179" i="2"/>
  <c r="CD172" i="2"/>
  <c r="CD133" i="2"/>
  <c r="CD166" i="2"/>
  <c r="CD152" i="2"/>
  <c r="CD5" i="2"/>
  <c r="CD158" i="2"/>
  <c r="CD35" i="2"/>
  <c r="CD117" i="2"/>
  <c r="CD26" i="2"/>
  <c r="CD163" i="2"/>
  <c r="CD87" i="2"/>
  <c r="CD202" i="2"/>
  <c r="CD19" i="2"/>
  <c r="CD115" i="2"/>
  <c r="CD185" i="2"/>
  <c r="CD90" i="2"/>
  <c r="CD104" i="2"/>
  <c r="CD42" i="2"/>
  <c r="CD17" i="2"/>
  <c r="CD13" i="2"/>
  <c r="CD45" i="2"/>
  <c r="CD12" i="2"/>
  <c r="CD149" i="2"/>
  <c r="CD30" i="2"/>
  <c r="CD161" i="2"/>
  <c r="CD47" i="2"/>
  <c r="CD15" i="2"/>
  <c r="CD86" i="2"/>
  <c r="CD83" i="2"/>
  <c r="CD123" i="2"/>
  <c r="CD31" i="2"/>
  <c r="CD95" i="2"/>
  <c r="CD14" i="2"/>
  <c r="CD41" i="2"/>
  <c r="CD43" i="2"/>
  <c r="CD34" i="2"/>
  <c r="CD110" i="2"/>
  <c r="CD112" i="2"/>
  <c r="CD39" i="2"/>
  <c r="CD127" i="2"/>
  <c r="CD18" i="2"/>
  <c r="CD101" i="2"/>
  <c r="CD63" i="2"/>
  <c r="FE193" i="2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J14" i="2" l="1"/>
  <c r="FJ156" i="2"/>
  <c r="FJ136" i="2"/>
  <c r="FJ5" i="2"/>
  <c r="FJ149" i="2"/>
  <c r="FJ126" i="2"/>
  <c r="FJ128" i="2"/>
  <c r="FJ55" i="2"/>
  <c r="FJ146" i="2"/>
  <c r="FJ7" i="2"/>
  <c r="FJ180" i="2"/>
  <c r="FJ179" i="2"/>
  <c r="FJ166" i="2"/>
  <c r="FJ175" i="2"/>
  <c r="FJ18" i="2"/>
  <c r="FJ125" i="2"/>
  <c r="FJ124" i="2"/>
  <c r="FJ203" i="2"/>
  <c r="FJ186" i="2"/>
  <c r="FJ44" i="2"/>
  <c r="FJ57" i="2"/>
  <c r="FJ129" i="2"/>
  <c r="FJ16" i="2"/>
  <c r="FJ183" i="2"/>
  <c r="FJ198" i="2"/>
  <c r="FJ63" i="2"/>
  <c r="FJ202" i="2"/>
  <c r="FJ118" i="2"/>
  <c r="FJ20" i="2"/>
  <c r="FJ191" i="2"/>
  <c r="FJ74" i="2"/>
  <c r="FJ171" i="2"/>
  <c r="FJ107" i="2"/>
  <c r="FJ188" i="2"/>
  <c r="FJ89" i="2"/>
  <c r="FJ173" i="2"/>
  <c r="FJ98" i="2"/>
  <c r="FJ151" i="2"/>
  <c r="FJ195" i="2"/>
  <c r="FJ29" i="2"/>
  <c r="FJ116" i="2"/>
  <c r="FJ194" i="2"/>
  <c r="FJ189" i="2"/>
  <c r="FJ199" i="2"/>
  <c r="FJ39" i="2"/>
  <c r="FJ193" i="2"/>
  <c r="FJ96" i="2"/>
  <c r="FJ76" i="2"/>
  <c r="FJ154" i="2"/>
  <c r="FJ168" i="2"/>
  <c r="FJ95" i="2"/>
  <c r="FJ100" i="2"/>
  <c r="FJ72" i="2"/>
  <c r="FJ153" i="2"/>
  <c r="FJ85" i="2"/>
  <c r="FJ97" i="2"/>
  <c r="FJ181" i="2"/>
  <c r="FJ10" i="2"/>
  <c r="FJ73" i="2"/>
  <c r="FJ51" i="2"/>
  <c r="FJ137" i="2"/>
  <c r="FJ155" i="2"/>
  <c r="FJ132" i="2"/>
  <c r="FJ159" i="2"/>
  <c r="FJ81" i="2"/>
  <c r="FJ23" i="2"/>
  <c r="FJ196" i="2"/>
  <c r="FJ84" i="2"/>
  <c r="FJ139" i="2"/>
  <c r="FJ93" i="2"/>
  <c r="FJ135" i="2"/>
  <c r="FJ38" i="2"/>
  <c r="FJ60" i="2"/>
  <c r="FJ47" i="2"/>
  <c r="FJ4" i="2"/>
  <c r="FJ41" i="2"/>
  <c r="FJ150" i="2"/>
  <c r="FJ90" i="2"/>
  <c r="FJ78" i="2"/>
  <c r="FJ21" i="2"/>
  <c r="FJ6" i="2"/>
  <c r="FJ33" i="2"/>
  <c r="FJ15" i="2"/>
  <c r="FJ109" i="2"/>
  <c r="FJ143" i="2"/>
  <c r="FJ192" i="2"/>
  <c r="FJ101" i="2"/>
  <c r="FJ165" i="2"/>
  <c r="FJ113" i="2"/>
  <c r="FJ134" i="2"/>
  <c r="FJ77" i="2"/>
  <c r="FJ27" i="2"/>
  <c r="FJ91" i="2"/>
  <c r="FJ45" i="2"/>
  <c r="FJ167" i="2"/>
  <c r="FJ48" i="2"/>
  <c r="FJ80" i="2"/>
  <c r="FJ99" i="2"/>
  <c r="FJ46" i="2"/>
  <c r="FJ108" i="2"/>
  <c r="FJ30" i="2"/>
  <c r="FJ105" i="2"/>
  <c r="FJ142" i="2"/>
  <c r="FJ82" i="2"/>
  <c r="FJ120" i="2"/>
  <c r="FJ148" i="2"/>
  <c r="FJ115" i="2"/>
  <c r="FJ163" i="2"/>
  <c r="FJ177" i="2"/>
  <c r="FJ37" i="2"/>
  <c r="FJ123" i="2"/>
  <c r="FJ13" i="2"/>
  <c r="FJ24" i="2"/>
  <c r="FJ147" i="2"/>
  <c r="FJ64" i="2"/>
  <c r="FJ54" i="2"/>
  <c r="FJ197" i="2"/>
  <c r="FJ88" i="2"/>
  <c r="FJ58" i="2"/>
  <c r="FJ50" i="2"/>
  <c r="FJ61" i="2"/>
  <c r="FJ158" i="2"/>
  <c r="FJ131" i="2"/>
  <c r="FJ52" i="2"/>
  <c r="FJ130" i="2"/>
  <c r="FJ174" i="2"/>
  <c r="FJ87" i="2"/>
  <c r="FJ103" i="2"/>
  <c r="FJ32" i="2"/>
  <c r="FJ40" i="2"/>
  <c r="FJ145" i="2"/>
  <c r="FJ69" i="2"/>
  <c r="FJ172" i="2"/>
  <c r="FJ25" i="2"/>
  <c r="FJ66" i="2"/>
  <c r="FJ152" i="2"/>
  <c r="FJ121" i="2"/>
  <c r="FJ11" i="2"/>
  <c r="FJ9" i="2"/>
  <c r="FJ94" i="2"/>
  <c r="FJ161" i="2"/>
  <c r="FJ178" i="2"/>
  <c r="FJ140" i="2"/>
  <c r="FJ31" i="2"/>
  <c r="FJ35" i="2"/>
  <c r="FJ122" i="2"/>
  <c r="FJ133" i="2"/>
  <c r="FJ86" i="2"/>
  <c r="FJ138" i="2"/>
  <c r="FJ79" i="2"/>
  <c r="FJ71" i="2"/>
  <c r="FJ200" i="2"/>
  <c r="FJ102" i="2"/>
  <c r="FJ119" i="2"/>
  <c r="FJ162" i="2"/>
  <c r="FJ144" i="2"/>
  <c r="FJ164" i="2"/>
  <c r="FJ22" i="2"/>
  <c r="FJ42" i="2"/>
  <c r="FJ56" i="2"/>
  <c r="FJ75" i="2"/>
  <c r="FJ106" i="2"/>
  <c r="FJ59" i="2"/>
  <c r="FJ111" i="2"/>
  <c r="FJ65" i="2"/>
  <c r="FJ70" i="2"/>
  <c r="FJ26" i="2"/>
  <c r="FJ170" i="2"/>
  <c r="FJ141" i="2"/>
  <c r="FJ12" i="2"/>
  <c r="FJ201" i="2"/>
  <c r="FJ49" i="2"/>
  <c r="FJ3" i="2"/>
  <c r="C13" i="4" s="1"/>
  <c r="E13" i="4" s="1"/>
  <c r="F13" i="4" s="1"/>
  <c r="G13" i="4" s="1"/>
  <c r="L13" i="4" s="1"/>
  <c r="FJ83" i="2"/>
  <c r="FJ36" i="2"/>
  <c r="FJ68" i="2"/>
  <c r="FJ104" i="2"/>
  <c r="FJ117" i="2"/>
  <c r="FJ62" i="2"/>
  <c r="FJ182" i="2"/>
  <c r="FJ184" i="2"/>
  <c r="FJ28" i="2"/>
  <c r="FJ17" i="2"/>
  <c r="FJ160" i="2"/>
  <c r="FJ190" i="2"/>
  <c r="FJ176" i="2"/>
  <c r="FJ185" i="2"/>
  <c r="FJ127" i="2"/>
  <c r="FJ34" i="2"/>
  <c r="FJ114" i="2"/>
  <c r="FJ8" i="2"/>
  <c r="FJ157" i="2"/>
  <c r="FJ92" i="2"/>
  <c r="FJ110" i="2"/>
  <c r="FJ19" i="2"/>
  <c r="FJ187" i="2"/>
  <c r="FJ67" i="2"/>
  <c r="FJ169" i="2"/>
  <c r="FJ112" i="2"/>
  <c r="FJ43" i="2"/>
  <c r="FJ53" i="2"/>
  <c r="FE196" i="2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90" i="2" l="1"/>
  <c r="BI44" i="2"/>
  <c r="BI23" i="2"/>
  <c r="BI17" i="2"/>
  <c r="BI66" i="2"/>
  <c r="BI123" i="2"/>
  <c r="BI116" i="2"/>
  <c r="BI176" i="2"/>
  <c r="BI91" i="2"/>
  <c r="BI122" i="2"/>
  <c r="BI163" i="2"/>
  <c r="BI81" i="2"/>
  <c r="BI78" i="2"/>
  <c r="BI62" i="2"/>
  <c r="BI140" i="2"/>
  <c r="BI145" i="2"/>
  <c r="BI132" i="2"/>
  <c r="BI18" i="2"/>
  <c r="BI75" i="2"/>
  <c r="BI164" i="2"/>
  <c r="BI124" i="2"/>
  <c r="BI157" i="2"/>
  <c r="BI168" i="2"/>
  <c r="BI102" i="2"/>
  <c r="BI94" i="2"/>
  <c r="BI10" i="2"/>
  <c r="BI118" i="2"/>
  <c r="BI108" i="2"/>
  <c r="BI98" i="2"/>
  <c r="BI180" i="2"/>
  <c r="BI159" i="2"/>
  <c r="BI119" i="2"/>
  <c r="BI4" i="2"/>
  <c r="BI54" i="2"/>
  <c r="BI63" i="2"/>
  <c r="BI101" i="2"/>
  <c r="BI183" i="2"/>
  <c r="BI185" i="2"/>
  <c r="BI90" i="2"/>
  <c r="BI165" i="2"/>
  <c r="BI192" i="2"/>
  <c r="BI41" i="2"/>
  <c r="BI200" i="2"/>
  <c r="BI181" i="2"/>
  <c r="BI87" i="2"/>
  <c r="BI26" i="2"/>
  <c r="BI138" i="2"/>
  <c r="BI8" i="2"/>
  <c r="BI197" i="2"/>
  <c r="BI86" i="2"/>
  <c r="BI121" i="2"/>
  <c r="BI153" i="2"/>
  <c r="BI106" i="2"/>
  <c r="BI113" i="2"/>
  <c r="BI161" i="2"/>
  <c r="BI103" i="2"/>
  <c r="BI114" i="2"/>
  <c r="BI137" i="2"/>
  <c r="BI96" i="2"/>
  <c r="BI173" i="2"/>
  <c r="BI146" i="2"/>
  <c r="BI155" i="2"/>
  <c r="BI152" i="2"/>
  <c r="BI149" i="2"/>
  <c r="BI50" i="2"/>
  <c r="BI175" i="2"/>
  <c r="BI64" i="2"/>
  <c r="BI105" i="2"/>
  <c r="BI148" i="2"/>
  <c r="BI195" i="2"/>
  <c r="BI85" i="2"/>
  <c r="BI127" i="2"/>
  <c r="BI136" i="2"/>
  <c r="BI156" i="2"/>
  <c r="BI95" i="2"/>
  <c r="BI12" i="2"/>
  <c r="BI179" i="2"/>
  <c r="BI189" i="2"/>
  <c r="BI130" i="2"/>
  <c r="BI162" i="2"/>
  <c r="BI72" i="2"/>
  <c r="BI47" i="2"/>
  <c r="BI82" i="2"/>
  <c r="BI34" i="2"/>
  <c r="BI120" i="2"/>
  <c r="BI70" i="2"/>
  <c r="BI36" i="2"/>
  <c r="BI158" i="2"/>
  <c r="BI117" i="2"/>
  <c r="BI129" i="2"/>
  <c r="BI9" i="2"/>
  <c r="BI57" i="2"/>
  <c r="BI53" i="2"/>
  <c r="BI60" i="2"/>
  <c r="BI139" i="2"/>
  <c r="BI170" i="2"/>
  <c r="BI134" i="2"/>
  <c r="BI24" i="2"/>
  <c r="BI33" i="2"/>
  <c r="BI43" i="2"/>
  <c r="BI160" i="2"/>
  <c r="BI186" i="2"/>
  <c r="BI169" i="2"/>
  <c r="BI172" i="2"/>
  <c r="BI45" i="2"/>
  <c r="BI42" i="2"/>
  <c r="BI3" i="2"/>
  <c r="C8" i="4" s="1"/>
  <c r="E8" i="4" s="1"/>
  <c r="F8" i="4" s="1"/>
  <c r="G8" i="4" s="1"/>
  <c r="L8" i="4" s="1"/>
  <c r="BI5" i="2"/>
  <c r="BI73" i="2"/>
  <c r="BI100" i="2"/>
  <c r="BI89" i="2"/>
  <c r="BI38" i="2"/>
  <c r="BI184" i="2"/>
  <c r="BI27" i="2"/>
  <c r="BI88" i="2"/>
  <c r="BI39" i="2"/>
  <c r="BI7" i="2"/>
  <c r="BI143" i="2"/>
  <c r="BI79" i="2"/>
  <c r="BI182" i="2"/>
  <c r="BI68" i="2"/>
  <c r="BI128" i="2"/>
  <c r="BI141" i="2"/>
  <c r="BI55" i="2"/>
  <c r="BI194" i="2"/>
  <c r="BI32" i="2"/>
  <c r="BI49" i="2"/>
  <c r="BI187" i="2"/>
  <c r="BI80" i="2"/>
  <c r="BI177" i="2"/>
  <c r="BI21" i="2"/>
  <c r="BI178" i="2"/>
  <c r="BI193" i="2"/>
  <c r="BI14" i="2"/>
  <c r="BI20" i="2"/>
  <c r="BI151" i="2"/>
  <c r="BI37" i="2"/>
  <c r="BI99" i="2"/>
  <c r="BI84" i="2"/>
  <c r="BI191" i="2"/>
  <c r="BI11" i="2"/>
  <c r="BI61" i="2"/>
  <c r="BI166" i="2"/>
  <c r="BI142" i="2"/>
  <c r="BI48" i="2"/>
  <c r="BI77" i="2"/>
  <c r="BI135" i="2"/>
  <c r="BI111" i="2"/>
  <c r="BI188" i="2"/>
  <c r="BI31" i="2"/>
  <c r="BI107" i="2"/>
  <c r="BI56" i="2"/>
  <c r="BI59" i="2"/>
  <c r="BI203" i="2"/>
  <c r="BI154" i="2"/>
  <c r="BI16" i="2"/>
  <c r="BI6" i="2"/>
  <c r="BI46" i="2"/>
  <c r="BI35" i="2"/>
  <c r="BI93" i="2"/>
  <c r="BI25" i="2"/>
  <c r="BI67" i="2"/>
  <c r="BI22" i="2"/>
  <c r="BI65" i="2"/>
  <c r="BI125" i="2"/>
  <c r="BI133" i="2"/>
  <c r="BI58" i="2"/>
  <c r="BI19" i="2"/>
  <c r="BI115" i="2"/>
  <c r="BI131" i="2"/>
  <c r="BI29" i="2"/>
  <c r="BI52" i="2"/>
  <c r="BI147" i="2"/>
  <c r="BI150" i="2"/>
  <c r="BI15" i="2"/>
  <c r="BI69" i="2"/>
  <c r="BI28" i="2"/>
  <c r="BI109" i="2"/>
  <c r="BI167" i="2"/>
  <c r="BI199" i="2"/>
  <c r="BI74" i="2"/>
  <c r="BI13" i="2"/>
  <c r="BI126" i="2"/>
  <c r="BI196" i="2"/>
  <c r="BI171" i="2"/>
  <c r="BI144" i="2"/>
  <c r="BI83" i="2"/>
  <c r="BI110" i="2"/>
  <c r="BI104" i="2"/>
  <c r="BI174" i="2"/>
  <c r="BI198" i="2"/>
  <c r="BI76" i="2"/>
  <c r="BI51" i="2"/>
  <c r="BI201" i="2"/>
  <c r="BI30" i="2"/>
  <c r="BI202" i="2"/>
  <c r="BI92" i="2"/>
  <c r="BI112" i="2"/>
  <c r="BI97" i="2"/>
  <c r="BI71" i="2"/>
  <c r="BI40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<sst xmlns="http://schemas.openxmlformats.org/spreadsheetml/2006/main" count="1176" uniqueCount="324">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</sst>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10.054116155559297</c:v>
                </c:pt>
                <c:pt idx="2">
                  <c:v>19.670529704904983</c:v>
                </c:pt>
                <c:pt idx="3">
                  <c:v>29.145587283740067</c:v>
                </c:pt>
                <c:pt idx="4">
                  <c:v>38.533509753361791</c:v>
                </c:pt>
                <c:pt idx="5">
                  <c:v>47.858871785587461</c:v>
                </c:pt>
                <c:pt idx="6">
                  <c:v>57.135691799242814</c:v>
                </c:pt>
                <c:pt idx="7">
                  <c:v>66.373006926914783</c:v>
                </c:pt>
                <c:pt idx="8">
                  <c:v>75.577111888235933</c:v>
                </c:pt>
                <c:pt idx="9">
                  <c:v>84.752633382211499</c:v>
                </c:pt>
                <c:pt idx="10">
                  <c:v>93.903109635645436</c:v>
                </c:pt>
                <c:pt idx="11">
                  <c:v>103.03133028043521</c:v>
                </c:pt>
                <c:pt idx="12">
                  <c:v>112.13954865102259</c:v>
                </c:pt>
                <c:pt idx="13">
                  <c:v>121.22962111033615</c:v>
                </c:pt>
                <c:pt idx="14">
                  <c:v>130.30310220341408</c:v>
                </c:pt>
                <c:pt idx="15">
                  <c:v>139.36131181345283</c:v>
                </c:pt>
                <c:pt idx="16">
                  <c:v>148.40538388297122</c:v>
                </c:pt>
                <c:pt idx="17">
                  <c:v>157.43630260034357</c:v>
                </c:pt>
                <c:pt idx="18">
                  <c:v>166.45492982619194</c:v>
                </c:pt>
                <c:pt idx="19">
                  <c:v>175.462026250294</c:v>
                </c:pt>
                <c:pt idx="20">
                  <c:v>184.45826796733903</c:v>
                </c:pt>
                <c:pt idx="21">
                  <c:v>193.44425964332299</c:v>
                </c:pt>
                <c:pt idx="22">
                  <c:v>202.42054510300082</c:v>
                </c:pt>
                <c:pt idx="23">
                  <c:v>211.38761593793268</c:v>
                </c:pt>
                <c:pt idx="24">
                  <c:v>220.34591857523677</c:v>
                </c:pt>
                <c:pt idx="25">
                  <c:v>229.29586013501878</c:v>
                </c:pt>
                <c:pt idx="26">
                  <c:v>238.23781332423221</c:v>
                </c:pt>
                <c:pt idx="27">
                  <c:v>247.17212055645965</c:v>
                </c:pt>
                <c:pt idx="28">
                  <c:v>256.09909744419912</c:v>
                </c:pt>
                <c:pt idx="29">
                  <c:v>265.01903577823191</c:v>
                </c:pt>
                <c:pt idx="30">
                  <c:v>273.93220608449866</c:v>
                </c:pt>
                <c:pt idx="31">
                  <c:v>282.83885983048071</c:v>
                </c:pt>
                <c:pt idx="32">
                  <c:v>291.73923133889144</c:v>
                </c:pt>
                <c:pt idx="33">
                  <c:v>300.63353945543383</c:v>
                </c:pt>
                <c:pt idx="34">
                  <c:v>309.52198900872827</c:v>
                </c:pt>
                <c:pt idx="35">
                  <c:v>318.40477209365588</c:v>
                </c:pt>
                <c:pt idx="36">
                  <c:v>327.2820692039133</c:v>
                </c:pt>
                <c:pt idx="37">
                  <c:v>336.15405023518832</c:v>
                </c:pt>
                <c:pt idx="38">
                  <c:v>345.02087537683605</c:v>
                </c:pt>
                <c:pt idx="39">
                  <c:v>353.88269590705289</c:v>
                </c:pt>
                <c:pt idx="40">
                  <c:v>362.73965490420022</c:v>
                </c:pt>
                <c:pt idx="41">
                  <c:v>371.59188788499273</c:v>
                </c:pt>
                <c:pt idx="42">
                  <c:v>380.43952337867154</c:v>
                </c:pt>
                <c:pt idx="43">
                  <c:v>305.94993325599131</c:v>
                </c:pt>
                <c:pt idx="44">
                  <c:v>327.87968452851231</c:v>
                </c:pt>
                <c:pt idx="45">
                  <c:v>349.77706400653625</c:v>
                </c:pt>
                <c:pt idx="46">
                  <c:v>371.64438205650396</c:v>
                </c:pt>
                <c:pt idx="47">
                  <c:v>393.48365507240305</c:v>
                </c:pt>
                <c:pt idx="48">
                  <c:v>415.29665745757416</c:v>
                </c:pt>
                <c:pt idx="49">
                  <c:v>437.08496211206631</c:v>
                </c:pt>
                <c:pt idx="50">
                  <c:v>458.84997242486565</c:v>
                </c:pt>
                <c:pt idx="51">
                  <c:v>400.29082381282961</c:v>
                </c:pt>
                <c:pt idx="52">
                  <c:v>422.64292900434634</c:v>
                </c:pt>
                <c:pt idx="53">
                  <c:v>444.96959590667331</c:v>
                </c:pt>
                <c:pt idx="54">
                  <c:v>467.27227938549885</c:v>
                </c:pt>
                <c:pt idx="55">
                  <c:v>489.55228419968324</c:v>
                </c:pt>
                <c:pt idx="56">
                  <c:v>511.8107867537222</c:v>
                </c:pt>
                <c:pt idx="57">
                  <c:v>534.04885287027707</c:v>
                </c:pt>
                <c:pt idx="58">
                  <c:v>556.26745244958261</c:v>
                </c:pt>
                <c:pt idx="59">
                  <c:v>475.38496601817178</c:v>
                </c:pt>
                <c:pt idx="60">
                  <c:v>497.1065828061349</c:v>
                </c:pt>
                <c:pt idx="61">
                  <c:v>518.80810289935755</c:v>
                </c:pt>
                <c:pt idx="62">
                  <c:v>540.49048445786013</c:v>
                </c:pt>
                <c:pt idx="63">
                  <c:v>562.1546025644958</c:v>
                </c:pt>
                <c:pt idx="64">
                  <c:v>583.80125941670201</c:v>
                </c:pt>
                <c:pt idx="65">
                  <c:v>605.43119292893903</c:v>
                </c:pt>
                <c:pt idx="66">
                  <c:v>627.04508404267926</c:v>
                </c:pt>
                <c:pt idx="67">
                  <c:v>532.94961868501457</c:v>
                </c:pt>
                <c:pt idx="68">
                  <c:v>553.81900027056327</c:v>
                </c:pt>
                <c:pt idx="69">
                  <c:v>574.67190958891786</c:v>
                </c:pt>
                <c:pt idx="70">
                  <c:v>595.50902793448722</c:v>
                </c:pt>
                <c:pt idx="71">
                  <c:v>616.3309850808954</c:v>
                </c:pt>
                <c:pt idx="72">
                  <c:v>637.13836482110844</c:v>
                </c:pt>
                <c:pt idx="73">
                  <c:v>657.93170974676843</c:v>
                </c:pt>
                <c:pt idx="74">
                  <c:v>678.71152539242337</c:v>
                </c:pt>
                <c:pt idx="75">
                  <c:v>589.39248343066197</c:v>
                </c:pt>
                <c:pt idx="76">
                  <c:v>609.81939965343656</c:v>
                </c:pt>
                <c:pt idx="77">
                  <c:v>630.23212138343479</c:v>
                </c:pt>
                <c:pt idx="78">
                  <c:v>650.63117263740162</c:v>
                </c:pt>
                <c:pt idx="79">
                  <c:v>671.0170419270911</c:v>
                </c:pt>
                <c:pt idx="80">
                  <c:v>691.39018569222901</c:v>
                </c:pt>
                <c:pt idx="81">
                  <c:v>711.75103130816262</c:v>
                </c:pt>
                <c:pt idx="82">
                  <c:v>732.09997973179236</c:v>
                </c:pt>
                <c:pt idx="83">
                  <c:v>752.43740783832027</c:v>
                </c:pt>
                <c:pt idx="84">
                  <c:v>772.76367049249313</c:v>
                </c:pt>
                <c:pt idx="85">
                  <c:v>650.12920889874385</c:v>
                </c:pt>
                <c:pt idx="86">
                  <c:v>669.71701867432307</c:v>
                </c:pt>
                <c:pt idx="87">
                  <c:v>689.29305455282781</c:v>
                </c:pt>
                <c:pt idx="88">
                  <c:v>708.85769765774864</c:v>
                </c:pt>
                <c:pt idx="89">
                  <c:v>728.41130638097991</c:v>
                </c:pt>
                <c:pt idx="90">
                  <c:v>747.95421832473903</c:v>
                </c:pt>
                <c:pt idx="91">
                  <c:v>767.48675203017956</c:v>
                </c:pt>
                <c:pt idx="92">
                  <c:v>787.00920852106856</c:v>
                </c:pt>
                <c:pt idx="93">
                  <c:v>806.52187268649811</c:v>
                </c:pt>
                <c:pt idx="94">
                  <c:v>826.02501452298031</c:v>
                </c:pt>
                <c:pt idx="95">
                  <c:v>701.67129024281076</c:v>
                </c:pt>
                <c:pt idx="96">
                  <c:v>720.73653490537436</c:v>
                </c:pt>
                <c:pt idx="97">
                  <c:v>739.79149113437143</c:v>
                </c:pt>
                <c:pt idx="98">
                  <c:v>758.83646096992186</c:v>
                </c:pt>
                <c:pt idx="99">
                  <c:v>777.87173007154217</c:v>
                </c:pt>
                <c:pt idx="100">
                  <c:v>796.89756899371525</c:v>
                </c:pt>
                <c:pt idx="101">
                  <c:v>815.91423433344517</c:v>
                </c:pt>
                <c:pt idx="102">
                  <c:v>834.9219697653848</c:v>
                </c:pt>
                <c:pt idx="103">
                  <c:v>853.92100697791045</c:v>
                </c:pt>
                <c:pt idx="104">
                  <c:v>872.91156652165955</c:v>
                </c:pt>
                <c:pt idx="105">
                  <c:v>751.18515125457725</c:v>
                </c:pt>
                <c:pt idx="106">
                  <c:v>770.01780601548671</c:v>
                </c:pt>
                <c:pt idx="107">
                  <c:v>788.84112658247284</c:v>
                </c:pt>
                <c:pt idx="108">
                  <c:v>807.65536680926198</c:v>
                </c:pt>
                <c:pt idx="109">
                  <c:v>826.4607677718451</c:v>
                </c:pt>
                <c:pt idx="110">
                  <c:v>845.25755869361831</c:v>
                </c:pt>
                <c:pt idx="111">
                  <c:v>864.04595778405246</c:v>
                </c:pt>
                <c:pt idx="112">
                  <c:v>882.82617300070933</c:v>
                </c:pt>
                <c:pt idx="113">
                  <c:v>901.59840274312739</c:v>
                </c:pt>
                <c:pt idx="114">
                  <c:v>920.3628364859884</c:v>
                </c:pt>
                <c:pt idx="115">
                  <c:v>807.92331757574232</c:v>
                </c:pt>
                <c:pt idx="116">
                  <c:v>826.87951165846027</c:v>
                </c:pt>
                <c:pt idx="117">
                  <c:v>845.82696195992901</c:v>
                </c:pt>
                <c:pt idx="118">
                  <c:v>864.76589170258092</c:v>
                </c:pt>
                <c:pt idx="119">
                  <c:v>883.69651354629275</c:v>
                </c:pt>
                <c:pt idx="120">
                  <c:v>902.61903030830717</c:v>
                </c:pt>
                <c:pt idx="121">
                  <c:v>921.53363561972344</c:v>
                </c:pt>
                <c:pt idx="122">
                  <c:v>940.44051452535894</c:v>
                </c:pt>
                <c:pt idx="123">
                  <c:v>959.33984403292789</c:v>
                </c:pt>
                <c:pt idx="124">
                  <c:v>978.23179361675386</c:v>
                </c:pt>
                <c:pt idx="125">
                  <c:v>874.76515272876622</c:v>
                </c:pt>
                <c:pt idx="126">
                  <c:v>893.91855298893552</c:v>
                </c:pt>
                <c:pt idx="127">
                  <c:v>913.06376068907173</c:v>
                </c:pt>
                <c:pt idx="128">
                  <c:v>932.20097158344367</c:v>
                </c:pt>
                <c:pt idx="129">
                  <c:v>951.33037274444223</c:v>
                </c:pt>
                <c:pt idx="130">
                  <c:v>970.45214311796599</c:v>
                </c:pt>
                <c:pt idx="131">
                  <c:v>989.56645403281527</c:v>
                </c:pt>
                <c:pt idx="132">
                  <c:v>1008.6734696687436</c:v>
                </c:pt>
                <c:pt idx="133">
                  <c:v>1027.7733474872464</c:v>
                </c:pt>
                <c:pt idx="134">
                  <c:v>1046.8662386287169</c:v>
                </c:pt>
                <c:pt idx="135">
                  <c:v>937.50616413149157</c:v>
                </c:pt>
                <c:pt idx="136">
                  <c:v>956.88987982155186</c:v>
                </c:pt>
                <c:pt idx="137">
                  <c:v>976.26581060894898</c:v>
                </c:pt>
                <c:pt idx="138">
                  <c:v>995.63413254764862</c:v>
                </c:pt>
                <c:pt idx="139">
                  <c:v>1014.9950142932879</c:v>
                </c:pt>
                <c:pt idx="140">
                  <c:v>1034.348617552087</c:v>
                </c:pt>
                <c:pt idx="141">
                  <c:v>1053.6950974944727</c:v>
                </c:pt>
                <c:pt idx="142">
                  <c:v>1073.0346031367867</c:v>
                </c:pt>
                <c:pt idx="143">
                  <c:v>1092.3672776940891</c:v>
                </c:pt>
                <c:pt idx="144">
                  <c:v>1111.6932589067299</c:v>
                </c:pt>
                <c:pt idx="145">
                  <c:v>1000.7143247071086</c:v>
                </c:pt>
                <c:pt idx="146">
                  <c:v>1020.4775739626069</c:v>
                </c:pt>
                <c:pt idx="147">
                  <c:v>1040.2332839460321</c:v>
                </c:pt>
                <c:pt idx="148">
                  <c:v>1059.9816177943073</c:v>
                </c:pt>
                <c:pt idx="149">
                  <c:v>1079.7227320792654</c:v>
                </c:pt>
                <c:pt idx="150">
                  <c:v>1099.4567771894424</c:v>
                </c:pt>
                <c:pt idx="151">
                  <c:v>1119.18389768308</c:v>
                </c:pt>
                <c:pt idx="152">
                  <c:v>1138.9042326149813</c:v>
                </c:pt>
                <c:pt idx="153">
                  <c:v>1158.6179158395955</c:v>
                </c:pt>
                <c:pt idx="154">
                  <c:v>1178.3250762924317</c:v>
                </c:pt>
                <c:pt idx="155">
                  <c:v>1069.3888801992859</c:v>
                </c:pt>
                <c:pt idx="156">
                  <c:v>1089.4500490111525</c:v>
                </c:pt>
                <c:pt idx="157">
                  <c:v>1109.5039893416961</c:v>
                </c:pt>
                <c:pt idx="158">
                  <c:v>1129.5508500388312</c:v>
                </c:pt>
                <c:pt idx="159">
                  <c:v>1149.5907742448753</c:v>
                </c:pt>
                <c:pt idx="160">
                  <c:v>1169.6238997128767</c:v>
                </c:pt>
                <c:pt idx="161">
                  <c:v>1189.6503591001856</c:v>
                </c:pt>
                <c:pt idx="162">
                  <c:v>1209.6702802412601</c:v>
                </c:pt>
                <c:pt idx="163">
                  <c:v>1229.6837864015072</c:v>
                </c:pt>
                <c:pt idx="164">
                  <c:v>1249.6909965137713</c:v>
                </c:pt>
                <c:pt idx="165">
                  <c:v>1130.6704624928343</c:v>
                </c:pt>
                <c:pt idx="166">
                  <c:v>1150.9929748829218</c:v>
                </c:pt>
                <c:pt idx="167">
                  <c:v>1171.3085048429873</c:v>
                </c:pt>
                <c:pt idx="168">
                  <c:v>1191.6171903343427</c:v>
                </c:pt>
                <c:pt idx="169">
                  <c:v>1211.9191642403603</c:v>
                </c:pt>
                <c:pt idx="170">
                  <c:v>1232.2145546369943</c:v>
                </c:pt>
                <c:pt idx="171">
                  <c:v>1252.5034850445916</c:v>
                </c:pt>
                <c:pt idx="172">
                  <c:v>1272.7860746625593</c:v>
                </c:pt>
                <c:pt idx="173">
                  <c:v>1293.0624385883307</c:v>
                </c:pt>
                <c:pt idx="174">
                  <c:v>1313.332688021904</c:v>
                </c:pt>
                <c:pt idx="175">
                  <c:v>818.64838934960699</c:v>
                </c:pt>
                <c:pt idx="176">
                  <c:v>831.70007355677342</c:v>
                </c:pt>
                <c:pt idx="177">
                  <c:v>844.74763878272279</c:v>
                </c:pt>
                <c:pt idx="178">
                  <c:v>578.41661778916796</c:v>
                </c:pt>
                <c:pt idx="179">
                  <c:v>586.46643387783058</c:v>
                </c:pt>
                <c:pt idx="180">
                  <c:v>594.51394828220111</c:v>
                </c:pt>
                <c:pt idx="181">
                  <c:v>412.651388094487</c:v>
                </c:pt>
                <c:pt idx="182">
                  <c:v>417.59659621587792</c:v>
                </c:pt>
                <c:pt idx="183">
                  <c:v>422.54054218163583</c:v>
                </c:pt>
                <c:pt idx="184">
                  <c:v>1.7963379770041364E-11</c:v>
                </c:pt>
                <c:pt idx="185">
                  <c:v>1.7963379770041364E-11</c:v>
                </c:pt>
                <c:pt idx="186">
                  <c:v>1.7963379770041364E-11</c:v>
                </c:pt>
                <c:pt idx="187">
                  <c:v>1.7963379770041364E-11</c:v>
                </c:pt>
                <c:pt idx="188">
                  <c:v>1.7963379770041364E-11</c:v>
                </c:pt>
                <c:pt idx="189">
                  <c:v>1.7963379770041364E-11</c:v>
                </c:pt>
                <c:pt idx="190">
                  <c:v>1.7963379770041364E-11</c:v>
                </c:pt>
                <c:pt idx="191">
                  <c:v>1.7963379770041364E-11</c:v>
                </c:pt>
                <c:pt idx="192">
                  <c:v>1.7963379770041364E-11</c:v>
                </c:pt>
                <c:pt idx="193">
                  <c:v>1.7963379770041364E-11</c:v>
                </c:pt>
                <c:pt idx="194">
                  <c:v>1.7963379770041364E-11</c:v>
                </c:pt>
                <c:pt idx="195">
                  <c:v>1.7963379770041364E-11</c:v>
                </c:pt>
                <c:pt idx="196">
                  <c:v>1.7963379770041364E-11</c:v>
                </c:pt>
                <c:pt idx="197">
                  <c:v>1.7963379770041364E-11</c:v>
                </c:pt>
                <c:pt idx="198">
                  <c:v>1.7963379770041364E-11</c:v>
                </c:pt>
                <c:pt idx="199">
                  <c:v>1.7963379770041364E-11</c:v>
                </c:pt>
                <c:pt idx="200">
                  <c:v>1.7963379770041364E-11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2.9205980688266564</c:v>
                </c:pt>
                <c:pt idx="2">
                  <c:v>3.8193886180668186</c:v>
                </c:pt>
                <c:pt idx="3">
                  <c:v>4.9958857422955205</c:v>
                </c:pt>
                <c:pt idx="4">
                  <c:v>6.5362176188514516</c:v>
                </c:pt>
                <c:pt idx="5">
                  <c:v>8.5533177888034189</c:v>
                </c:pt>
                <c:pt idx="6">
                  <c:v>11.195294658284743</c:v>
                </c:pt>
                <c:pt idx="7">
                  <c:v>14.656421978560983</c:v>
                </c:pt>
                <c:pt idx="8">
                  <c:v>19.191573306246756</c:v>
                </c:pt>
                <c:pt idx="9">
                  <c:v>25.135182506128984</c:v>
                </c:pt>
                <c:pt idx="10">
                  <c:v>32.9261531469324</c:v>
                </c:pt>
                <c:pt idx="11">
                  <c:v>43.140587989048477</c:v>
                </c:pt>
                <c:pt idx="12">
                  <c:v>56.534799687422179</c:v>
                </c:pt>
                <c:pt idx="13">
                  <c:v>74.101840122506715</c:v>
                </c:pt>
                <c:pt idx="14">
                  <c:v>97.145807411654872</c:v>
                </c:pt>
                <c:pt idx="15">
                  <c:v>127.37953432582198</c:v>
                </c:pt>
                <c:pt idx="16">
                  <c:v>92.512559752041952</c:v>
                </c:pt>
                <c:pt idx="17">
                  <c:v>118.97444364040366</c:v>
                </c:pt>
                <c:pt idx="18">
                  <c:v>145.29205371594367</c:v>
                </c:pt>
                <c:pt idx="19">
                  <c:v>171.49532867914351</c:v>
                </c:pt>
                <c:pt idx="20">
                  <c:v>197.6042373039995</c:v>
                </c:pt>
                <c:pt idx="21">
                  <c:v>159.35586286360191</c:v>
                </c:pt>
                <c:pt idx="22">
                  <c:v>187.39794043392263</c:v>
                </c:pt>
                <c:pt idx="23">
                  <c:v>215.34198157425362</c:v>
                </c:pt>
                <c:pt idx="24">
                  <c:v>243.20250692836802</c:v>
                </c:pt>
                <c:pt idx="25">
                  <c:v>270.99042974399345</c:v>
                </c:pt>
                <c:pt idx="26">
                  <c:v>231.91700149088217</c:v>
                </c:pt>
                <c:pt idx="27">
                  <c:v>258.60689820869135</c:v>
                </c:pt>
                <c:pt idx="28">
                  <c:v>285.23452771013774</c:v>
                </c:pt>
                <c:pt idx="29">
                  <c:v>311.80651713592084</c:v>
                </c:pt>
                <c:pt idx="30">
                  <c:v>338.32827143043039</c:v>
                </c:pt>
                <c:pt idx="31">
                  <c:v>296.842883014341</c:v>
                </c:pt>
                <c:pt idx="32">
                  <c:v>320.77699701276748</c:v>
                </c:pt>
                <c:pt idx="33">
                  <c:v>344.67160985755481</c:v>
                </c:pt>
                <c:pt idx="34">
                  <c:v>368.52984306951663</c:v>
                </c:pt>
                <c:pt idx="35">
                  <c:v>392.35438115419714</c:v>
                </c:pt>
                <c:pt idx="36">
                  <c:v>348.40178403373949</c:v>
                </c:pt>
                <c:pt idx="37">
                  <c:v>369.64735159591169</c:v>
                </c:pt>
                <c:pt idx="38">
                  <c:v>390.86628899650526</c:v>
                </c:pt>
                <c:pt idx="39">
                  <c:v>412.06024430985258</c:v>
                </c:pt>
                <c:pt idx="40">
                  <c:v>433.23068233058711</c:v>
                </c:pt>
                <c:pt idx="41">
                  <c:v>386.40127265666041</c:v>
                </c:pt>
                <c:pt idx="42">
                  <c:v>404.62651852552534</c:v>
                </c:pt>
                <c:pt idx="43">
                  <c:v>422.83402201018424</c:v>
                </c:pt>
                <c:pt idx="44">
                  <c:v>441.02465426855332</c:v>
                </c:pt>
                <c:pt idx="45">
                  <c:v>459.19920876443285</c:v>
                </c:pt>
                <c:pt idx="46">
                  <c:v>430.63202519963079</c:v>
                </c:pt>
                <c:pt idx="47">
                  <c:v>446.58996615169781</c:v>
                </c:pt>
                <c:pt idx="48">
                  <c:v>462.53570293273191</c:v>
                </c:pt>
                <c:pt idx="49">
                  <c:v>478.46971536977009</c:v>
                </c:pt>
                <c:pt idx="50">
                  <c:v>494.3924487367965</c:v>
                </c:pt>
                <c:pt idx="51">
                  <c:v>472.91264200880101</c:v>
                </c:pt>
                <c:pt idx="52">
                  <c:v>486.61761247073986</c:v>
                </c:pt>
                <c:pt idx="53">
                  <c:v>500.3143920215611</c:v>
                </c:pt>
                <c:pt idx="54">
                  <c:v>514.00323643635181</c:v>
                </c:pt>
                <c:pt idx="55">
                  <c:v>527.68438675921152</c:v>
                </c:pt>
                <c:pt idx="56">
                  <c:v>509.56446562910031</c:v>
                </c:pt>
                <c:pt idx="57">
                  <c:v>521.02963842518261</c:v>
                </c:pt>
                <c:pt idx="58">
                  <c:v>532.48949356066385</c:v>
                </c:pt>
                <c:pt idx="59">
                  <c:v>543.94416159669981</c:v>
                </c:pt>
                <c:pt idx="60">
                  <c:v>555.39376714784089</c:v>
                </c:pt>
                <c:pt idx="61">
                  <c:v>539.1412145256478</c:v>
                </c:pt>
                <c:pt idx="62">
                  <c:v>548.74621845390379</c:v>
                </c:pt>
                <c:pt idx="63">
                  <c:v>558.34769693411636</c:v>
                </c:pt>
                <c:pt idx="64">
                  <c:v>567.94571913881475</c:v>
                </c:pt>
                <c:pt idx="65">
                  <c:v>577.54035171190208</c:v>
                </c:pt>
                <c:pt idx="66">
                  <c:v>562.03964926820083</c:v>
                </c:pt>
                <c:pt idx="67">
                  <c:v>570.52922017836795</c:v>
                </c:pt>
                <c:pt idx="68">
                  <c:v>579.01615230132256</c:v>
                </c:pt>
                <c:pt idx="69">
                  <c:v>587.50048977179972</c:v>
                </c:pt>
                <c:pt idx="70">
                  <c:v>595.98227534576563</c:v>
                </c:pt>
                <c:pt idx="71">
                  <c:v>579.75402315407757</c:v>
                </c:pt>
                <c:pt idx="72">
                  <c:v>587.50048977179972</c:v>
                </c:pt>
                <c:pt idx="73">
                  <c:v>595.24482902030275</c:v>
                </c:pt>
                <c:pt idx="74">
                  <c:v>602.98707248339201</c:v>
                </c:pt>
                <c:pt idx="75">
                  <c:v>610.72725086759363</c:v>
                </c:pt>
                <c:pt idx="76">
                  <c:v>595.24482902030275</c:v>
                </c:pt>
                <c:pt idx="77">
                  <c:v>601.88116484326292</c:v>
                </c:pt>
                <c:pt idx="78">
                  <c:v>608.51598029477634</c:v>
                </c:pt>
                <c:pt idx="79">
                  <c:v>615.14929429282256</c:v>
                </c:pt>
                <c:pt idx="80">
                  <c:v>621.78112531404156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9.455062698144042</c:v>
                </c:pt>
                <c:pt idx="2">
                  <c:v>18.496310297315823</c:v>
                </c:pt>
                <c:pt idx="3">
                  <c:v>27.403916391738104</c:v>
                </c:pt>
                <c:pt idx="4">
                  <c:v>36.229142753137985</c:v>
                </c:pt>
                <c:pt idx="5">
                  <c:v>44.995222896934202</c:v>
                </c:pt>
                <c:pt idx="6">
                  <c:v>53.715410190347939</c:v>
                </c:pt>
                <c:pt idx="7">
                  <c:v>62.398248566777788</c:v>
                </c:pt>
                <c:pt idx="8">
                  <c:v>71.049689213150188</c:v>
                </c:pt>
                <c:pt idx="9">
                  <c:v>79.674106327561205</c:v>
                </c:pt>
                <c:pt idx="10">
                  <c:v>88.274845038996318</c:v>
                </c:pt>
                <c:pt idx="11">
                  <c:v>96.854542735909192</c:v>
                </c:pt>
                <c:pt idx="12">
                  <c:v>105.41532977759353</c:v>
                </c:pt>
                <c:pt idx="13">
                  <c:v>113.9589612164482</c:v>
                </c:pt>
                <c:pt idx="14">
                  <c:v>122.48690675861542</c:v>
                </c:pt>
                <c:pt idx="15">
                  <c:v>131.0004142550055</c:v>
                </c:pt>
                <c:pt idx="16">
                  <c:v>139.50055576351562</c:v>
                </c:pt>
                <c:pt idx="17">
                  <c:v>147.98826176069258</c:v>
                </c:pt>
                <c:pt idx="18">
                  <c:v>156.46434707133648</c:v>
                </c:pt>
                <c:pt idx="19">
                  <c:v>164.92953087077578</c:v>
                </c:pt>
                <c:pt idx="20">
                  <c:v>173.38445235600605</c:v>
                </c:pt>
                <c:pt idx="21">
                  <c:v>181.82968319353185</c:v>
                </c:pt>
                <c:pt idx="22">
                  <c:v>190.26573752901183</c:v>
                </c:pt>
                <c:pt idx="23">
                  <c:v>198.69308012552312</c:v>
                </c:pt>
                <c:pt idx="24">
                  <c:v>207.11213304653862</c:v>
                </c:pt>
                <c:pt idx="25">
                  <c:v>215.52328119368903</c:v>
                </c:pt>
                <c:pt idx="26">
                  <c:v>223.92687693354154</c:v>
                </c:pt>
                <c:pt idx="27">
                  <c:v>232.32324399254557</c:v>
                </c:pt>
                <c:pt idx="28">
                  <c:v>240.71268075872808</c:v>
                </c:pt>
                <c:pt idx="29">
                  <c:v>249.0954630984634</c:v>
                </c:pt>
                <c:pt idx="30">
                  <c:v>257.47184677380858</c:v>
                </c:pt>
                <c:pt idx="31">
                  <c:v>265.842069528472</c:v>
                </c:pt>
                <c:pt idx="32">
                  <c:v>274.20635289706468</c:v>
                </c:pt>
                <c:pt idx="33">
                  <c:v>282.56490378184208</c:v>
                </c:pt>
                <c:pt idx="34">
                  <c:v>290.91791583295509</c:v>
                </c:pt>
                <c:pt idx="35">
                  <c:v>299.26557066175616</c:v>
                </c:pt>
                <c:pt idx="36">
                  <c:v>307.60803891154438</c:v>
                </c:pt>
                <c:pt idx="37">
                  <c:v>315.94548120599461</c:v>
                </c:pt>
                <c:pt idx="38">
                  <c:v>324.27804899216886</c:v>
                </c:pt>
                <c:pt idx="39">
                  <c:v>332.60588529229494</c:v>
                </c:pt>
                <c:pt idx="40">
                  <c:v>340.92912537626927</c:v>
                </c:pt>
                <c:pt idx="41">
                  <c:v>349.24789736501674</c:v>
                </c:pt>
                <c:pt idx="42">
                  <c:v>357.56232277332811</c:v>
                </c:pt>
                <c:pt idx="43">
                  <c:v>287.56104355196334</c:v>
                </c:pt>
                <c:pt idx="44">
                  <c:v>308.16964872324991</c:v>
                </c:pt>
                <c:pt idx="45">
                  <c:v>328.74764878240444</c:v>
                </c:pt>
                <c:pt idx="46">
                  <c:v>349.29722800821287</c:v>
                </c:pt>
                <c:pt idx="47">
                  <c:v>369.82029275047915</c:v>
                </c:pt>
                <c:pt idx="48">
                  <c:v>390.31852057493785</c:v>
                </c:pt>
                <c:pt idx="49">
                  <c:v>410.79339854102176</c:v>
                </c:pt>
                <c:pt idx="50">
                  <c:v>431.24625344812392</c:v>
                </c:pt>
                <c:pt idx="51">
                  <c:v>376.21717632117338</c:v>
                </c:pt>
                <c:pt idx="52">
                  <c:v>397.22196486755848</c:v>
                </c:pt>
                <c:pt idx="53">
                  <c:v>418.20270341284862</c:v>
                </c:pt>
                <c:pt idx="54">
                  <c:v>439.16076742381068</c:v>
                </c:pt>
                <c:pt idx="55">
                  <c:v>460.09739045242594</c:v>
                </c:pt>
                <c:pt idx="56">
                  <c:v>481.0136847012173</c:v>
                </c:pt>
                <c:pt idx="57">
                  <c:v>501.91065782584752</c:v>
                </c:pt>
                <c:pt idx="58">
                  <c:v>522.78922679449613</c:v>
                </c:pt>
                <c:pt idx="59">
                  <c:v>446.78431102556823</c:v>
                </c:pt>
                <c:pt idx="60">
                  <c:v>467.19617134398754</c:v>
                </c:pt>
                <c:pt idx="61">
                  <c:v>487.5890317396167</c:v>
                </c:pt>
                <c:pt idx="62">
                  <c:v>507.96379808113971</c:v>
                </c:pt>
                <c:pt idx="63">
                  <c:v>528.3212976939875</c:v>
                </c:pt>
                <c:pt idx="64">
                  <c:v>548.66228899587838</c:v>
                </c:pt>
                <c:pt idx="65">
                  <c:v>568.987469629781</c:v>
                </c:pt>
                <c:pt idx="66">
                  <c:v>589.2974833749621</c:v>
                </c:pt>
                <c:pt idx="67">
                  <c:v>500.87771692974269</c:v>
                </c:pt>
                <c:pt idx="68">
                  <c:v>520.48844904322118</c:v>
                </c:pt>
                <c:pt idx="69">
                  <c:v>540.0836078592547</c:v>
                </c:pt>
                <c:pt idx="70">
                  <c:v>559.66383749078398</c:v>
                </c:pt>
                <c:pt idx="71">
                  <c:v>579.2297333416999</c:v>
                </c:pt>
                <c:pt idx="72">
                  <c:v>598.78184734461729</c:v>
                </c:pt>
                <c:pt idx="73">
                  <c:v>618.32069247937864</c:v>
                </c:pt>
                <c:pt idx="74">
                  <c:v>637.8467466911145</c:v>
                </c:pt>
                <c:pt idx="75">
                  <c:v>553.91625030160219</c:v>
                </c:pt>
                <c:pt idx="76">
                  <c:v>573.11096118864532</c:v>
                </c:pt>
                <c:pt idx="77">
                  <c:v>592.29225224370759</c:v>
                </c:pt>
                <c:pt idx="78">
                  <c:v>611.46061888545398</c:v>
                </c:pt>
                <c:pt idx="79">
                  <c:v>630.61652296523562</c:v>
                </c:pt>
                <c:pt idx="80">
                  <c:v>649.76039601269781</c:v>
                </c:pt>
                <c:pt idx="81">
                  <c:v>668.89264207928784</c:v>
                </c:pt>
                <c:pt idx="82">
                  <c:v>688.01364023978613</c:v>
                </c:pt>
                <c:pt idx="83">
                  <c:v>707.12374680152777</c:v>
                </c:pt>
                <c:pt idx="84">
                  <c:v>726.22329726260705</c:v>
                </c:pt>
                <c:pt idx="85">
                  <c:v>610.98893978348235</c:v>
                </c:pt>
                <c:pt idx="86">
                  <c:v>629.39493779693078</c:v>
                </c:pt>
                <c:pt idx="87">
                  <c:v>647.78980447071194</c:v>
                </c:pt>
                <c:pt idx="88">
                  <c:v>666.17390012859926</c:v>
                </c:pt>
                <c:pt idx="89">
                  <c:v>684.5475636033417</c:v>
                </c:pt>
                <c:pt idx="90">
                  <c:v>702.91111407260257</c:v>
                </c:pt>
                <c:pt idx="91">
                  <c:v>721.26485269323393</c:v>
                </c:pt>
                <c:pt idx="92">
                  <c:v>739.60906406070796</c:v>
                </c:pt>
                <c:pt idx="93">
                  <c:v>757.94401751636781</c:v>
                </c:pt>
                <c:pt idx="94">
                  <c:v>776.26996832173552</c:v>
                </c:pt>
                <c:pt idx="95">
                  <c:v>659.42113423858666</c:v>
                </c:pt>
                <c:pt idx="96">
                  <c:v>677.3359268973162</c:v>
                </c:pt>
                <c:pt idx="97">
                  <c:v>695.24099261109666</c:v>
                </c:pt>
                <c:pt idx="98">
                  <c:v>713.13661693628671</c:v>
                </c:pt>
                <c:pt idx="99">
                  <c:v>731.02306994260732</c:v>
                </c:pt>
                <c:pt idx="100">
                  <c:v>748.90060741910065</c:v>
                </c:pt>
                <c:pt idx="101">
                  <c:v>766.76947195905461</c:v>
                </c:pt>
                <c:pt idx="102">
                  <c:v>784.62989393864109</c:v>
                </c:pt>
                <c:pt idx="103">
                  <c:v>802.48209240190306</c:v>
                </c:pt>
                <c:pt idx="104">
                  <c:v>820.3262758629827</c:v>
                </c:pt>
                <c:pt idx="105">
                  <c:v>705.94706318478438</c:v>
                </c:pt>
                <c:pt idx="106">
                  <c:v>723.64315240865346</c:v>
                </c:pt>
                <c:pt idx="107">
                  <c:v>741.33041684983391</c:v>
                </c:pt>
                <c:pt idx="108">
                  <c:v>759.00909650804977</c:v>
                </c:pt>
                <c:pt idx="109">
                  <c:v>776.67941930263157</c:v>
                </c:pt>
                <c:pt idx="110">
                  <c:v>794.34160194716833</c:v>
                </c:pt>
                <c:pt idx="111">
                  <c:v>811.9958507424044</c:v>
                </c:pt>
                <c:pt idx="112">
                  <c:v>829.64236229667119</c:v>
                </c:pt>
                <c:pt idx="113">
                  <c:v>847.28132418190387</c:v>
                </c:pt>
                <c:pt idx="114">
                  <c:v>864.91291553225085</c:v>
                </c:pt>
                <c:pt idx="115">
                  <c:v>759.26087434764747</c:v>
                </c:pt>
                <c:pt idx="116">
                  <c:v>777.07288758905304</c:v>
                </c:pt>
                <c:pt idx="117">
                  <c:v>794.87663423882407</c:v>
                </c:pt>
                <c:pt idx="118">
                  <c:v>812.67232533708591</c:v>
                </c:pt>
                <c:pt idx="119">
                  <c:v>830.46016193785681</c:v>
                </c:pt>
                <c:pt idx="120">
                  <c:v>848.24033578968101</c:v>
                </c:pt>
                <c:pt idx="121">
                  <c:v>866.01302995629032</c:v>
                </c:pt>
                <c:pt idx="122">
                  <c:v>883.77841938372865</c:v>
                </c:pt>
                <c:pt idx="123">
                  <c:v>901.53667141955941</c:v>
                </c:pt>
                <c:pt idx="124">
                  <c:v>919.28794628908884</c:v>
                </c:pt>
                <c:pt idx="125">
                  <c:v>822.06796668502648</c:v>
                </c:pt>
                <c:pt idx="126">
                  <c:v>840.06510771199294</c:v>
                </c:pt>
                <c:pt idx="127">
                  <c:v>858.05450328578445</c:v>
                </c:pt>
                <c:pt idx="128">
                  <c:v>876.03633847743095</c:v>
                </c:pt>
                <c:pt idx="129">
                  <c:v>894.0107901498958</c:v>
                </c:pt>
                <c:pt idx="130">
                  <c:v>911.97802748315098</c:v>
                </c:pt>
                <c:pt idx="131">
                  <c:v>929.93821245577226</c:v>
                </c:pt>
                <c:pt idx="132">
                  <c:v>947.89150028744427</c:v>
                </c:pt>
                <c:pt idx="133">
                  <c:v>965.83803984624228</c:v>
                </c:pt>
                <c:pt idx="134">
                  <c:v>983.77797402411124</c:v>
                </c:pt>
                <c:pt idx="135">
                  <c:v>881.0212312212476</c:v>
                </c:pt>
                <c:pt idx="136">
                  <c:v>899.2346301814199</c:v>
                </c:pt>
                <c:pt idx="137">
                  <c:v>917.44066909799074</c:v>
                </c:pt>
                <c:pt idx="138">
                  <c:v>935.63951441682673</c:v>
                </c:pt>
                <c:pt idx="139">
                  <c:v>953.8313255892258</c:v>
                </c:pt>
                <c:pt idx="140">
                  <c:v>972.016255496334</c:v>
                </c:pt>
                <c:pt idx="141">
                  <c:v>990.19445084019083</c:v>
                </c:pt>
                <c:pt idx="142">
                  <c:v>1008.3660525046098</c:v>
                </c:pt>
                <c:pt idx="143">
                  <c:v>1026.5311958887266</c:v>
                </c:pt>
                <c:pt idx="144">
                  <c:v>1044.6900112157464</c:v>
                </c:pt>
                <c:pt idx="145">
                  <c:v>940.4129528327752</c:v>
                </c:pt>
                <c:pt idx="146">
                  <c:v>958.98282344104257</c:v>
                </c:pt>
                <c:pt idx="147">
                  <c:v>977.54556623107385</c:v>
                </c:pt>
                <c:pt idx="148">
                  <c:v>996.10133543663414</c:v>
                </c:pt>
                <c:pt idx="149">
                  <c:v>1014.6502790846899</c:v>
                </c:pt>
                <c:pt idx="150">
                  <c:v>1033.1925393563622</c:v>
                </c:pt>
                <c:pt idx="151">
                  <c:v>1051.7282529206625</c:v>
                </c:pt>
                <c:pt idx="152">
                  <c:v>1070.2575512435144</c:v>
                </c:pt>
                <c:pt idx="153">
                  <c:v>1088.7805608742954</c:v>
                </c:pt>
                <c:pt idx="154">
                  <c:v>1107.2974037118909</c:v>
                </c:pt>
                <c:pt idx="155">
                  <c:v>1004.9404961857837</c:v>
                </c:pt>
                <c:pt idx="156">
                  <c:v>1023.7901458311022</c:v>
                </c:pt>
                <c:pt idx="157">
                  <c:v>1042.6329614876088</c:v>
                </c:pt>
                <c:pt idx="158">
                  <c:v>1061.4690838798804</c:v>
                </c:pt>
                <c:pt idx="159">
                  <c:v>1080.2986483382792</c:v>
                </c:pt>
                <c:pt idx="160">
                  <c:v>1099.121785098017</c:v>
                </c:pt>
                <c:pt idx="161">
                  <c:v>1117.9386195767026</c:v>
                </c:pt>
                <c:pt idx="162">
                  <c:v>1136.7492726322619</c:v>
                </c:pt>
                <c:pt idx="163">
                  <c:v>1155.5538608029244</c:v>
                </c:pt>
                <c:pt idx="164">
                  <c:v>1174.3524965308034</c:v>
                </c:pt>
                <c:pt idx="165">
                  <c:v>1062.5210756861318</c:v>
                </c:pt>
                <c:pt idx="166">
                  <c:v>1081.6161581821882</c:v>
                </c:pt>
                <c:pt idx="167">
                  <c:v>1100.7046393125474</c:v>
                </c:pt>
                <c:pt idx="168">
                  <c:v>1119.7866495093174</c:v>
                </c:pt>
                <c:pt idx="169">
                  <c:v>1138.8623144037938</c:v>
                </c:pt>
                <c:pt idx="170">
                  <c:v>1157.9317550822202</c:v>
                </c:pt>
                <c:pt idx="171">
                  <c:v>1176.9950883238507</c:v>
                </c:pt>
                <c:pt idx="172">
                  <c:v>1196.052426822816</c:v>
                </c:pt>
                <c:pt idx="173">
                  <c:v>1215.1038793951363</c:v>
                </c:pt>
                <c:pt idx="174">
                  <c:v>1234.1495511720993</c:v>
                </c:pt>
                <c:pt idx="175">
                  <c:v>769.33859558608037</c:v>
                </c:pt>
                <c:pt idx="176">
                  <c:v>781.60247607267286</c:v>
                </c:pt>
                <c:pt idx="177">
                  <c:v>793.86246237038984</c:v>
                </c:pt>
                <c:pt idx="178">
                  <c:v>543.60244296324618</c:v>
                </c:pt>
                <c:pt idx="179">
                  <c:v>551.16670089321383</c:v>
                </c:pt>
                <c:pt idx="180">
                  <c:v>558.72878275271785</c:v>
                </c:pt>
                <c:pt idx="181">
                  <c:v>387.83270199165668</c:v>
                </c:pt>
                <c:pt idx="182">
                  <c:v>392.47982260646131</c:v>
                </c:pt>
                <c:pt idx="183">
                  <c:v>397.12574994745228</c:v>
                </c:pt>
                <c:pt idx="184">
                  <c:v>1.6973245871741914E-11</c:v>
                </c:pt>
                <c:pt idx="185">
                  <c:v>1.6973245871741914E-11</c:v>
                </c:pt>
                <c:pt idx="186">
                  <c:v>1.6973245871741914E-11</c:v>
                </c:pt>
                <c:pt idx="187">
                  <c:v>1.6973245871741914E-11</c:v>
                </c:pt>
                <c:pt idx="188">
                  <c:v>1.6973245871741914E-11</c:v>
                </c:pt>
                <c:pt idx="189">
                  <c:v>1.6973245871741914E-11</c:v>
                </c:pt>
                <c:pt idx="190">
                  <c:v>1.6973245871741914E-11</c:v>
                </c:pt>
                <c:pt idx="191">
                  <c:v>1.6973245871741914E-11</c:v>
                </c:pt>
                <c:pt idx="192">
                  <c:v>1.6973245871741914E-11</c:v>
                </c:pt>
                <c:pt idx="193">
                  <c:v>1.6973245871741914E-11</c:v>
                </c:pt>
                <c:pt idx="194">
                  <c:v>1.6973245871741914E-11</c:v>
                </c:pt>
                <c:pt idx="195">
                  <c:v>1.6973245871741914E-11</c:v>
                </c:pt>
                <c:pt idx="196">
                  <c:v>1.6973245871741914E-11</c:v>
                </c:pt>
                <c:pt idx="197">
                  <c:v>1.6973245871741914E-11</c:v>
                </c:pt>
                <c:pt idx="198">
                  <c:v>1.6973245871741914E-11</c:v>
                </c:pt>
                <c:pt idx="199">
                  <c:v>1.6973245871741914E-11</c:v>
                </c:pt>
                <c:pt idx="200">
                  <c:v>1.6973245871741914E-11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9.0050020993719304</c:v>
                </c:pt>
                <c:pt idx="2">
                  <c:v>17.614224179099281</c:v>
                </c:pt>
                <c:pt idx="3">
                  <c:v>26.095629179395626</c:v>
                </c:pt>
                <c:pt idx="4">
                  <c:v>34.49824475795532</c:v>
                </c:pt>
                <c:pt idx="5">
                  <c:v>42.84429185647835</c:v>
                </c:pt>
                <c:pt idx="6">
                  <c:v>51.146446227860601</c:v>
                </c:pt>
                <c:pt idx="7">
                  <c:v>59.412879439878935</c:v>
                </c:pt>
                <c:pt idx="8">
                  <c:v>67.649283312103222</c:v>
                </c:pt>
                <c:pt idx="9">
                  <c:v>75.85984140432312</c:v>
                </c:pt>
                <c:pt idx="10">
                  <c:v>84.04775305657931</c:v>
                </c:pt>
                <c:pt idx="11">
                  <c:v>92.215540713452924</c:v>
                </c:pt>
                <c:pt idx="12">
                  <c:v>100.36524188794243</c:v>
                </c:pt>
                <c:pt idx="13">
                  <c:v>108.4985351429486</c:v>
                </c:pt>
                <c:pt idx="14">
                  <c:v>116.61682613120678</c:v>
                </c:pt>
                <c:pt idx="15">
                  <c:v>124.72130831921697</c:v>
                </c:pt>
                <c:pt idx="16">
                  <c:v>132.81300704195772</c:v>
                </c:pt>
                <c:pt idx="17">
                  <c:v>140.89281222352039</c:v>
                </c:pt>
                <c:pt idx="18">
                  <c:v>148.96150317663719</c:v>
                </c:pt>
                <c:pt idx="19">
                  <c:v>157.01976773320771</c:v>
                </c:pt>
                <c:pt idx="20">
                  <c:v>165.06821723245113</c:v>
                </c:pt>
                <c:pt idx="21">
                  <c:v>173.10739842624028</c:v>
                </c:pt>
                <c:pt idx="22">
                  <c:v>181.13780305250211</c:v>
                </c:pt>
                <c:pt idx="23">
                  <c:v>189.15987561879626</c:v>
                </c:pt>
                <c:pt idx="24">
                  <c:v>197.17401979403192</c:v>
                </c:pt>
                <c:pt idx="25">
                  <c:v>205.18060370488044</c:v>
                </c:pt>
                <c:pt idx="26">
                  <c:v>213.1799643609078</c:v>
                </c:pt>
                <c:pt idx="27">
                  <c:v>221.17241137976885</c:v>
                </c:pt>
                <c:pt idx="28">
                  <c:v>229.15823014500677</c:v>
                </c:pt>
                <c:pt idx="29">
                  <c:v>237.13768450006134</c:v>
                </c:pt>
                <c:pt idx="30">
                  <c:v>245.11101906025024</c:v>
                </c:pt>
                <c:pt idx="31">
                  <c:v>253.07846120782642</c:v>
                </c:pt>
                <c:pt idx="32">
                  <c:v>261.04022282237821</c:v>
                </c:pt>
                <c:pt idx="33">
                  <c:v>268.99650178885196</c:v>
                </c:pt>
                <c:pt idx="34">
                  <c:v>276.94748331764885</c:v>
                </c:pt>
                <c:pt idx="35">
                  <c:v>284.89334110505234</c:v>
                </c:pt>
                <c:pt idx="36">
                  <c:v>292.83423835730713</c:v>
                </c:pt>
                <c:pt idx="37">
                  <c:v>300.77032869771307</c:v>
                </c:pt>
                <c:pt idx="38">
                  <c:v>308.70175697289704</c:v>
                </c:pt>
                <c:pt idx="39">
                  <c:v>316.62865997182678</c:v>
                </c:pt>
                <c:pt idx="40">
                  <c:v>324.55116706900372</c:v>
                </c:pt>
                <c:pt idx="41">
                  <c:v>332.46940080152797</c:v>
                </c:pt>
                <c:pt idx="42">
                  <c:v>340.3834773882773</c:v>
                </c:pt>
                <c:pt idx="43">
                  <c:v>273.75218029395825</c:v>
                </c:pt>
                <c:pt idx="44">
                  <c:v>293.36881382704775</c:v>
                </c:pt>
                <c:pt idx="45">
                  <c:v>312.95617609403075</c:v>
                </c:pt>
                <c:pt idx="46">
                  <c:v>332.51635617745427</c:v>
                </c:pt>
                <c:pt idx="47">
                  <c:v>352.05117734371078</c:v>
                </c:pt>
                <c:pt idx="48">
                  <c:v>371.56224404609662</c:v>
                </c:pt>
                <c:pt idx="49">
                  <c:v>391.0509785343383</c:v>
                </c:pt>
                <c:pt idx="50">
                  <c:v>410.51864978264985</c:v>
                </c:pt>
                <c:pt idx="51">
                  <c:v>358.14000932688845</c:v>
                </c:pt>
                <c:pt idx="52">
                  <c:v>378.133205362853</c:v>
                </c:pt>
                <c:pt idx="53">
                  <c:v>398.10339955589421</c:v>
                </c:pt>
                <c:pt idx="54">
                  <c:v>418.05190742655623</c:v>
                </c:pt>
                <c:pt idx="55">
                  <c:v>437.97990876559203</c:v>
                </c:pt>
                <c:pt idx="56">
                  <c:v>457.88846730300457</c:v>
                </c:pt>
                <c:pt idx="57">
                  <c:v>477.7785467783458</c:v>
                </c:pt>
                <c:pt idx="58">
                  <c:v>497.651024196067</c:v>
                </c:pt>
                <c:pt idx="59">
                  <c:v>425.3081979788314</c:v>
                </c:pt>
                <c:pt idx="60">
                  <c:v>444.73668447776726</c:v>
                </c:pt>
                <c:pt idx="61">
                  <c:v>464.14699911725734</c:v>
                </c:pt>
                <c:pt idx="62">
                  <c:v>483.54000828600118</c:v>
                </c:pt>
                <c:pt idx="63">
                  <c:v>502.91650325255364</c:v>
                </c:pt>
                <c:pt idx="64">
                  <c:v>522.27720938092455</c:v>
                </c:pt>
                <c:pt idx="65">
                  <c:v>541.62279390908645</c:v>
                </c:pt>
                <c:pt idx="66">
                  <c:v>560.95387255882349</c:v>
                </c:pt>
                <c:pt idx="67">
                  <c:v>476.79537882809342</c:v>
                </c:pt>
                <c:pt idx="68">
                  <c:v>495.46111981441936</c:v>
                </c:pt>
                <c:pt idx="69">
                  <c:v>514.11196622588784</c:v>
                </c:pt>
                <c:pt idx="70">
                  <c:v>532.74853410341427</c:v>
                </c:pt>
                <c:pt idx="71">
                  <c:v>551.37139290172445</c:v>
                </c:pt>
                <c:pt idx="72">
                  <c:v>569.98107049885277</c:v>
                </c:pt>
                <c:pt idx="73">
                  <c:v>588.57805751771946</c:v>
                </c:pt>
                <c:pt idx="74">
                  <c:v>607.16281107343082</c:v>
                </c:pt>
                <c:pt idx="75">
                  <c:v>527.27795667733812</c:v>
                </c:pt>
                <c:pt idx="76">
                  <c:v>545.54754028313835</c:v>
                </c:pt>
                <c:pt idx="77">
                  <c:v>563.80428892622592</c:v>
                </c:pt>
                <c:pt idx="78">
                  <c:v>582.04867643370324</c:v>
                </c:pt>
                <c:pt idx="79">
                  <c:v>600.28114452830425</c:v>
                </c:pt>
                <c:pt idx="80">
                  <c:v>618.50210593255088</c:v>
                </c:pt>
                <c:pt idx="81">
                  <c:v>636.71194708833502</c:v>
                </c:pt>
                <c:pt idx="82">
                  <c:v>654.91103054942675</c:v>
                </c:pt>
                <c:pt idx="83">
                  <c:v>673.09969709441123</c:v>
                </c:pt>
                <c:pt idx="84">
                  <c:v>691.27826759955133</c:v>
                </c:pt>
                <c:pt idx="85">
                  <c:v>581.59973453568659</c:v>
                </c:pt>
                <c:pt idx="86">
                  <c:v>599.11844918899601</c:v>
                </c:pt>
                <c:pt idx="87">
                  <c:v>616.62651763378562</c:v>
                </c:pt>
                <c:pt idx="88">
                  <c:v>634.12428449003357</c:v>
                </c:pt>
                <c:pt idx="89">
                  <c:v>651.61207382332452</c:v>
                </c:pt>
                <c:pt idx="90">
                  <c:v>669.09019090077402</c:v>
                </c:pt>
                <c:pt idx="91">
                  <c:v>686.55892375407859</c:v>
                </c:pt>
                <c:pt idx="92">
                  <c:v>704.01854457534034</c:v>
                </c:pt>
                <c:pt idx="93">
                  <c:v>721.46931096734397</c:v>
                </c:pt>
                <c:pt idx="94">
                  <c:v>738.91146706668712</c:v>
                </c:pt>
                <c:pt idx="95">
                  <c:v>627.697086725389</c:v>
                </c:pt>
                <c:pt idx="96">
                  <c:v>644.74814711906788</c:v>
                </c:pt>
                <c:pt idx="97">
                  <c:v>661.78990449197136</c:v>
                </c:pt>
                <c:pt idx="98">
                  <c:v>678.82263195520943</c:v>
                </c:pt>
                <c:pt idx="99">
                  <c:v>695.84658780820121</c:v>
                </c:pt>
                <c:pt idx="100">
                  <c:v>712.86201669207321</c:v>
                </c:pt>
                <c:pt idx="101">
                  <c:v>729.86915062730213</c:v>
                </c:pt>
                <c:pt idx="102">
                  <c:v>746.86820994969855</c:v>
                </c:pt>
                <c:pt idx="103">
                  <c:v>763.85940415682887</c:v>
                </c:pt>
                <c:pt idx="104">
                  <c:v>780.84293267527562</c:v>
                </c:pt>
                <c:pt idx="105">
                  <c:v>671.97975155410234</c:v>
                </c:pt>
                <c:pt idx="106">
                  <c:v>688.82254008714096</c:v>
                </c:pt>
                <c:pt idx="107">
                  <c:v>705.65688844321483</c:v>
                </c:pt>
                <c:pt idx="108">
                  <c:v>722.4830261622709</c:v>
                </c:pt>
                <c:pt idx="109">
                  <c:v>739.30117123035416</c:v>
                </c:pt>
                <c:pt idx="110">
                  <c:v>756.11153091614267</c:v>
                </c:pt>
                <c:pt idx="111">
                  <c:v>772.91430252928774</c:v>
                </c:pt>
                <c:pt idx="112">
                  <c:v>789.70967410944593</c:v>
                </c:pt>
                <c:pt idx="113">
                  <c:v>806.49782505370615</c:v>
                </c:pt>
                <c:pt idx="114">
                  <c:v>823.27892668911102</c:v>
                </c:pt>
                <c:pt idx="115">
                  <c:v>722.72266190929292</c:v>
                </c:pt>
                <c:pt idx="116">
                  <c:v>739.67566348659057</c:v>
                </c:pt>
                <c:pt idx="117">
                  <c:v>756.62075875063954</c:v>
                </c:pt>
                <c:pt idx="118">
                  <c:v>773.55814954391769</c:v>
                </c:pt>
                <c:pt idx="119">
                  <c:v>790.48802815801503</c:v>
                </c:pt>
                <c:pt idx="120">
                  <c:v>807.41057798460258</c:v>
                </c:pt>
                <c:pt idx="121">
                  <c:v>824.32597410904464</c:v>
                </c:pt>
                <c:pt idx="122">
                  <c:v>841.23438385280679</c:v>
                </c:pt>
                <c:pt idx="123">
                  <c:v>858.13596727003414</c:v>
                </c:pt>
                <c:pt idx="124">
                  <c:v>875.03087760302014</c:v>
                </c:pt>
                <c:pt idx="125">
                  <c:v>782.50061686170341</c:v>
                </c:pt>
                <c:pt idx="126">
                  <c:v>799.62968518227046</c:v>
                </c:pt>
                <c:pt idx="127">
                  <c:v>816.75134561555353</c:v>
                </c:pt>
                <c:pt idx="128">
                  <c:v>833.86577516673162</c:v>
                </c:pt>
                <c:pt idx="129">
                  <c:v>850.97314299064567</c:v>
                </c:pt>
                <c:pt idx="130">
                  <c:v>868.07361089398819</c:v>
                </c:pt>
                <c:pt idx="131">
                  <c:v>885.16733379591051</c:v>
                </c:pt>
                <c:pt idx="132">
                  <c:v>902.2544601512418</c:v>
                </c:pt>
                <c:pt idx="133">
                  <c:v>919.33513234002146</c:v>
                </c:pt>
                <c:pt idx="134">
                  <c:v>936.40948702661092</c:v>
                </c:pt>
                <c:pt idx="135">
                  <c:v>838.6102011221443</c:v>
                </c:pt>
                <c:pt idx="136">
                  <c:v>855.94497971688827</c:v>
                </c:pt>
                <c:pt idx="137">
                  <c:v>873.27271903682515</c:v>
                </c:pt>
                <c:pt idx="138">
                  <c:v>890.5935782737007</c:v>
                </c:pt>
                <c:pt idx="139">
                  <c:v>907.90770992953412</c:v>
                </c:pt>
                <c:pt idx="140">
                  <c:v>925.21526022253431</c:v>
                </c:pt>
                <c:pt idx="141">
                  <c:v>942.51636946110614</c:v>
                </c:pt>
                <c:pt idx="142">
                  <c:v>959.81117238899981</c:v>
                </c:pt>
                <c:pt idx="143">
                  <c:v>977.0997985043233</c:v>
                </c:pt>
                <c:pt idx="144">
                  <c:v>994.38237235483496</c:v>
                </c:pt>
                <c:pt idx="145">
                  <c:v>895.13672120800663</c:v>
                </c:pt>
                <c:pt idx="146">
                  <c:v>912.81066349155742</c:v>
                </c:pt>
                <c:pt idx="147">
                  <c:v>930.4777886047126</c:v>
                </c:pt>
                <c:pt idx="148">
                  <c:v>948.13824405935259</c:v>
                </c:pt>
                <c:pt idx="149">
                  <c:v>965.79217143106382</c:v>
                </c:pt>
                <c:pt idx="150">
                  <c:v>983.43970670436431</c:v>
                </c:pt>
                <c:pt idx="151">
                  <c:v>1001.0809805918944</c:v>
                </c:pt>
                <c:pt idx="152">
                  <c:v>1018.71611882997</c:v>
                </c:pt>
                <c:pt idx="153">
                  <c:v>1036.3452424526342</c:v>
                </c:pt>
                <c:pt idx="154">
                  <c:v>1053.9684680461214</c:v>
                </c:pt>
                <c:pt idx="155">
                  <c:v>956.55090506127237</c:v>
                </c:pt>
                <c:pt idx="156">
                  <c:v>974.49101342927031</c:v>
                </c:pt>
                <c:pt idx="157">
                  <c:v>992.4245856504881</c:v>
                </c:pt>
                <c:pt idx="158">
                  <c:v>1010.3517563163817</c:v>
                </c:pt>
                <c:pt idx="159">
                  <c:v>1028.272654859283</c:v>
                </c:pt>
                <c:pt idx="160">
                  <c:v>1046.1874058384321</c:v>
                </c:pt>
                <c:pt idx="161">
                  <c:v>1064.0961292054305</c:v>
                </c:pt>
                <c:pt idx="162">
                  <c:v>1081.9989405509189</c:v>
                </c:pt>
                <c:pt idx="163">
                  <c:v>1099.8959513341035</c:v>
                </c:pt>
                <c:pt idx="164">
                  <c:v>1117.7872690965953</c:v>
                </c:pt>
                <c:pt idx="165">
                  <c:v>1011.3529825308154</c:v>
                </c:pt>
                <c:pt idx="166">
                  <c:v>1029.5265839652609</c:v>
                </c:pt>
                <c:pt idx="167">
                  <c:v>1047.6938717377543</c:v>
                </c:pt>
                <c:pt idx="168">
                  <c:v>1065.8549705958526</c:v>
                </c:pt>
                <c:pt idx="169">
                  <c:v>1084.0100006955302</c:v>
                </c:pt>
                <c:pt idx="170">
                  <c:v>1102.1590778457946</c:v>
                </c:pt>
                <c:pt idx="171">
                  <c:v>1120.3023137363737</c:v>
                </c:pt>
                <c:pt idx="172">
                  <c:v>1138.4398161499098</c:v>
                </c:pt>
                <c:pt idx="173">
                  <c:v>1156.5716891599543</c:v>
                </c:pt>
                <c:pt idx="174">
                  <c:v>1174.698033315914</c:v>
                </c:pt>
                <c:pt idx="175">
                  <c:v>732.31437435591215</c:v>
                </c:pt>
                <c:pt idx="176">
                  <c:v>743.98679945215974</c:v>
                </c:pt>
                <c:pt idx="177">
                  <c:v>755.65550007785635</c:v>
                </c:pt>
                <c:pt idx="178">
                  <c:v>517.46121739591933</c:v>
                </c:pt>
                <c:pt idx="179">
                  <c:v>524.66092206348958</c:v>
                </c:pt>
                <c:pt idx="180">
                  <c:v>531.85854549909652</c:v>
                </c:pt>
                <c:pt idx="181">
                  <c:v>369.1961442433323</c:v>
                </c:pt>
                <c:pt idx="182">
                  <c:v>373.61945496476648</c:v>
                </c:pt>
                <c:pt idx="183">
                  <c:v>378.04162441819318</c:v>
                </c:pt>
                <c:pt idx="184">
                  <c:v>1.6226126790761848E-11</c:v>
                </c:pt>
                <c:pt idx="185">
                  <c:v>1.6226126790761848E-11</c:v>
                </c:pt>
                <c:pt idx="186">
                  <c:v>1.6226126790761848E-11</c:v>
                </c:pt>
                <c:pt idx="187">
                  <c:v>1.6226126790761848E-11</c:v>
                </c:pt>
                <c:pt idx="188">
                  <c:v>1.6226126790761848E-11</c:v>
                </c:pt>
                <c:pt idx="189">
                  <c:v>1.6226126790761848E-11</c:v>
                </c:pt>
                <c:pt idx="190">
                  <c:v>1.6226126790761848E-11</c:v>
                </c:pt>
                <c:pt idx="191">
                  <c:v>1.6226126790761848E-11</c:v>
                </c:pt>
                <c:pt idx="192">
                  <c:v>1.6226126790761848E-11</c:v>
                </c:pt>
                <c:pt idx="193">
                  <c:v>1.6226126790761848E-11</c:v>
                </c:pt>
                <c:pt idx="194">
                  <c:v>1.6226126790761848E-11</c:v>
                </c:pt>
                <c:pt idx="195">
                  <c:v>1.6226126790761848E-11</c:v>
                </c:pt>
                <c:pt idx="196">
                  <c:v>1.6226126790761848E-11</c:v>
                </c:pt>
                <c:pt idx="197">
                  <c:v>1.6226126790761848E-11</c:v>
                </c:pt>
                <c:pt idx="198">
                  <c:v>1.6226126790761848E-11</c:v>
                </c:pt>
                <c:pt idx="199">
                  <c:v>1.6226126790761848E-11</c:v>
                </c:pt>
                <c:pt idx="200">
                  <c:v>1.6226126790761848E-11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2.5251641427447038</c:v>
                </c:pt>
                <c:pt idx="2">
                  <c:v>3.0659836900111501</c:v>
                </c:pt>
                <c:pt idx="3">
                  <c:v>3.72306978401474</c:v>
                </c:pt>
                <c:pt idx="4">
                  <c:v>4.5215065574389657</c:v>
                </c:pt>
                <c:pt idx="5">
                  <c:v>5.4918079349600406</c:v>
                </c:pt>
                <c:pt idx="6">
                  <c:v>6.6710966034603709</c:v>
                </c:pt>
                <c:pt idx="7">
                  <c:v>8.1045396986996359</c:v>
                </c:pt>
                <c:pt idx="8">
                  <c:v>9.847097252976555</c:v>
                </c:pt>
                <c:pt idx="9">
                  <c:v>11.965651712594722</c:v>
                </c:pt>
                <c:pt idx="10">
                  <c:v>14.541601787809954</c:v>
                </c:pt>
                <c:pt idx="11">
                  <c:v>17.674022132363714</c:v>
                </c:pt>
                <c:pt idx="12">
                  <c:v>21.483512585759296</c:v>
                </c:pt>
                <c:pt idx="13">
                  <c:v>26.116887828937664</c:v>
                </c:pt>
                <c:pt idx="14">
                  <c:v>31.752891376550057</c:v>
                </c:pt>
                <c:pt idx="15">
                  <c:v>38.609158166707701</c:v>
                </c:pt>
                <c:pt idx="16">
                  <c:v>43.754910153152025</c:v>
                </c:pt>
                <c:pt idx="17">
                  <c:v>48.884401649460102</c:v>
                </c:pt>
                <c:pt idx="18">
                  <c:v>53.999586130991638</c:v>
                </c:pt>
                <c:pt idx="19">
                  <c:v>59.102014803832958</c:v>
                </c:pt>
                <c:pt idx="20">
                  <c:v>64.192947903636622</c:v>
                </c:pt>
                <c:pt idx="21">
                  <c:v>59.102014803832951</c:v>
                </c:pt>
                <c:pt idx="22">
                  <c:v>64.424098420473612</c:v>
                </c:pt>
                <c:pt idx="23">
                  <c:v>69.734803600053766</c:v>
                </c:pt>
                <c:pt idx="24">
                  <c:v>75.035121697679017</c:v>
                </c:pt>
                <c:pt idx="25">
                  <c:v>80.325892057250982</c:v>
                </c:pt>
                <c:pt idx="26">
                  <c:v>76.646331669997508</c:v>
                </c:pt>
                <c:pt idx="27">
                  <c:v>82.164057018091412</c:v>
                </c:pt>
                <c:pt idx="28">
                  <c:v>87.672415653160456</c:v>
                </c:pt>
                <c:pt idx="29">
                  <c:v>93.172080657101844</c:v>
                </c:pt>
                <c:pt idx="30">
                  <c:v>98.663638916304237</c:v>
                </c:pt>
                <c:pt idx="31">
                  <c:v>93.858957567836981</c:v>
                </c:pt>
                <c:pt idx="32">
                  <c:v>99.349540078518643</c:v>
                </c:pt>
                <c:pt idx="33">
                  <c:v>104.83259201464182</c:v>
                </c:pt>
                <c:pt idx="34">
                  <c:v>110.30856380243615</c:v>
                </c:pt>
                <c:pt idx="35">
                  <c:v>115.77785737197435</c:v>
                </c:pt>
                <c:pt idx="36">
                  <c:v>109.85249314434161</c:v>
                </c:pt>
                <c:pt idx="37">
                  <c:v>115.32232892790154</c:v>
                </c:pt>
                <c:pt idx="38">
                  <c:v>120.78581860368736</c:v>
                </c:pt>
                <c:pt idx="39">
                  <c:v>126.24329041370743</c:v>
                </c:pt>
                <c:pt idx="40">
                  <c:v>131.69504183024623</c:v>
                </c:pt>
                <c:pt idx="41">
                  <c:v>125.7887234996597</c:v>
                </c:pt>
                <c:pt idx="42">
                  <c:v>131.24094092949005</c:v>
                </c:pt>
                <c:pt idx="43">
                  <c:v>136.68768710570427</c:v>
                </c:pt>
                <c:pt idx="44">
                  <c:v>142.12921131181261</c:v>
                </c:pt>
                <c:pt idx="45">
                  <c:v>147.56574213893074</c:v>
                </c:pt>
                <c:pt idx="46">
                  <c:v>140.3159356207652</c:v>
                </c:pt>
                <c:pt idx="47">
                  <c:v>145.52761451594594</c:v>
                </c:pt>
                <c:pt idx="48">
                  <c:v>150.73483015282747</c:v>
                </c:pt>
                <c:pt idx="49">
                  <c:v>155.93775882820455</c:v>
                </c:pt>
                <c:pt idx="50">
                  <c:v>161.13656408640864</c:v>
                </c:pt>
                <c:pt idx="51">
                  <c:v>153.67613191785088</c:v>
                </c:pt>
                <c:pt idx="52">
                  <c:v>158.65068353627368</c:v>
                </c:pt>
                <c:pt idx="53">
                  <c:v>163.62153641581833</c:v>
                </c:pt>
                <c:pt idx="54">
                  <c:v>168.58881903979511</c:v>
                </c:pt>
                <c:pt idx="55">
                  <c:v>173.55265168473863</c:v>
                </c:pt>
                <c:pt idx="56">
                  <c:v>165.87982733683168</c:v>
                </c:pt>
                <c:pt idx="57">
                  <c:v>170.61988827467206</c:v>
                </c:pt>
                <c:pt idx="58">
                  <c:v>175.35684862651081</c:v>
                </c:pt>
                <c:pt idx="59">
                  <c:v>180.09080416161893</c:v>
                </c:pt>
                <c:pt idx="60">
                  <c:v>184.82184519189613</c:v>
                </c:pt>
                <c:pt idx="61">
                  <c:v>176.93516310576447</c:v>
                </c:pt>
                <c:pt idx="62">
                  <c:v>181.44282374804376</c:v>
                </c:pt>
                <c:pt idx="63">
                  <c:v>185.9478634358592</c:v>
                </c:pt>
                <c:pt idx="64">
                  <c:v>190.45035477579154</c:v>
                </c:pt>
                <c:pt idx="65">
                  <c:v>194.95036665337298</c:v>
                </c:pt>
                <c:pt idx="66">
                  <c:v>187.07372242622981</c:v>
                </c:pt>
                <c:pt idx="67">
                  <c:v>191.57558758167247</c:v>
                </c:pt>
                <c:pt idx="68">
                  <c:v>196.07498994746314</c:v>
                </c:pt>
                <c:pt idx="69">
                  <c:v>200.57199414028253</c:v>
                </c:pt>
                <c:pt idx="70">
                  <c:v>205.06666163639463</c:v>
                </c:pt>
                <c:pt idx="71">
                  <c:v>196.74969192320927</c:v>
                </c:pt>
                <c:pt idx="72">
                  <c:v>200.79678251340351</c:v>
                </c:pt>
                <c:pt idx="73">
                  <c:v>204.84198284284162</c:v>
                </c:pt>
                <c:pt idx="74">
                  <c:v>208.88533559507187</c:v>
                </c:pt>
                <c:pt idx="75">
                  <c:v>212.92688166259384</c:v>
                </c:pt>
                <c:pt idx="76">
                  <c:v>204.61729834734868</c:v>
                </c:pt>
                <c:pt idx="77">
                  <c:v>208.66075265393101</c:v>
                </c:pt>
                <c:pt idx="78">
                  <c:v>212.70239804910179</c:v>
                </c:pt>
                <c:pt idx="79">
                  <c:v>216.74227383360707</c:v>
                </c:pt>
                <c:pt idx="80">
                  <c:v>220.78041772031693</c:v>
                </c:pt>
                <c:pt idx="81">
                  <c:v>212.02891441405961</c:v>
                </c:pt>
                <c:pt idx="82">
                  <c:v>215.62026142299865</c:v>
                </c:pt>
                <c:pt idx="83">
                  <c:v>219.21023188421313</c:v>
                </c:pt>
                <c:pt idx="84">
                  <c:v>222.79885157604664</c:v>
                </c:pt>
                <c:pt idx="85">
                  <c:v>226.3861453767432</c:v>
                </c:pt>
                <c:pt idx="86">
                  <c:v>218.53721607804448</c:v>
                </c:pt>
                <c:pt idx="87">
                  <c:v>221.90182191224508</c:v>
                </c:pt>
                <c:pt idx="88">
                  <c:v>225.2652570256333</c:v>
                </c:pt>
                <c:pt idx="89">
                  <c:v>228.62754140696123</c:v>
                </c:pt>
                <c:pt idx="90">
                  <c:v>231.98869440771659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8.7417091662275883</c:v>
                </c:pt>
                <c:pt idx="2">
                  <c:v>17.098226227052344</c:v>
                </c:pt>
                <c:pt idx="3">
                  <c:v>25.330345573266129</c:v>
                </c:pt>
                <c:pt idx="4">
                  <c:v>33.485783273778182</c:v>
                </c:pt>
                <c:pt idx="5">
                  <c:v>41.586165815254333</c:v>
                </c:pt>
                <c:pt idx="6">
                  <c:v>49.643829848619816</c:v>
                </c:pt>
                <c:pt idx="7">
                  <c:v>57.666728335722581</c:v>
                </c:pt>
                <c:pt idx="8">
                  <c:v>65.660400828472447</c:v>
                </c:pt>
                <c:pt idx="9">
                  <c:v>73.628918967991879</c:v>
                </c:pt>
                <c:pt idx="10">
                  <c:v>81.575396505519009</c:v>
                </c:pt>
                <c:pt idx="11">
                  <c:v>89.50228840515193</c:v>
                </c:pt>
                <c:pt idx="12">
                  <c:v>97.411577672304475</c:v>
                </c:pt>
                <c:pt idx="13">
                  <c:v>105.30489796493235</c:v>
                </c:pt>
                <c:pt idx="14">
                  <c:v>113.18361733172365</c:v>
                </c:pt>
                <c:pt idx="15">
                  <c:v>121.04889731154078</c:v>
                </c:pt>
                <c:pt idx="16">
                  <c:v>128.90173580958253</c:v>
                </c:pt>
                <c:pt idx="17">
                  <c:v>136.7429989426748</c:v>
                </c:pt>
                <c:pt idx="18">
                  <c:v>144.5734451753616</c:v>
                </c:pt>
                <c:pt idx="19">
                  <c:v>152.39374393865108</c:v>
                </c:pt>
                <c:pt idx="20">
                  <c:v>160.20449021720449</c:v>
                </c:pt>
                <c:pt idx="21">
                  <c:v>168.00621613617875</c:v>
                </c:pt>
                <c:pt idx="22">
                  <c:v>175.79940027851879</c:v>
                </c:pt>
                <c:pt idx="23">
                  <c:v>183.58447526031014</c:v>
                </c:pt>
                <c:pt idx="24">
                  <c:v>191.36183395150397</c:v>
                </c:pt>
                <c:pt idx="25">
                  <c:v>199.13183463064021</c:v>
                </c:pt>
                <c:pt idx="26">
                  <c:v>206.89480529159883</c:v>
                </c:pt>
                <c:pt idx="27">
                  <c:v>214.65104726913765</c:v>
                </c:pt>
                <c:pt idx="28">
                  <c:v>222.40083831221418</c:v>
                </c:pt>
                <c:pt idx="29">
                  <c:v>230.14443520592366</c:v>
                </c:pt>
                <c:pt idx="30">
                  <c:v>237.88207602163018</c:v>
                </c:pt>
                <c:pt idx="31">
                  <c:v>245.61398205865297</c:v>
                </c:pt>
                <c:pt idx="32">
                  <c:v>253.34035952837348</c:v>
                </c:pt>
                <c:pt idx="33">
                  <c:v>261.06140102191642</c:v>
                </c:pt>
                <c:pt idx="34">
                  <c:v>268.77728679493106</c:v>
                </c:pt>
                <c:pt idx="35">
                  <c:v>276.48818589697464</c:v>
                </c:pt>
                <c:pt idx="36">
                  <c:v>284.19425716819558</c:v>
                </c:pt>
                <c:pt idx="37">
                  <c:v>291.89565012216036</c:v>
                </c:pt>
                <c:pt idx="38">
                  <c:v>299.59250573055618</c:v>
                </c:pt>
                <c:pt idx="39">
                  <c:v>307.28495712297001</c:v>
                </c:pt>
                <c:pt idx="40">
                  <c:v>314.97313021287425</c:v>
                </c:pt>
                <c:pt idx="41">
                  <c:v>322.65714425925438</c:v>
                </c:pt>
                <c:pt idx="42">
                  <c:v>330.3371123718984</c:v>
                </c:pt>
                <c:pt idx="43">
                  <c:v>338.01314196720938</c:v>
                </c:pt>
                <c:pt idx="44">
                  <c:v>345.68533518042176</c:v>
                </c:pt>
                <c:pt idx="45">
                  <c:v>353.35378923928675</c:v>
                </c:pt>
                <c:pt idx="46">
                  <c:v>361.01859680360548</c:v>
                </c:pt>
                <c:pt idx="47">
                  <c:v>368.67984627440336</c:v>
                </c:pt>
                <c:pt idx="48">
                  <c:v>253.96824566638767</c:v>
                </c:pt>
                <c:pt idx="49">
                  <c:v>271.05916306752107</c:v>
                </c:pt>
                <c:pt idx="50">
                  <c:v>288.12584394415285</c:v>
                </c:pt>
                <c:pt idx="51">
                  <c:v>305.16992578582989</c:v>
                </c:pt>
                <c:pt idx="52">
                  <c:v>322.19284821734954</c:v>
                </c:pt>
                <c:pt idx="53">
                  <c:v>339.19588631828384</c:v>
                </c:pt>
                <c:pt idx="54">
                  <c:v>356.18017690826201</c:v>
                </c:pt>
                <c:pt idx="55">
                  <c:v>373.14673955441344</c:v>
                </c:pt>
                <c:pt idx="56">
                  <c:v>298.79276331412967</c:v>
                </c:pt>
                <c:pt idx="57">
                  <c:v>315.54023060225984</c:v>
                </c:pt>
                <c:pt idx="58">
                  <c:v>332.26800534445584</c:v>
                </c:pt>
                <c:pt idx="59">
                  <c:v>348.97721830760611</c:v>
                </c:pt>
                <c:pt idx="60">
                  <c:v>365.66888314608468</c:v>
                </c:pt>
                <c:pt idx="61">
                  <c:v>382.34391343463022</c:v>
                </c:pt>
                <c:pt idx="62">
                  <c:v>399.00313657397311</c:v>
                </c:pt>
                <c:pt idx="63">
                  <c:v>415.64730525258256</c:v>
                </c:pt>
                <c:pt idx="64">
                  <c:v>347.00077401951256</c:v>
                </c:pt>
                <c:pt idx="65">
                  <c:v>363.71146694515363</c:v>
                </c:pt>
                <c:pt idx="66">
                  <c:v>380.40538870468509</c:v>
                </c:pt>
                <c:pt idx="67">
                  <c:v>397.08337869562729</c:v>
                </c:pt>
                <c:pt idx="68">
                  <c:v>413.74620006736376</c:v>
                </c:pt>
                <c:pt idx="69">
                  <c:v>430.39454950275353</c:v>
                </c:pt>
                <c:pt idx="70">
                  <c:v>447.02906540737916</c:v>
                </c:pt>
                <c:pt idx="71">
                  <c:v>463.65033481643667</c:v>
                </c:pt>
                <c:pt idx="72">
                  <c:v>480.25889925976179</c:v>
                </c:pt>
                <c:pt idx="73">
                  <c:v>496.85525977345964</c:v>
                </c:pt>
                <c:pt idx="74">
                  <c:v>424.34157707097665</c:v>
                </c:pt>
                <c:pt idx="75">
                  <c:v>440.99072777137002</c:v>
                </c:pt>
                <c:pt idx="76">
                  <c:v>457.62640871652428</c:v>
                </c:pt>
                <c:pt idx="77">
                  <c:v>474.24917829924271</c:v>
                </c:pt>
                <c:pt idx="78">
                  <c:v>490.85955259183038</c:v>
                </c:pt>
                <c:pt idx="79">
                  <c:v>507.45800990665361</c:v>
                </c:pt>
                <c:pt idx="80">
                  <c:v>524.04499472913108</c:v>
                </c:pt>
                <c:pt idx="81">
                  <c:v>540.62092112703647</c:v>
                </c:pt>
                <c:pt idx="82">
                  <c:v>557.18617572008066</c:v>
                </c:pt>
                <c:pt idx="83">
                  <c:v>573.74112027813396</c:v>
                </c:pt>
                <c:pt idx="84">
                  <c:v>493.83950337051391</c:v>
                </c:pt>
                <c:pt idx="85">
                  <c:v>510.48168015551761</c:v>
                </c:pt>
                <c:pt idx="86">
                  <c:v>527.11239905394689</c:v>
                </c:pt>
                <c:pt idx="87">
                  <c:v>543.7320722806445</c:v>
                </c:pt>
                <c:pt idx="88">
                  <c:v>560.34108481011219</c:v>
                </c:pt>
                <c:pt idx="89">
                  <c:v>576.93979694729899</c:v>
                </c:pt>
                <c:pt idx="90">
                  <c:v>593.52854658730018</c:v>
                </c:pt>
                <c:pt idx="91">
                  <c:v>610.10765120942222</c:v>
                </c:pt>
                <c:pt idx="92">
                  <c:v>626.67740964335826</c:v>
                </c:pt>
                <c:pt idx="93">
                  <c:v>643.23810363896939</c:v>
                </c:pt>
                <c:pt idx="94">
                  <c:v>555.58812340441716</c:v>
                </c:pt>
                <c:pt idx="95">
                  <c:v>572.37014497379562</c:v>
                </c:pt>
                <c:pt idx="96">
                  <c:v>589.14189333998434</c:v>
                </c:pt>
                <c:pt idx="97">
                  <c:v>605.90370195644721</c:v>
                </c:pt>
                <c:pt idx="98">
                  <c:v>622.65588433549806</c:v>
                </c:pt>
                <c:pt idx="99">
                  <c:v>639.39873575623369</c:v>
                </c:pt>
                <c:pt idx="100">
                  <c:v>656.1325347843914</c:v>
                </c:pt>
                <c:pt idx="101">
                  <c:v>672.85754462920625</c:v>
                </c:pt>
                <c:pt idx="102">
                  <c:v>689.57401435844577</c:v>
                </c:pt>
                <c:pt idx="103">
                  <c:v>706.28217998959406</c:v>
                </c:pt>
                <c:pt idx="104">
                  <c:v>606.57637442676696</c:v>
                </c:pt>
                <c:pt idx="105">
                  <c:v>623.38820202694171</c:v>
                </c:pt>
                <c:pt idx="106">
                  <c:v>640.19064426025625</c:v>
                </c:pt>
                <c:pt idx="107">
                  <c:v>656.98398196454798</c:v>
                </c:pt>
                <c:pt idx="108">
                  <c:v>673.76848046103134</c:v>
                </c:pt>
                <c:pt idx="109">
                  <c:v>690.5443907846975</c:v>
                </c:pt>
                <c:pt idx="110">
                  <c:v>707.31195078902601</c:v>
                </c:pt>
                <c:pt idx="111">
                  <c:v>724.07138614058442</c:v>
                </c:pt>
                <c:pt idx="112">
                  <c:v>740.82291121683465</c:v>
                </c:pt>
                <c:pt idx="113">
                  <c:v>757.56672991858375</c:v>
                </c:pt>
                <c:pt idx="114">
                  <c:v>662.22008345536028</c:v>
                </c:pt>
                <c:pt idx="115">
                  <c:v>679.48921971699485</c:v>
                </c:pt>
                <c:pt idx="116">
                  <c:v>696.74934895034539</c:v>
                </c:pt>
                <c:pt idx="117">
                  <c:v>714.00072551256005</c:v>
                </c:pt>
                <c:pt idx="118">
                  <c:v>731.24359047838016</c:v>
                </c:pt>
                <c:pt idx="119">
                  <c:v>748.47817263696652</c:v>
                </c:pt>
                <c:pt idx="120">
                  <c:v>765.70468939222394</c:v>
                </c:pt>
                <c:pt idx="121">
                  <c:v>782.92334757797028</c:v>
                </c:pt>
                <c:pt idx="122">
                  <c:v>800.13434419773932</c:v>
                </c:pt>
                <c:pt idx="123">
                  <c:v>817.33786709768617</c:v>
                </c:pt>
                <c:pt idx="124">
                  <c:v>834.53409557995258</c:v>
                </c:pt>
                <c:pt idx="125">
                  <c:v>851.72320096290593</c:v>
                </c:pt>
                <c:pt idx="126">
                  <c:v>725.56139271169013</c:v>
                </c:pt>
                <c:pt idx="127">
                  <c:v>743.25123793033947</c:v>
                </c:pt>
                <c:pt idx="128">
                  <c:v>760.93252028150437</c:v>
                </c:pt>
                <c:pt idx="129">
                  <c:v>778.60546656085523</c:v>
                </c:pt>
                <c:pt idx="130">
                  <c:v>796.27029243953029</c:v>
                </c:pt>
                <c:pt idx="131">
                  <c:v>813.92720324949516</c:v>
                </c:pt>
                <c:pt idx="132">
                  <c:v>831.57639469728338</c:v>
                </c:pt>
                <c:pt idx="133">
                  <c:v>849.21805351406203</c:v>
                </c:pt>
                <c:pt idx="134">
                  <c:v>866.85235804893318</c:v>
                </c:pt>
                <c:pt idx="135">
                  <c:v>884.47947881150094</c:v>
                </c:pt>
                <c:pt idx="136">
                  <c:v>902.09957896899402</c:v>
                </c:pt>
                <c:pt idx="137">
                  <c:v>919.71281480257392</c:v>
                </c:pt>
                <c:pt idx="138">
                  <c:v>800.21397035180519</c:v>
                </c:pt>
                <c:pt idx="139">
                  <c:v>818.4203048231908</c:v>
                </c:pt>
                <c:pt idx="140">
                  <c:v>836.6184817010593</c:v>
                </c:pt>
                <c:pt idx="141">
                  <c:v>854.80870322079045</c:v>
                </c:pt>
                <c:pt idx="142">
                  <c:v>872.99116231903099</c:v>
                </c:pt>
                <c:pt idx="143">
                  <c:v>891.16604324992443</c:v>
                </c:pt>
                <c:pt idx="144">
                  <c:v>909.33352214851755</c:v>
                </c:pt>
                <c:pt idx="145">
                  <c:v>927.49376754686</c:v>
                </c:pt>
                <c:pt idx="146">
                  <c:v>945.64694084763198</c:v>
                </c:pt>
                <c:pt idx="147">
                  <c:v>963.79319675956231</c:v>
                </c:pt>
                <c:pt idx="148">
                  <c:v>981.9326836983937</c:v>
                </c:pt>
                <c:pt idx="149">
                  <c:v>1000.0655441567196</c:v>
                </c:pt>
                <c:pt idx="150">
                  <c:v>865.01631110188248</c:v>
                </c:pt>
                <c:pt idx="151">
                  <c:v>883.90811420187038</c:v>
                </c:pt>
                <c:pt idx="152">
                  <c:v>902.79184754939934</c:v>
                </c:pt>
                <c:pt idx="153">
                  <c:v>921.66770350000445</c:v>
                </c:pt>
                <c:pt idx="154">
                  <c:v>940.5358658981977</c:v>
                </c:pt>
                <c:pt idx="155">
                  <c:v>959.39651062066594</c:v>
                </c:pt>
                <c:pt idx="156">
                  <c:v>978.24980607458849</c:v>
                </c:pt>
                <c:pt idx="157">
                  <c:v>997.09591365560209</c:v>
                </c:pt>
                <c:pt idx="158">
                  <c:v>1015.9349881693835</c:v>
                </c:pt>
                <c:pt idx="159">
                  <c:v>1034.767178220387</c:v>
                </c:pt>
                <c:pt idx="160">
                  <c:v>1053.5926265708538</c:v>
                </c:pt>
                <c:pt idx="161">
                  <c:v>1072.4114704728611</c:v>
                </c:pt>
                <c:pt idx="162">
                  <c:v>1091.2238419758962</c:v>
                </c:pt>
                <c:pt idx="163">
                  <c:v>1110.0298682121445</c:v>
                </c:pt>
                <c:pt idx="164">
                  <c:v>1128.8296716614734</c:v>
                </c:pt>
                <c:pt idx="165">
                  <c:v>951.14628937753605</c:v>
                </c:pt>
                <c:pt idx="166">
                  <c:v>970.56753657447325</c:v>
                </c:pt>
                <c:pt idx="167">
                  <c:v>989.98108986507202</c:v>
                </c:pt>
                <c:pt idx="168">
                  <c:v>1009.3871211652649</c:v>
                </c:pt>
                <c:pt idx="169">
                  <c:v>1028.785795251235</c:v>
                </c:pt>
                <c:pt idx="170">
                  <c:v>1048.1772701876555</c:v>
                </c:pt>
                <c:pt idx="171">
                  <c:v>1067.5616977226466</c:v>
                </c:pt>
                <c:pt idx="172">
                  <c:v>1086.9392236525985</c:v>
                </c:pt>
                <c:pt idx="173">
                  <c:v>1106.30998815966</c:v>
                </c:pt>
                <c:pt idx="174">
                  <c:v>1125.6741261244126</c:v>
                </c:pt>
                <c:pt idx="175">
                  <c:v>1145.031767415933</c:v>
                </c:pt>
                <c:pt idx="176">
                  <c:v>1164.3830371612628</c:v>
                </c:pt>
                <c:pt idx="177">
                  <c:v>1183.7280559960573</c:v>
                </c:pt>
                <c:pt idx="178">
                  <c:v>1203.06694029803</c:v>
                </c:pt>
                <c:pt idx="179">
                  <c:v>1222.3998024046298</c:v>
                </c:pt>
                <c:pt idx="180">
                  <c:v>694.5294301538147</c:v>
                </c:pt>
                <c:pt idx="181">
                  <c:v>707.25607254043928</c:v>
                </c:pt>
                <c:pt idx="182">
                  <c:v>719.97803368893346</c:v>
                </c:pt>
                <c:pt idx="183">
                  <c:v>483.50253310822518</c:v>
                </c:pt>
                <c:pt idx="184">
                  <c:v>491.1933582890851</c:v>
                </c:pt>
                <c:pt idx="185">
                  <c:v>498.88163007276734</c:v>
                </c:pt>
                <c:pt idx="186">
                  <c:v>331.65149975791127</c:v>
                </c:pt>
                <c:pt idx="187">
                  <c:v>336.5098559117485</c:v>
                </c:pt>
                <c:pt idx="188">
                  <c:v>341.36666749315071</c:v>
                </c:pt>
                <c:pt idx="189">
                  <c:v>7.9502307538526985E-12</c:v>
                </c:pt>
                <c:pt idx="190">
                  <c:v>7.9502307538526985E-12</c:v>
                </c:pt>
                <c:pt idx="191">
                  <c:v>7.9502307538526985E-12</c:v>
                </c:pt>
                <c:pt idx="192">
                  <c:v>7.9502307538526985E-12</c:v>
                </c:pt>
                <c:pt idx="193">
                  <c:v>7.9502307538526985E-12</c:v>
                </c:pt>
                <c:pt idx="194">
                  <c:v>7.9502307538526985E-12</c:v>
                </c:pt>
                <c:pt idx="195">
                  <c:v>7.9502307538526985E-12</c:v>
                </c:pt>
                <c:pt idx="196">
                  <c:v>7.9502307538526985E-12</c:v>
                </c:pt>
                <c:pt idx="197">
                  <c:v>7.9502307538526985E-12</c:v>
                </c:pt>
                <c:pt idx="198">
                  <c:v>7.9502307538526985E-12</c:v>
                </c:pt>
                <c:pt idx="199">
                  <c:v>7.9502307538526985E-12</c:v>
                </c:pt>
                <c:pt idx="200">
                  <c:v>7.9502307538526985E-12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3.4410738171973398</c:v>
                </c:pt>
                <c:pt idx="2">
                  <c:v>4.4608209455466667</c:v>
                </c:pt>
                <c:pt idx="3">
                  <c:v>5.7839593618286251</c:v>
                </c:pt>
                <c:pt idx="4">
                  <c:v>7.5010867058128019</c:v>
                </c:pt>
                <c:pt idx="5">
                  <c:v>9.7299475504541739</c:v>
                </c:pt>
                <c:pt idx="6">
                  <c:v>12.62359359108882</c:v>
                </c:pt>
                <c:pt idx="7">
                  <c:v>16.381003870746099</c:v>
                </c:pt>
                <c:pt idx="8">
                  <c:v>21.260908631465579</c:v>
                </c:pt>
                <c:pt idx="9">
                  <c:v>27.599785685746742</c:v>
                </c:pt>
                <c:pt idx="10">
                  <c:v>35.835291920925037</c:v>
                </c:pt>
                <c:pt idx="11">
                  <c:v>46.985024019618947</c:v>
                </c:pt>
                <c:pt idx="12">
                  <c:v>58.063766046335616</c:v>
                </c:pt>
                <c:pt idx="13">
                  <c:v>69.087081703584502</c:v>
                </c:pt>
                <c:pt idx="14">
                  <c:v>80.065105012179131</c:v>
                </c:pt>
                <c:pt idx="15">
                  <c:v>91.004942333925854</c:v>
                </c:pt>
                <c:pt idx="16">
                  <c:v>105.14870185419373</c:v>
                </c:pt>
                <c:pt idx="17">
                  <c:v>119.24545723284972</c:v>
                </c:pt>
                <c:pt idx="18">
                  <c:v>133.30155764202001</c:v>
                </c:pt>
                <c:pt idx="19">
                  <c:v>147.32189924742238</c:v>
                </c:pt>
                <c:pt idx="20">
                  <c:v>161.31036772442937</c:v>
                </c:pt>
                <c:pt idx="21">
                  <c:v>114.84485279709075</c:v>
                </c:pt>
                <c:pt idx="22">
                  <c:v>128.32767279839109</c:v>
                </c:pt>
                <c:pt idx="23">
                  <c:v>141.77618935167845</c:v>
                </c:pt>
                <c:pt idx="24">
                  <c:v>155.19411815315803</c:v>
                </c:pt>
                <c:pt idx="25">
                  <c:v>168.58447853302872</c:v>
                </c:pt>
                <c:pt idx="26">
                  <c:v>148.19707636008866</c:v>
                </c:pt>
                <c:pt idx="27">
                  <c:v>161.31036772442937</c:v>
                </c:pt>
                <c:pt idx="28">
                  <c:v>174.3984236178724</c:v>
                </c:pt>
                <c:pt idx="29">
                  <c:v>187.46340594209792</c:v>
                </c:pt>
                <c:pt idx="30">
                  <c:v>200.50715025518221</c:v>
                </c:pt>
                <c:pt idx="31">
                  <c:v>177.88459399640385</c:v>
                </c:pt>
                <c:pt idx="32">
                  <c:v>190.07380002073521</c:v>
                </c:pt>
                <c:pt idx="33">
                  <c:v>202.24479885360915</c:v>
                </c:pt>
                <c:pt idx="34">
                  <c:v>214.39884125727303</c:v>
                </c:pt>
                <c:pt idx="35">
                  <c:v>226.5370244687019</c:v>
                </c:pt>
                <c:pt idx="36">
                  <c:v>203.11349326743414</c:v>
                </c:pt>
                <c:pt idx="37">
                  <c:v>214.39884125727303</c:v>
                </c:pt>
                <c:pt idx="38">
                  <c:v>225.67051599369438</c:v>
                </c:pt>
                <c:pt idx="39">
                  <c:v>236.92929712202124</c:v>
                </c:pt>
                <c:pt idx="40">
                  <c:v>248.17588407773692</c:v>
                </c:pt>
                <c:pt idx="41">
                  <c:v>225.09280133418588</c:v>
                </c:pt>
                <c:pt idx="42">
                  <c:v>235.19798731677477</c:v>
                </c:pt>
                <c:pt idx="43">
                  <c:v>245.29327027921784</c:v>
                </c:pt>
                <c:pt idx="44">
                  <c:v>255.37911556611809</c:v>
                </c:pt>
                <c:pt idx="45">
                  <c:v>265.45594873287132</c:v>
                </c:pt>
                <c:pt idx="46">
                  <c:v>243.2749829854902</c:v>
                </c:pt>
                <c:pt idx="47">
                  <c:v>252.78648962904825</c:v>
                </c:pt>
                <c:pt idx="48">
                  <c:v>262.28989082672678</c:v>
                </c:pt>
                <c:pt idx="49">
                  <c:v>271.78552190976148</c:v>
                </c:pt>
                <c:pt idx="50">
                  <c:v>281.27369284448542</c:v>
                </c:pt>
                <c:pt idx="51">
                  <c:v>259.98676180657628</c:v>
                </c:pt>
                <c:pt idx="52">
                  <c:v>268.90885950185276</c:v>
                </c:pt>
                <c:pt idx="53">
                  <c:v>277.8242934335666</c:v>
                </c:pt>
                <c:pt idx="54">
                  <c:v>286.7333077859592</c:v>
                </c:pt>
                <c:pt idx="55">
                  <c:v>295.63613031709275</c:v>
                </c:pt>
                <c:pt idx="56">
                  <c:v>274.3739322618332</c:v>
                </c:pt>
                <c:pt idx="57">
                  <c:v>281.8485001937197</c:v>
                </c:pt>
                <c:pt idx="58">
                  <c:v>289.31862636311035</c:v>
                </c:pt>
                <c:pt idx="59">
                  <c:v>296.78444175729186</c:v>
                </c:pt>
                <c:pt idx="60">
                  <c:v>304.24607022840337</c:v>
                </c:pt>
                <c:pt idx="61">
                  <c:v>285.58411013783456</c:v>
                </c:pt>
                <c:pt idx="62">
                  <c:v>292.76491531563642</c:v>
                </c:pt>
                <c:pt idx="63">
                  <c:v>299.94178861650374</c:v>
                </c:pt>
                <c:pt idx="64">
                  <c:v>307.11483749581919</c:v>
                </c:pt>
                <c:pt idx="65">
                  <c:v>314.28416397433648</c:v>
                </c:pt>
                <c:pt idx="66">
                  <c:v>296.49737320370497</c:v>
                </c:pt>
                <c:pt idx="67">
                  <c:v>303.09839513833816</c:v>
                </c:pt>
                <c:pt idx="68">
                  <c:v>309.69621867977315</c:v>
                </c:pt>
                <c:pt idx="69">
                  <c:v>316.29092165981257</c:v>
                </c:pt>
                <c:pt idx="70">
                  <c:v>322.88257839605922</c:v>
                </c:pt>
                <c:pt idx="71">
                  <c:v>305.39364900712422</c:v>
                </c:pt>
                <c:pt idx="72">
                  <c:v>310.84334557443191</c:v>
                </c:pt>
                <c:pt idx="73">
                  <c:v>316.29092165981257</c:v>
                </c:pt>
                <c:pt idx="74">
                  <c:v>321.73641898783791</c:v>
                </c:pt>
                <c:pt idx="75">
                  <c:v>327.17987775354368</c:v>
                </c:pt>
                <c:pt idx="76">
                  <c:v>312.27712208414272</c:v>
                </c:pt>
                <c:pt idx="77">
                  <c:v>317.43751352960959</c:v>
                </c:pt>
                <c:pt idx="78">
                  <c:v>322.59604699390326</c:v>
                </c:pt>
                <c:pt idx="79">
                  <c:v>327.7527564208786</c:v>
                </c:pt>
                <c:pt idx="80">
                  <c:v>332.90767459767238</c:v>
                </c:pt>
                <c:pt idx="81">
                  <c:v>318.87062439138862</c:v>
                </c:pt>
                <c:pt idx="82">
                  <c:v>323.45562433486742</c:v>
                </c:pt>
                <c:pt idx="83">
                  <c:v>328.0391874593783</c:v>
                </c:pt>
                <c:pt idx="84">
                  <c:v>332.62133670359054</c:v>
                </c:pt>
                <c:pt idx="85">
                  <c:v>337.20209432169565</c:v>
                </c:pt>
                <c:pt idx="86">
                  <c:v>324.31515116468773</c:v>
                </c:pt>
                <c:pt idx="87">
                  <c:v>328.61203297364347</c:v>
                </c:pt>
                <c:pt idx="88">
                  <c:v>332.90767459767216</c:v>
                </c:pt>
                <c:pt idx="89">
                  <c:v>337.20209432169548</c:v>
                </c:pt>
                <c:pt idx="90">
                  <c:v>341.49530992621681</c:v>
                </c:pt>
                <c:pt idx="91">
                  <c:v>329.75765790514163</c:v>
                </c:pt>
                <c:pt idx="92">
                  <c:v>333.76665571836884</c:v>
                </c:pt>
                <c:pt idx="93">
                  <c:v>337.7745922579382</c:v>
                </c:pt>
                <c:pt idx="94">
                  <c:v>341.78148191306553</c:v>
                </c:pt>
                <c:pt idx="95">
                  <c:v>345.78733870754724</c:v>
                </c:pt>
                <c:pt idx="96">
                  <c:v>334.33928271745089</c:v>
                </c:pt>
                <c:pt idx="97">
                  <c:v>338.63329911701209</c:v>
                </c:pt>
                <c:pt idx="98">
                  <c:v>342.92611721533939</c:v>
                </c:pt>
                <c:pt idx="99">
                  <c:v>347.21775415165695</c:v>
                </c:pt>
                <c:pt idx="100">
                  <c:v>351.50822660633276</c:v>
                </c:pt>
                <c:pt idx="101">
                  <c:v>2.5184749408430782E-12</c:v>
                </c:pt>
                <c:pt idx="102">
                  <c:v>2.5184749408430782E-12</c:v>
                </c:pt>
                <c:pt idx="103">
                  <c:v>2.5184749408430782E-12</c:v>
                </c:pt>
                <c:pt idx="104">
                  <c:v>2.5184749408430782E-12</c:v>
                </c:pt>
                <c:pt idx="105">
                  <c:v>2.5184749408430782E-12</c:v>
                </c:pt>
                <c:pt idx="106">
                  <c:v>2.5184749408430782E-12</c:v>
                </c:pt>
                <c:pt idx="107">
                  <c:v>2.5184749408430782E-12</c:v>
                </c:pt>
                <c:pt idx="108">
                  <c:v>2.5184749408430782E-12</c:v>
                </c:pt>
                <c:pt idx="109">
                  <c:v>2.5184749408430782E-12</c:v>
                </c:pt>
                <c:pt idx="110">
                  <c:v>2.5184749408430782E-12</c:v>
                </c:pt>
                <c:pt idx="111">
                  <c:v>2.5184749408430782E-12</c:v>
                </c:pt>
                <c:pt idx="112">
                  <c:v>2.5184749408430782E-12</c:v>
                </c:pt>
                <c:pt idx="113">
                  <c:v>2.5184749408430782E-12</c:v>
                </c:pt>
                <c:pt idx="114">
                  <c:v>2.5184749408430782E-12</c:v>
                </c:pt>
                <c:pt idx="115">
                  <c:v>2.5184749408430782E-12</c:v>
                </c:pt>
                <c:pt idx="116">
                  <c:v>2.5184749408430782E-12</c:v>
                </c:pt>
                <c:pt idx="117">
                  <c:v>2.5184749408430782E-12</c:v>
                </c:pt>
                <c:pt idx="118">
                  <c:v>2.5184749408430782E-12</c:v>
                </c:pt>
                <c:pt idx="119">
                  <c:v>2.5184749408430782E-12</c:v>
                </c:pt>
                <c:pt idx="120">
                  <c:v>2.5184749408430782E-12</c:v>
                </c:pt>
                <c:pt idx="121">
                  <c:v>2.5184749408430782E-12</c:v>
                </c:pt>
                <c:pt idx="122">
                  <c:v>2.5184749408430782E-12</c:v>
                </c:pt>
                <c:pt idx="123">
                  <c:v>2.5184749408430782E-12</c:v>
                </c:pt>
                <c:pt idx="124">
                  <c:v>2.5184749408430782E-12</c:v>
                </c:pt>
                <c:pt idx="125">
                  <c:v>2.5184749408430782E-12</c:v>
                </c:pt>
                <c:pt idx="126">
                  <c:v>2.5184749408430782E-12</c:v>
                </c:pt>
                <c:pt idx="127">
                  <c:v>2.5184749408430782E-12</c:v>
                </c:pt>
                <c:pt idx="128">
                  <c:v>2.5184749408430782E-12</c:v>
                </c:pt>
                <c:pt idx="129">
                  <c:v>2.5184749408430782E-12</c:v>
                </c:pt>
                <c:pt idx="130">
                  <c:v>2.5184749408430782E-12</c:v>
                </c:pt>
                <c:pt idx="131">
                  <c:v>2.5184749408430782E-12</c:v>
                </c:pt>
                <c:pt idx="132">
                  <c:v>2.5184749408430782E-12</c:v>
                </c:pt>
                <c:pt idx="133">
                  <c:v>2.5184749408430782E-12</c:v>
                </c:pt>
                <c:pt idx="134">
                  <c:v>2.5184749408430782E-12</c:v>
                </c:pt>
                <c:pt idx="135">
                  <c:v>2.5184749408430782E-12</c:v>
                </c:pt>
                <c:pt idx="136">
                  <c:v>2.5184749408430782E-12</c:v>
                </c:pt>
                <c:pt idx="137">
                  <c:v>2.5184749408430782E-12</c:v>
                </c:pt>
                <c:pt idx="138">
                  <c:v>2.5184749408430782E-12</c:v>
                </c:pt>
                <c:pt idx="139">
                  <c:v>2.5184749408430782E-12</c:v>
                </c:pt>
                <c:pt idx="140">
                  <c:v>2.5184749408430782E-12</c:v>
                </c:pt>
                <c:pt idx="141">
                  <c:v>2.5184749408430782E-12</c:v>
                </c:pt>
                <c:pt idx="142">
                  <c:v>2.5184749408430782E-12</c:v>
                </c:pt>
                <c:pt idx="143">
                  <c:v>2.5184749408430782E-12</c:v>
                </c:pt>
                <c:pt idx="144">
                  <c:v>2.5184749408430782E-12</c:v>
                </c:pt>
                <c:pt idx="145">
                  <c:v>2.5184749408430782E-12</c:v>
                </c:pt>
                <c:pt idx="146">
                  <c:v>2.5184749408430782E-12</c:v>
                </c:pt>
                <c:pt idx="147">
                  <c:v>2.5184749408430782E-12</c:v>
                </c:pt>
                <c:pt idx="148">
                  <c:v>2.5184749408430782E-12</c:v>
                </c:pt>
                <c:pt idx="149">
                  <c:v>2.5184749408430782E-12</c:v>
                </c:pt>
                <c:pt idx="150">
                  <c:v>2.5184749408430782E-12</c:v>
                </c:pt>
                <c:pt idx="151">
                  <c:v>2.5184749408430782E-12</c:v>
                </c:pt>
                <c:pt idx="152">
                  <c:v>2.5184749408430782E-12</c:v>
                </c:pt>
                <c:pt idx="153">
                  <c:v>2.5184749408430782E-12</c:v>
                </c:pt>
                <c:pt idx="154">
                  <c:v>2.5184749408430782E-12</c:v>
                </c:pt>
                <c:pt idx="155">
                  <c:v>2.5184749408430782E-12</c:v>
                </c:pt>
                <c:pt idx="156">
                  <c:v>2.5184749408430782E-12</c:v>
                </c:pt>
                <c:pt idx="157">
                  <c:v>2.5184749408430782E-12</c:v>
                </c:pt>
                <c:pt idx="158">
                  <c:v>2.5184749408430782E-12</c:v>
                </c:pt>
                <c:pt idx="159">
                  <c:v>2.5184749408430782E-12</c:v>
                </c:pt>
                <c:pt idx="160">
                  <c:v>2.5184749408430782E-12</c:v>
                </c:pt>
                <c:pt idx="161">
                  <c:v>2.5184749408430782E-12</c:v>
                </c:pt>
                <c:pt idx="162">
                  <c:v>2.5184749408430782E-12</c:v>
                </c:pt>
                <c:pt idx="163">
                  <c:v>2.5184749408430782E-12</c:v>
                </c:pt>
                <c:pt idx="164">
                  <c:v>2.5184749408430782E-12</c:v>
                </c:pt>
                <c:pt idx="165">
                  <c:v>2.5184749408430782E-12</c:v>
                </c:pt>
                <c:pt idx="166">
                  <c:v>2.5184749408430782E-12</c:v>
                </c:pt>
                <c:pt idx="167">
                  <c:v>2.5184749408430782E-12</c:v>
                </c:pt>
                <c:pt idx="168">
                  <c:v>2.5184749408430782E-12</c:v>
                </c:pt>
                <c:pt idx="169">
                  <c:v>2.5184749408430782E-12</c:v>
                </c:pt>
                <c:pt idx="170">
                  <c:v>2.5184749408430782E-12</c:v>
                </c:pt>
                <c:pt idx="171">
                  <c:v>2.5184749408430782E-12</c:v>
                </c:pt>
                <c:pt idx="172">
                  <c:v>2.5184749408430782E-12</c:v>
                </c:pt>
                <c:pt idx="173">
                  <c:v>2.5184749408430782E-12</c:v>
                </c:pt>
                <c:pt idx="174">
                  <c:v>2.5184749408430782E-12</c:v>
                </c:pt>
                <c:pt idx="175">
                  <c:v>2.5184749408430782E-12</c:v>
                </c:pt>
                <c:pt idx="176">
                  <c:v>2.5184749408430782E-12</c:v>
                </c:pt>
                <c:pt idx="177">
                  <c:v>2.5184749408430782E-12</c:v>
                </c:pt>
                <c:pt idx="178">
                  <c:v>2.5184749408430782E-12</c:v>
                </c:pt>
                <c:pt idx="179">
                  <c:v>2.5184749408430782E-12</c:v>
                </c:pt>
                <c:pt idx="180">
                  <c:v>2.5184749408430782E-12</c:v>
                </c:pt>
                <c:pt idx="181">
                  <c:v>2.5184749408430782E-12</c:v>
                </c:pt>
                <c:pt idx="182">
                  <c:v>2.5184749408430782E-12</c:v>
                </c:pt>
                <c:pt idx="183">
                  <c:v>2.5184749408430782E-12</c:v>
                </c:pt>
                <c:pt idx="184">
                  <c:v>2.5184749408430782E-12</c:v>
                </c:pt>
                <c:pt idx="185">
                  <c:v>2.5184749408430782E-12</c:v>
                </c:pt>
                <c:pt idx="186">
                  <c:v>2.5184749408430782E-12</c:v>
                </c:pt>
                <c:pt idx="187">
                  <c:v>2.5184749408430782E-12</c:v>
                </c:pt>
                <c:pt idx="188">
                  <c:v>2.5184749408430782E-12</c:v>
                </c:pt>
                <c:pt idx="189">
                  <c:v>2.5184749408430782E-12</c:v>
                </c:pt>
                <c:pt idx="190">
                  <c:v>2.5184749408430782E-12</c:v>
                </c:pt>
                <c:pt idx="191">
                  <c:v>2.5184749408430782E-12</c:v>
                </c:pt>
                <c:pt idx="192">
                  <c:v>2.5184749408430782E-12</c:v>
                </c:pt>
                <c:pt idx="193">
                  <c:v>2.5184749408430782E-12</c:v>
                </c:pt>
                <c:pt idx="194">
                  <c:v>2.5184749408430782E-12</c:v>
                </c:pt>
                <c:pt idx="195">
                  <c:v>2.5184749408430782E-12</c:v>
                </c:pt>
                <c:pt idx="196">
                  <c:v>2.5184749408430782E-12</c:v>
                </c:pt>
                <c:pt idx="197">
                  <c:v>2.5184749408430782E-12</c:v>
                </c:pt>
                <c:pt idx="198">
                  <c:v>2.5184749408430782E-12</c:v>
                </c:pt>
                <c:pt idx="199">
                  <c:v>2.5184749408430782E-12</c:v>
                </c:pt>
                <c:pt idx="200">
                  <c:v>2.5184749408430782E-12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9" zoomScale="80" zoomScaleNormal="80" workbookViewId="0">
      <selection activeCell="B18" sqref="B18:M31"/>
    </sheetView>
  </sheetViews>
  <sheetFormatPr baseColWidth="10" defaultRowHeight="14.6" x14ac:dyDescent="0.4"/>
  <cols>
    <col min="1" max="1" width="6.61328125" customWidth="1"/>
    <col min="2" max="13" width="15.921875" customWidth="1"/>
  </cols>
  <sheetData>
    <row r="12" spans="2:13" ht="15" customHeight="1" x14ac:dyDescent="0.4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4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4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4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4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4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4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4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4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4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4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4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4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4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4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4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4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4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4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C16" sqref="C16"/>
    </sheetView>
  </sheetViews>
  <sheetFormatPr baseColWidth="10" defaultColWidth="11.4609375" defaultRowHeight="14.6" x14ac:dyDescent="0.4"/>
  <cols>
    <col min="1" max="1" width="13.61328125" style="23" customWidth="1"/>
    <col min="2" max="2" width="36.07421875" style="23" customWidth="1"/>
    <col min="3" max="3" width="14.921875" style="23" bestFit="1" customWidth="1"/>
    <col min="4" max="4" width="16.4609375" style="23" customWidth="1"/>
    <col min="5" max="5" width="23.3828125" style="23" customWidth="1"/>
    <col min="6" max="6" width="28.921875" style="23" bestFit="1" customWidth="1"/>
    <col min="7" max="8" width="14.61328125" style="23" customWidth="1"/>
    <col min="9" max="9" width="17" style="23" customWidth="1"/>
    <col min="10" max="10" width="13.921875" style="23" customWidth="1"/>
    <col min="11" max="16384" width="11.4609375" style="23"/>
  </cols>
  <sheetData>
    <row r="1" spans="1:38" x14ac:dyDescent="0.4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6" thickBot="1" x14ac:dyDescent="0.4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15" x14ac:dyDescent="0.4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15" x14ac:dyDescent="0.4">
      <c r="A5" s="268" t="s">
        <v>231</v>
      </c>
      <c r="B5" s="268"/>
      <c r="C5" s="24">
        <v>3.7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15" x14ac:dyDescent="0.4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">
      <c r="A9" s="30" t="s">
        <v>165</v>
      </c>
      <c r="B9" s="31" t="s">
        <v>12</v>
      </c>
      <c r="C9" s="32">
        <v>0.21</v>
      </c>
      <c r="D9" s="33">
        <f t="shared" ref="D9:D18" si="0">C9*$C$5</f>
        <v>0.77700000000000002</v>
      </c>
      <c r="E9" s="34">
        <v>183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">
      <c r="A10" s="30" t="s">
        <v>166</v>
      </c>
      <c r="B10" s="31" t="s">
        <v>21</v>
      </c>
      <c r="C10" s="32">
        <v>0.21</v>
      </c>
      <c r="D10" s="33">
        <f t="shared" si="0"/>
        <v>0.77700000000000002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">
      <c r="A11" s="30" t="s">
        <v>167</v>
      </c>
      <c r="B11" s="31" t="s">
        <v>6</v>
      </c>
      <c r="C11" s="32">
        <v>0.21</v>
      </c>
      <c r="D11" s="33">
        <f t="shared" si="0"/>
        <v>0.77700000000000002</v>
      </c>
      <c r="E11" s="34">
        <v>183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">
      <c r="A12" s="30" t="s">
        <v>168</v>
      </c>
      <c r="B12" s="31" t="s">
        <v>14</v>
      </c>
      <c r="C12" s="32">
        <v>0.2</v>
      </c>
      <c r="D12" s="33">
        <f t="shared" si="0"/>
        <v>0.7400000000000001</v>
      </c>
      <c r="E12" s="34">
        <v>183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">
      <c r="A13" s="30" t="s">
        <v>169</v>
      </c>
      <c r="B13" s="31" t="s">
        <v>5</v>
      </c>
      <c r="C13" s="32">
        <v>0.05</v>
      </c>
      <c r="D13" s="33">
        <f t="shared" si="0"/>
        <v>0.18500000000000003</v>
      </c>
      <c r="E13" s="34">
        <v>90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">
      <c r="A14" s="30" t="s">
        <v>170</v>
      </c>
      <c r="B14" s="31" t="s">
        <v>16</v>
      </c>
      <c r="C14" s="32">
        <v>0.06</v>
      </c>
      <c r="D14" s="33">
        <f t="shared" si="0"/>
        <v>0.222</v>
      </c>
      <c r="E14" s="34">
        <v>188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">
      <c r="A15" s="30" t="s">
        <v>171</v>
      </c>
      <c r="B15" s="31" t="s">
        <v>9</v>
      </c>
      <c r="C15" s="32">
        <v>0.06</v>
      </c>
      <c r="D15" s="33">
        <f t="shared" si="0"/>
        <v>0.222</v>
      </c>
      <c r="E15" s="34">
        <v>100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">
      <c r="A19" s="78"/>
      <c r="B19" s="36" t="s">
        <v>175</v>
      </c>
      <c r="C19" s="37">
        <f>SUM(C9:C18)</f>
        <v>1.0000000000000002</v>
      </c>
      <c r="D19" s="38">
        <f>SUM(D9:D18)</f>
        <v>3.7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0.6" x14ac:dyDescent="0.5500000000000000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">
      <c r="A26" s="41" t="s">
        <v>222</v>
      </c>
      <c r="B26" s="42" t="s">
        <v>221</v>
      </c>
      <c r="C26" s="43">
        <v>0.05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0.6" x14ac:dyDescent="0.4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">
      <c r="A32" s="46" t="s">
        <v>165</v>
      </c>
      <c r="B32" s="47" t="str">
        <f>IF(B9="","",B9)</f>
        <v>Chêne pubescent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75" x14ac:dyDescent="0.4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">
      <c r="A36" s="50">
        <v>42</v>
      </c>
      <c r="B36" s="60">
        <v>171.96</v>
      </c>
      <c r="C36" s="60">
        <v>1</v>
      </c>
      <c r="D36" s="60">
        <v>44.510000000000005</v>
      </c>
      <c r="E36" s="51">
        <v>0</v>
      </c>
      <c r="F36" s="51">
        <v>0.8</v>
      </c>
      <c r="G36" s="51">
        <v>0.2</v>
      </c>
      <c r="H36" s="51">
        <v>0</v>
      </c>
      <c r="I36" s="49">
        <f>IFERROR(B36/A36,"")</f>
        <v>4.0942857142857143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">
      <c r="A37" s="50">
        <v>50</v>
      </c>
      <c r="B37" s="60">
        <v>208.33</v>
      </c>
      <c r="C37" s="60">
        <v>2</v>
      </c>
      <c r="D37" s="60">
        <v>37.54000000000002</v>
      </c>
      <c r="E37" s="51">
        <v>0</v>
      </c>
      <c r="F37" s="51">
        <v>0.8</v>
      </c>
      <c r="G37" s="51">
        <v>0.2</v>
      </c>
      <c r="H37" s="51">
        <v>0</v>
      </c>
      <c r="I37" s="53">
        <f t="shared" ref="I37:I55" si="1">IF(A37&lt;&gt;0,(B37-(B36-D36))/(A37-A36),"")</f>
        <v>10.110000000000001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">
      <c r="A38" s="50">
        <v>58</v>
      </c>
      <c r="B38" s="60">
        <v>253.7</v>
      </c>
      <c r="C38" s="60">
        <v>3</v>
      </c>
      <c r="D38" s="60">
        <v>47.789999999999992</v>
      </c>
      <c r="E38" s="51">
        <v>0</v>
      </c>
      <c r="F38" s="51">
        <v>0.8</v>
      </c>
      <c r="G38" s="51">
        <v>0.2</v>
      </c>
      <c r="H38" s="51">
        <v>0</v>
      </c>
      <c r="I38" s="53">
        <f t="shared" si="1"/>
        <v>10.36375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">
      <c r="A39" s="50">
        <v>66</v>
      </c>
      <c r="B39" s="60">
        <v>286.77</v>
      </c>
      <c r="C39" s="60">
        <v>4</v>
      </c>
      <c r="D39" s="60">
        <v>53.679999999999978</v>
      </c>
      <c r="E39" s="51">
        <v>0.35</v>
      </c>
      <c r="F39" s="51">
        <v>0.2</v>
      </c>
      <c r="G39" s="51">
        <v>0.1</v>
      </c>
      <c r="H39" s="51">
        <v>0.35</v>
      </c>
      <c r="I39" s="49">
        <f t="shared" si="1"/>
        <v>10.107499999999998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">
      <c r="A40" s="50">
        <v>74</v>
      </c>
      <c r="B40" s="60">
        <v>310.95999999999998</v>
      </c>
      <c r="C40" s="60">
        <v>5</v>
      </c>
      <c r="D40" s="60">
        <v>51.339999999999975</v>
      </c>
      <c r="E40" s="51">
        <v>0.35</v>
      </c>
      <c r="F40" s="51">
        <v>0.2</v>
      </c>
      <c r="G40" s="51">
        <v>0.1</v>
      </c>
      <c r="H40" s="51">
        <v>0.35</v>
      </c>
      <c r="I40" s="49">
        <f t="shared" si="1"/>
        <v>9.733749999999997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">
      <c r="A41" s="50">
        <v>84</v>
      </c>
      <c r="B41" s="60">
        <v>355.09</v>
      </c>
      <c r="C41" s="60">
        <v>6</v>
      </c>
      <c r="D41" s="60">
        <v>66.69</v>
      </c>
      <c r="E41" s="51">
        <v>0.35</v>
      </c>
      <c r="F41" s="51">
        <v>0.2</v>
      </c>
      <c r="G41" s="51">
        <v>0.1</v>
      </c>
      <c r="H41" s="51">
        <v>0.35</v>
      </c>
      <c r="I41" s="53">
        <f t="shared" si="1"/>
        <v>9.546999999999997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">
      <c r="A42" s="50">
        <v>94</v>
      </c>
      <c r="B42" s="60">
        <v>380.13</v>
      </c>
      <c r="C42" s="60">
        <v>7</v>
      </c>
      <c r="D42" s="60">
        <v>67.350000000000023</v>
      </c>
      <c r="E42" s="51">
        <v>0.35</v>
      </c>
      <c r="F42" s="51">
        <v>0.2</v>
      </c>
      <c r="G42" s="51">
        <v>0.1</v>
      </c>
      <c r="H42" s="51">
        <v>0.35</v>
      </c>
      <c r="I42" s="53">
        <f t="shared" si="1"/>
        <v>9.1730000000000018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">
      <c r="A43" s="50">
        <v>104</v>
      </c>
      <c r="B43" s="60">
        <v>402.2</v>
      </c>
      <c r="C43" s="60">
        <v>8</v>
      </c>
      <c r="D43" s="60">
        <v>66.089999999999975</v>
      </c>
      <c r="E43" s="51">
        <v>0.35</v>
      </c>
      <c r="F43" s="51">
        <v>0.2</v>
      </c>
      <c r="G43" s="51">
        <v>0.1</v>
      </c>
      <c r="H43" s="51">
        <v>0.35</v>
      </c>
      <c r="I43" s="49">
        <f t="shared" si="1"/>
        <v>8.9420000000000019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">
      <c r="A44" s="50">
        <v>114</v>
      </c>
      <c r="B44" s="60">
        <v>424.56</v>
      </c>
      <c r="C44" s="60">
        <v>9</v>
      </c>
      <c r="D44" s="60">
        <v>61.860000000000014</v>
      </c>
      <c r="E44" s="51">
        <v>0.35</v>
      </c>
      <c r="F44" s="51">
        <v>0.2</v>
      </c>
      <c r="G44" s="51">
        <v>0.1</v>
      </c>
      <c r="H44" s="51">
        <v>0.35</v>
      </c>
      <c r="I44" s="49">
        <f t="shared" si="1"/>
        <v>8.8449999999999989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">
      <c r="A45" s="50">
        <v>124</v>
      </c>
      <c r="B45" s="60">
        <v>451.86</v>
      </c>
      <c r="C45" s="60">
        <v>10</v>
      </c>
      <c r="D45" s="60">
        <v>57.81</v>
      </c>
      <c r="E45" s="51">
        <v>0.35</v>
      </c>
      <c r="F45" s="51">
        <v>0.2</v>
      </c>
      <c r="G45" s="51">
        <v>0.1</v>
      </c>
      <c r="H45" s="51">
        <v>0.35</v>
      </c>
      <c r="I45" s="49">
        <f t="shared" si="1"/>
        <v>8.9160000000000021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">
      <c r="A46" s="50">
        <v>134</v>
      </c>
      <c r="B46" s="60">
        <v>484.28</v>
      </c>
      <c r="C46" s="60">
        <v>11</v>
      </c>
      <c r="D46" s="60">
        <v>60.779999999999973</v>
      </c>
      <c r="E46" s="51">
        <v>0.5</v>
      </c>
      <c r="F46" s="51">
        <v>0.2</v>
      </c>
      <c r="G46" s="51">
        <v>0</v>
      </c>
      <c r="H46" s="51">
        <v>0.3</v>
      </c>
      <c r="I46" s="49">
        <f t="shared" si="1"/>
        <v>9.0229999999999961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">
      <c r="A47" s="50">
        <v>144</v>
      </c>
      <c r="B47" s="60">
        <v>514.94000000000005</v>
      </c>
      <c r="C47" s="60">
        <v>12</v>
      </c>
      <c r="D47" s="60">
        <v>61.800000000000068</v>
      </c>
      <c r="E47" s="51">
        <v>0.5</v>
      </c>
      <c r="F47" s="51">
        <v>0.2</v>
      </c>
      <c r="G47" s="51">
        <v>0</v>
      </c>
      <c r="H47" s="51">
        <v>0.3</v>
      </c>
      <c r="I47" s="49">
        <f t="shared" si="1"/>
        <v>9.1440000000000055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">
      <c r="A48" s="50">
        <v>154</v>
      </c>
      <c r="B48" s="60">
        <v>546.49</v>
      </c>
      <c r="C48" s="60">
        <v>13</v>
      </c>
      <c r="D48" s="60">
        <v>61.050000000000011</v>
      </c>
      <c r="E48" s="51">
        <v>0.5</v>
      </c>
      <c r="F48" s="51">
        <v>0.2</v>
      </c>
      <c r="G48" s="51">
        <v>0</v>
      </c>
      <c r="H48" s="51">
        <v>0.3</v>
      </c>
      <c r="I48" s="49">
        <f t="shared" si="1"/>
        <v>9.3350000000000026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">
      <c r="A49" s="50">
        <v>164</v>
      </c>
      <c r="B49" s="60">
        <v>580.32000000000005</v>
      </c>
      <c r="C49" s="60">
        <v>14</v>
      </c>
      <c r="D49" s="60">
        <v>66.020000000000095</v>
      </c>
      <c r="E49" s="51">
        <v>0.5</v>
      </c>
      <c r="F49" s="51">
        <v>0.2</v>
      </c>
      <c r="G49" s="51">
        <v>0</v>
      </c>
      <c r="H49" s="51">
        <v>0.3</v>
      </c>
      <c r="I49" s="49">
        <f t="shared" si="1"/>
        <v>9.4880000000000049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">
      <c r="A50" s="50">
        <v>174</v>
      </c>
      <c r="B50" s="50">
        <v>610.52</v>
      </c>
      <c r="C50" s="50">
        <v>15</v>
      </c>
      <c r="D50" s="50">
        <v>240</v>
      </c>
      <c r="E50" s="51">
        <v>0.45</v>
      </c>
      <c r="F50" s="51">
        <v>0.05</v>
      </c>
      <c r="G50" s="51">
        <v>0.05</v>
      </c>
      <c r="H50" s="51">
        <v>0.45</v>
      </c>
      <c r="I50" s="49">
        <f t="shared" si="1"/>
        <v>9.6220000000000034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">
      <c r="A51" s="50">
        <v>177</v>
      </c>
      <c r="B51" s="50">
        <v>388.94</v>
      </c>
      <c r="C51" s="50">
        <v>16</v>
      </c>
      <c r="D51" s="50">
        <v>128.66000000000003</v>
      </c>
      <c r="E51" s="51">
        <v>0.45</v>
      </c>
      <c r="F51" s="51">
        <v>0.05</v>
      </c>
      <c r="G51" s="51">
        <v>0.05</v>
      </c>
      <c r="H51" s="51">
        <v>0.45</v>
      </c>
      <c r="I51" s="49">
        <f t="shared" si="1"/>
        <v>6.140000000000005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">
      <c r="A52" s="50">
        <v>180</v>
      </c>
      <c r="B52" s="50">
        <v>271.56</v>
      </c>
      <c r="C52" s="50">
        <v>17</v>
      </c>
      <c r="D52" s="50">
        <v>86.97</v>
      </c>
      <c r="E52" s="51">
        <v>0.45</v>
      </c>
      <c r="F52" s="51">
        <v>0.05</v>
      </c>
      <c r="G52" s="51">
        <v>0.05</v>
      </c>
      <c r="H52" s="51">
        <v>0.45</v>
      </c>
      <c r="I52" s="49">
        <f t="shared" si="1"/>
        <v>3.76000000000001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">
      <c r="A53" s="50">
        <v>183</v>
      </c>
      <c r="B53" s="50">
        <v>191.47</v>
      </c>
      <c r="C53" s="50">
        <v>18</v>
      </c>
      <c r="D53" s="50">
        <v>191.47</v>
      </c>
      <c r="E53" s="51">
        <v>0.45</v>
      </c>
      <c r="F53" s="51">
        <v>0.05</v>
      </c>
      <c r="G53" s="51">
        <v>0.05</v>
      </c>
      <c r="H53" s="51">
        <v>0.45</v>
      </c>
      <c r="I53" s="49">
        <f t="shared" si="1"/>
        <v>2.2933333333333317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">
      <c r="A58" s="46" t="s">
        <v>166</v>
      </c>
      <c r="B58" s="52" t="str">
        <f>IF(B10="","",B10)</f>
        <v>Erable champêtre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75" x14ac:dyDescent="0.4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">
      <c r="A62" s="50">
        <v>15</v>
      </c>
      <c r="B62" s="60">
        <v>65</v>
      </c>
      <c r="C62" s="60">
        <v>1</v>
      </c>
      <c r="D62" s="60">
        <v>32</v>
      </c>
      <c r="E62" s="51">
        <v>0</v>
      </c>
      <c r="F62" s="51">
        <v>0.25</v>
      </c>
      <c r="G62" s="51">
        <v>0.25</v>
      </c>
      <c r="H62" s="51">
        <v>0.5</v>
      </c>
      <c r="I62" s="53">
        <f>IFERROR(B62/A62,"")</f>
        <v>4.333333333333333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">
      <c r="A63" s="50">
        <v>20</v>
      </c>
      <c r="B63" s="60">
        <v>102</v>
      </c>
      <c r="C63" s="60">
        <v>2</v>
      </c>
      <c r="D63" s="60">
        <v>35</v>
      </c>
      <c r="E63" s="51">
        <v>0</v>
      </c>
      <c r="F63" s="51">
        <v>0.25</v>
      </c>
      <c r="G63" s="51">
        <v>0.25</v>
      </c>
      <c r="H63" s="51">
        <v>0.5</v>
      </c>
      <c r="I63" s="49">
        <f>IF(A63&lt;&gt;0,(B63-(B62-D62))/(A63-A62),"")</f>
        <v>13.8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">
      <c r="A64" s="50">
        <v>25</v>
      </c>
      <c r="B64" s="60">
        <v>141</v>
      </c>
      <c r="C64" s="60">
        <v>3</v>
      </c>
      <c r="D64" s="60">
        <v>35</v>
      </c>
      <c r="E64" s="51">
        <v>0</v>
      </c>
      <c r="F64" s="51">
        <v>0.25</v>
      </c>
      <c r="G64" s="51">
        <v>0.25</v>
      </c>
      <c r="H64" s="51">
        <v>0.5</v>
      </c>
      <c r="I64" s="49">
        <f>IF(A64&lt;&gt;0,(B64-(B63-D63))/(A64-A63),"")</f>
        <v>14.8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">
      <c r="A65" s="50">
        <v>30</v>
      </c>
      <c r="B65" s="60">
        <v>177</v>
      </c>
      <c r="C65" s="60">
        <v>4</v>
      </c>
      <c r="D65" s="60">
        <v>35</v>
      </c>
      <c r="E65" s="51">
        <v>0.25</v>
      </c>
      <c r="F65" s="51">
        <v>0.25</v>
      </c>
      <c r="G65" s="51">
        <v>0.25</v>
      </c>
      <c r="H65" s="51">
        <v>0.25</v>
      </c>
      <c r="I65" s="49">
        <f>IF(A65&lt;&gt;0,(B65-(B64-D64))/(A65-A64),"")</f>
        <v>14.2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">
      <c r="A66" s="50">
        <v>35</v>
      </c>
      <c r="B66" s="60">
        <v>206</v>
      </c>
      <c r="C66" s="60">
        <v>5</v>
      </c>
      <c r="D66" s="60">
        <v>35</v>
      </c>
      <c r="E66" s="51">
        <v>0.25</v>
      </c>
      <c r="F66" s="51">
        <v>0.25</v>
      </c>
      <c r="G66" s="51">
        <v>0.25</v>
      </c>
      <c r="H66" s="51">
        <v>0.25</v>
      </c>
      <c r="I66" s="49">
        <f t="shared" ref="I66:I81" si="2">IF(A66&lt;&gt;0,(B66-(B65-D65))/(A66-A65),"")</f>
        <v>12.8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">
      <c r="A67" s="50">
        <v>40</v>
      </c>
      <c r="B67" s="60">
        <v>228</v>
      </c>
      <c r="C67" s="60">
        <v>6</v>
      </c>
      <c r="D67" s="60">
        <v>35</v>
      </c>
      <c r="E67" s="51">
        <v>0.25</v>
      </c>
      <c r="F67" s="51">
        <v>0.25</v>
      </c>
      <c r="G67" s="51">
        <v>0.25</v>
      </c>
      <c r="H67" s="51">
        <v>0.25</v>
      </c>
      <c r="I67" s="49">
        <f t="shared" si="2"/>
        <v>11.4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">
      <c r="A68" s="50">
        <v>45</v>
      </c>
      <c r="B68" s="60">
        <v>242</v>
      </c>
      <c r="C68" s="60">
        <v>7</v>
      </c>
      <c r="D68" s="60">
        <v>24</v>
      </c>
      <c r="E68" s="51">
        <v>0.25</v>
      </c>
      <c r="F68" s="51">
        <v>0.25</v>
      </c>
      <c r="G68" s="51">
        <v>0.25</v>
      </c>
      <c r="H68" s="51">
        <v>0.25</v>
      </c>
      <c r="I68" s="49">
        <f t="shared" si="2"/>
        <v>9.8000000000000007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">
      <c r="A69" s="50">
        <v>50</v>
      </c>
      <c r="B69" s="50">
        <v>261</v>
      </c>
      <c r="C69" s="50">
        <v>8</v>
      </c>
      <c r="D69" s="50">
        <v>19</v>
      </c>
      <c r="E69" s="51">
        <v>0.25</v>
      </c>
      <c r="F69" s="51">
        <v>0.25</v>
      </c>
      <c r="G69" s="51">
        <v>0.25</v>
      </c>
      <c r="H69" s="51">
        <v>0.25</v>
      </c>
      <c r="I69" s="49">
        <f t="shared" si="2"/>
        <v>8.6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">
      <c r="A70" s="50">
        <v>55</v>
      </c>
      <c r="B70" s="50">
        <v>279</v>
      </c>
      <c r="C70" s="50">
        <v>9</v>
      </c>
      <c r="D70" s="50">
        <v>16</v>
      </c>
      <c r="E70" s="51">
        <v>0.25</v>
      </c>
      <c r="F70" s="51">
        <v>0.25</v>
      </c>
      <c r="G70" s="51">
        <v>0.25</v>
      </c>
      <c r="H70" s="51">
        <v>0.25</v>
      </c>
      <c r="I70" s="49">
        <f t="shared" si="2"/>
        <v>7.4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">
      <c r="A71" s="50">
        <v>60</v>
      </c>
      <c r="B71" s="50">
        <v>294</v>
      </c>
      <c r="C71" s="50">
        <v>10</v>
      </c>
      <c r="D71" s="50">
        <v>14</v>
      </c>
      <c r="E71" s="51">
        <v>0.25</v>
      </c>
      <c r="F71" s="51">
        <v>0.25</v>
      </c>
      <c r="G71" s="51">
        <v>0.25</v>
      </c>
      <c r="H71" s="51">
        <v>0.25</v>
      </c>
      <c r="I71" s="49">
        <f t="shared" si="2"/>
        <v>6.2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">
      <c r="A72" s="50">
        <v>65</v>
      </c>
      <c r="B72" s="50">
        <v>306</v>
      </c>
      <c r="C72" s="50">
        <v>11</v>
      </c>
      <c r="D72" s="50">
        <v>13</v>
      </c>
      <c r="E72" s="51">
        <v>0.25</v>
      </c>
      <c r="F72" s="51">
        <v>0.25</v>
      </c>
      <c r="G72" s="51">
        <v>0.25</v>
      </c>
      <c r="H72" s="51">
        <v>0.25</v>
      </c>
      <c r="I72" s="49">
        <f t="shared" si="2"/>
        <v>5.2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">
      <c r="A73" s="50">
        <v>70</v>
      </c>
      <c r="B73" s="50">
        <v>316</v>
      </c>
      <c r="C73" s="50">
        <v>12</v>
      </c>
      <c r="D73" s="50">
        <v>13</v>
      </c>
      <c r="E73" s="51">
        <v>0.25</v>
      </c>
      <c r="F73" s="51">
        <v>0.25</v>
      </c>
      <c r="G73" s="51">
        <v>0.25</v>
      </c>
      <c r="H73" s="51">
        <v>0.25</v>
      </c>
      <c r="I73" s="49">
        <f t="shared" si="2"/>
        <v>4.5999999999999996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">
      <c r="A74" s="50">
        <v>75</v>
      </c>
      <c r="B74" s="50">
        <v>324</v>
      </c>
      <c r="C74" s="50">
        <v>13</v>
      </c>
      <c r="D74" s="50">
        <v>12</v>
      </c>
      <c r="E74" s="51">
        <v>0.25</v>
      </c>
      <c r="F74" s="51">
        <v>0.25</v>
      </c>
      <c r="G74" s="51">
        <v>0.25</v>
      </c>
      <c r="H74" s="51">
        <v>0.25</v>
      </c>
      <c r="I74" s="49">
        <f t="shared" si="2"/>
        <v>4.2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">
      <c r="A75" s="50">
        <v>80</v>
      </c>
      <c r="B75" s="50">
        <v>330</v>
      </c>
      <c r="C75" s="50">
        <v>14</v>
      </c>
      <c r="D75" s="50">
        <v>330</v>
      </c>
      <c r="E75" s="51">
        <v>0.25</v>
      </c>
      <c r="F75" s="51">
        <v>0.25</v>
      </c>
      <c r="G75" s="51">
        <v>0.25</v>
      </c>
      <c r="H75" s="51">
        <v>0.25</v>
      </c>
      <c r="I75" s="49">
        <f t="shared" si="2"/>
        <v>3.6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">
      <c r="A84" s="46" t="s">
        <v>167</v>
      </c>
      <c r="B84" s="52" t="str">
        <f>IF(B11="","",B11)</f>
        <v>Charme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75" x14ac:dyDescent="0.4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">
      <c r="A88" s="50">
        <v>42</v>
      </c>
      <c r="B88" s="60">
        <v>171.96</v>
      </c>
      <c r="C88" s="60">
        <v>1</v>
      </c>
      <c r="D88" s="60">
        <v>44.510000000000005</v>
      </c>
      <c r="E88" s="51">
        <v>0</v>
      </c>
      <c r="F88" s="51">
        <v>0.8</v>
      </c>
      <c r="G88" s="51">
        <v>0.2</v>
      </c>
      <c r="H88" s="87">
        <v>0</v>
      </c>
      <c r="I88" s="53">
        <f>IFERROR(B88/A88,"")</f>
        <v>4.0942857142857143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">
      <c r="A89" s="50">
        <v>50</v>
      </c>
      <c r="B89" s="60">
        <v>208.33</v>
      </c>
      <c r="C89" s="60">
        <v>2</v>
      </c>
      <c r="D89" s="60">
        <v>37.54000000000002</v>
      </c>
      <c r="E89" s="51">
        <v>0</v>
      </c>
      <c r="F89" s="51">
        <v>0.8</v>
      </c>
      <c r="G89" s="51">
        <v>0.2</v>
      </c>
      <c r="H89" s="87">
        <v>0</v>
      </c>
      <c r="I89" s="53">
        <f t="shared" ref="I89:I107" si="3">IF(A89&lt;&gt;0,(B89-(B88-D88))/(A89-A88),"")</f>
        <v>10.110000000000001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">
      <c r="A90" s="50">
        <v>58</v>
      </c>
      <c r="B90" s="60">
        <v>253.7</v>
      </c>
      <c r="C90" s="60">
        <v>3</v>
      </c>
      <c r="D90" s="60">
        <v>47.789999999999992</v>
      </c>
      <c r="E90" s="87">
        <v>0</v>
      </c>
      <c r="F90" s="87">
        <v>0.8</v>
      </c>
      <c r="G90" s="87">
        <v>0.2</v>
      </c>
      <c r="H90" s="87">
        <v>0</v>
      </c>
      <c r="I90" s="53">
        <f t="shared" si="3"/>
        <v>10.36375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">
      <c r="A91" s="50">
        <v>66</v>
      </c>
      <c r="B91" s="60">
        <v>286.77</v>
      </c>
      <c r="C91" s="60">
        <v>4</v>
      </c>
      <c r="D91" s="60">
        <v>53.679999999999978</v>
      </c>
      <c r="E91" s="87">
        <v>0.35</v>
      </c>
      <c r="F91" s="87">
        <v>0.2</v>
      </c>
      <c r="G91" s="87">
        <v>0.1</v>
      </c>
      <c r="H91" s="87">
        <v>0.35</v>
      </c>
      <c r="I91" s="53">
        <f t="shared" si="3"/>
        <v>10.107499999999998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">
      <c r="A92" s="50">
        <v>74</v>
      </c>
      <c r="B92" s="60">
        <v>310.95999999999998</v>
      </c>
      <c r="C92" s="60">
        <v>5</v>
      </c>
      <c r="D92" s="60">
        <v>51.339999999999975</v>
      </c>
      <c r="E92" s="87">
        <v>0.35</v>
      </c>
      <c r="F92" s="87">
        <v>0.2</v>
      </c>
      <c r="G92" s="87">
        <v>0.1</v>
      </c>
      <c r="H92" s="87">
        <v>0.35</v>
      </c>
      <c r="I92" s="53">
        <f t="shared" si="3"/>
        <v>9.733749999999997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">
      <c r="A93" s="50">
        <v>84</v>
      </c>
      <c r="B93" s="60">
        <v>355.09</v>
      </c>
      <c r="C93" s="60">
        <v>6</v>
      </c>
      <c r="D93" s="60">
        <v>66.69</v>
      </c>
      <c r="E93" s="87">
        <v>0.35</v>
      </c>
      <c r="F93" s="87">
        <v>0.2</v>
      </c>
      <c r="G93" s="87">
        <v>0.1</v>
      </c>
      <c r="H93" s="87">
        <v>0.35</v>
      </c>
      <c r="I93" s="53">
        <f t="shared" si="3"/>
        <v>9.546999999999997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">
      <c r="A94" s="50">
        <v>94</v>
      </c>
      <c r="B94" s="60">
        <v>380.13</v>
      </c>
      <c r="C94" s="60">
        <v>7</v>
      </c>
      <c r="D94" s="60">
        <v>67.350000000000023</v>
      </c>
      <c r="E94" s="87">
        <v>0.35</v>
      </c>
      <c r="F94" s="87">
        <v>0.2</v>
      </c>
      <c r="G94" s="87">
        <v>0.1</v>
      </c>
      <c r="H94" s="87">
        <v>0.35</v>
      </c>
      <c r="I94" s="53">
        <f t="shared" si="3"/>
        <v>9.1730000000000018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">
      <c r="A95" s="60">
        <v>104</v>
      </c>
      <c r="B95" s="60">
        <v>402.2</v>
      </c>
      <c r="C95" s="60">
        <v>8</v>
      </c>
      <c r="D95" s="60">
        <v>66.089999999999975</v>
      </c>
      <c r="E95" s="87">
        <v>0.35</v>
      </c>
      <c r="F95" s="87">
        <v>0.2</v>
      </c>
      <c r="G95" s="87">
        <v>0.1</v>
      </c>
      <c r="H95" s="87">
        <v>0.35</v>
      </c>
      <c r="I95" s="53">
        <f t="shared" si="3"/>
        <v>8.9420000000000019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">
      <c r="A96" s="60">
        <v>114</v>
      </c>
      <c r="B96" s="60">
        <v>424.56</v>
      </c>
      <c r="C96" s="60">
        <v>9</v>
      </c>
      <c r="D96" s="60">
        <v>61.860000000000014</v>
      </c>
      <c r="E96" s="87">
        <v>0.35</v>
      </c>
      <c r="F96" s="87">
        <v>0.2</v>
      </c>
      <c r="G96" s="87">
        <v>0.1</v>
      </c>
      <c r="H96" s="87">
        <v>0.35</v>
      </c>
      <c r="I96" s="53">
        <f t="shared" si="3"/>
        <v>8.8449999999999989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">
      <c r="A97" s="60">
        <v>124</v>
      </c>
      <c r="B97" s="60">
        <v>451.86</v>
      </c>
      <c r="C97" s="60">
        <v>10</v>
      </c>
      <c r="D97" s="60">
        <v>57.81</v>
      </c>
      <c r="E97" s="87">
        <v>0.35</v>
      </c>
      <c r="F97" s="87">
        <v>0.2</v>
      </c>
      <c r="G97" s="87">
        <v>0.1</v>
      </c>
      <c r="H97" s="87">
        <v>0.35</v>
      </c>
      <c r="I97" s="53">
        <f t="shared" si="3"/>
        <v>8.9160000000000021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">
      <c r="A98" s="60">
        <v>134</v>
      </c>
      <c r="B98" s="60">
        <v>484.28</v>
      </c>
      <c r="C98" s="60">
        <v>11</v>
      </c>
      <c r="D98" s="60">
        <v>60.779999999999973</v>
      </c>
      <c r="E98" s="87">
        <v>0.5</v>
      </c>
      <c r="F98" s="87">
        <v>0.2</v>
      </c>
      <c r="G98" s="87">
        <v>0</v>
      </c>
      <c r="H98" s="87">
        <v>0.3</v>
      </c>
      <c r="I98" s="53">
        <f t="shared" si="3"/>
        <v>9.0229999999999961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">
      <c r="A99" s="60">
        <v>144</v>
      </c>
      <c r="B99" s="60">
        <v>514.94000000000005</v>
      </c>
      <c r="C99" s="60">
        <v>12</v>
      </c>
      <c r="D99" s="60">
        <v>61.800000000000068</v>
      </c>
      <c r="E99" s="87">
        <v>0.5</v>
      </c>
      <c r="F99" s="87">
        <v>0.2</v>
      </c>
      <c r="G99" s="87">
        <v>0</v>
      </c>
      <c r="H99" s="87">
        <v>0.3</v>
      </c>
      <c r="I99" s="53">
        <f t="shared" si="3"/>
        <v>9.1440000000000055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">
      <c r="A100" s="60">
        <v>154</v>
      </c>
      <c r="B100" s="60">
        <v>546.49</v>
      </c>
      <c r="C100" s="60">
        <v>13</v>
      </c>
      <c r="D100" s="60">
        <v>61.050000000000011</v>
      </c>
      <c r="E100" s="65">
        <v>0.5</v>
      </c>
      <c r="F100" s="65">
        <v>0.2</v>
      </c>
      <c r="G100" s="65">
        <v>0</v>
      </c>
      <c r="H100" s="65">
        <v>0.3</v>
      </c>
      <c r="I100" s="53">
        <f t="shared" si="3"/>
        <v>9.3350000000000026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">
      <c r="A101" s="60">
        <v>164</v>
      </c>
      <c r="B101" s="60">
        <v>580.32000000000005</v>
      </c>
      <c r="C101" s="60">
        <v>14</v>
      </c>
      <c r="D101" s="60">
        <v>66.020000000000095</v>
      </c>
      <c r="E101" s="65">
        <v>0.5</v>
      </c>
      <c r="F101" s="65">
        <v>0.2</v>
      </c>
      <c r="G101" s="65">
        <v>0</v>
      </c>
      <c r="H101" s="65">
        <v>0.3</v>
      </c>
      <c r="I101" s="53">
        <f t="shared" si="3"/>
        <v>9.4880000000000049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">
      <c r="A102" s="60">
        <v>174</v>
      </c>
      <c r="B102" s="50">
        <v>610.52</v>
      </c>
      <c r="C102" s="60">
        <v>15</v>
      </c>
      <c r="D102" s="50">
        <v>240</v>
      </c>
      <c r="E102" s="54">
        <v>0.45</v>
      </c>
      <c r="F102" s="54">
        <v>0.05</v>
      </c>
      <c r="G102" s="54">
        <v>0.05</v>
      </c>
      <c r="H102" s="54">
        <v>0.45</v>
      </c>
      <c r="I102" s="53">
        <f t="shared" si="3"/>
        <v>9.6220000000000034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">
      <c r="A103" s="60">
        <v>177</v>
      </c>
      <c r="B103" s="50">
        <v>388.94</v>
      </c>
      <c r="C103" s="60">
        <v>16</v>
      </c>
      <c r="D103" s="50">
        <v>128.66000000000003</v>
      </c>
      <c r="E103" s="54">
        <v>0.45</v>
      </c>
      <c r="F103" s="54">
        <v>0.05</v>
      </c>
      <c r="G103" s="54">
        <v>0.05</v>
      </c>
      <c r="H103" s="54">
        <v>0.45</v>
      </c>
      <c r="I103" s="53">
        <f t="shared" si="3"/>
        <v>6.140000000000005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">
      <c r="A104" s="60">
        <v>180</v>
      </c>
      <c r="B104" s="50">
        <v>271.56</v>
      </c>
      <c r="C104" s="60">
        <v>17</v>
      </c>
      <c r="D104" s="50">
        <v>86.97</v>
      </c>
      <c r="E104" s="54">
        <v>0.45</v>
      </c>
      <c r="F104" s="54">
        <v>0.05</v>
      </c>
      <c r="G104" s="54">
        <v>0.05</v>
      </c>
      <c r="H104" s="54">
        <v>0.45</v>
      </c>
      <c r="I104" s="53">
        <f t="shared" si="3"/>
        <v>3.76000000000001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">
      <c r="A105" s="50">
        <v>183</v>
      </c>
      <c r="B105" s="50">
        <v>191.47</v>
      </c>
      <c r="C105" s="50">
        <v>18</v>
      </c>
      <c r="D105" s="50">
        <v>191.47</v>
      </c>
      <c r="E105" s="54">
        <v>0.45</v>
      </c>
      <c r="F105" s="54">
        <v>0.05</v>
      </c>
      <c r="G105" s="54">
        <v>0.05</v>
      </c>
      <c r="H105" s="54">
        <v>0.45</v>
      </c>
      <c r="I105" s="53">
        <f t="shared" si="3"/>
        <v>2.2933333333333317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">
      <c r="A110" s="46" t="s">
        <v>168</v>
      </c>
      <c r="B110" s="52" t="str">
        <f>IF(B12="","",B12)</f>
        <v>Chêne sessile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75" x14ac:dyDescent="0.4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">
      <c r="A114" s="50">
        <v>42</v>
      </c>
      <c r="B114" s="60">
        <v>171.96</v>
      </c>
      <c r="C114" s="50">
        <v>1</v>
      </c>
      <c r="D114" s="60">
        <v>44.510000000000005</v>
      </c>
      <c r="E114" s="51">
        <v>0</v>
      </c>
      <c r="F114" s="51">
        <v>0.8</v>
      </c>
      <c r="G114" s="51">
        <v>0.2</v>
      </c>
      <c r="H114" s="51">
        <v>0</v>
      </c>
      <c r="I114" s="53">
        <f>IFERROR(B114/A114,"")</f>
        <v>4.0942857142857143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">
      <c r="A115" s="50">
        <v>50</v>
      </c>
      <c r="B115" s="60">
        <v>208.33</v>
      </c>
      <c r="C115" s="50">
        <v>2</v>
      </c>
      <c r="D115" s="60">
        <v>37.54000000000002</v>
      </c>
      <c r="E115" s="51">
        <v>0</v>
      </c>
      <c r="F115" s="51">
        <v>0.8</v>
      </c>
      <c r="G115" s="51">
        <v>0.2</v>
      </c>
      <c r="H115" s="51">
        <v>0</v>
      </c>
      <c r="I115" s="53">
        <f t="shared" ref="I115:I133" si="4">IF(A115&lt;&gt;0,(B115-(B114-D114))/(A115-A114),"")</f>
        <v>10.110000000000001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">
      <c r="A116" s="50">
        <v>58</v>
      </c>
      <c r="B116" s="60">
        <v>253.7</v>
      </c>
      <c r="C116" s="50">
        <v>3</v>
      </c>
      <c r="D116" s="60">
        <v>47.789999999999992</v>
      </c>
      <c r="E116" s="51">
        <v>0</v>
      </c>
      <c r="F116" s="51">
        <v>0.8</v>
      </c>
      <c r="G116" s="51">
        <v>0.2</v>
      </c>
      <c r="H116" s="51">
        <v>0</v>
      </c>
      <c r="I116" s="53">
        <f t="shared" si="4"/>
        <v>10.36375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">
      <c r="A117" s="50">
        <v>66</v>
      </c>
      <c r="B117" s="60">
        <v>286.77</v>
      </c>
      <c r="C117" s="50">
        <v>4</v>
      </c>
      <c r="D117" s="60">
        <v>53.679999999999978</v>
      </c>
      <c r="E117" s="51">
        <v>0.35</v>
      </c>
      <c r="F117" s="51">
        <v>0.2</v>
      </c>
      <c r="G117" s="51">
        <v>0.1</v>
      </c>
      <c r="H117" s="51">
        <v>0.35</v>
      </c>
      <c r="I117" s="53">
        <f t="shared" si="4"/>
        <v>10.107499999999998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">
      <c r="A118" s="50">
        <v>74</v>
      </c>
      <c r="B118" s="60">
        <v>310.95999999999998</v>
      </c>
      <c r="C118" s="50">
        <v>5</v>
      </c>
      <c r="D118" s="60">
        <v>51.339999999999975</v>
      </c>
      <c r="E118" s="51">
        <v>0.35</v>
      </c>
      <c r="F118" s="51">
        <v>0.2</v>
      </c>
      <c r="G118" s="51">
        <v>0.1</v>
      </c>
      <c r="H118" s="51">
        <v>0.35</v>
      </c>
      <c r="I118" s="53">
        <f t="shared" si="4"/>
        <v>9.733749999999997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">
      <c r="A119" s="50">
        <v>84</v>
      </c>
      <c r="B119" s="60">
        <v>355.09</v>
      </c>
      <c r="C119" s="50">
        <v>6</v>
      </c>
      <c r="D119" s="60">
        <v>66.69</v>
      </c>
      <c r="E119" s="51">
        <v>0.35</v>
      </c>
      <c r="F119" s="51">
        <v>0.2</v>
      </c>
      <c r="G119" s="51">
        <v>0.1</v>
      </c>
      <c r="H119" s="51">
        <v>0.35</v>
      </c>
      <c r="I119" s="53">
        <f t="shared" si="4"/>
        <v>9.546999999999997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">
      <c r="A120" s="60">
        <v>94</v>
      </c>
      <c r="B120" s="60">
        <v>380.13</v>
      </c>
      <c r="C120" s="60">
        <v>7</v>
      </c>
      <c r="D120" s="60">
        <v>67.350000000000023</v>
      </c>
      <c r="E120" s="87">
        <v>0.35</v>
      </c>
      <c r="F120" s="87">
        <v>0.2</v>
      </c>
      <c r="G120" s="87">
        <v>0.1</v>
      </c>
      <c r="H120" s="87">
        <v>0.35</v>
      </c>
      <c r="I120" s="53">
        <f t="shared" si="4"/>
        <v>9.1730000000000018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">
      <c r="A121" s="60">
        <v>104</v>
      </c>
      <c r="B121" s="60">
        <v>402.2</v>
      </c>
      <c r="C121" s="60">
        <v>8</v>
      </c>
      <c r="D121" s="60">
        <v>66.089999999999975</v>
      </c>
      <c r="E121" s="87">
        <v>0.35</v>
      </c>
      <c r="F121" s="87">
        <v>0.2</v>
      </c>
      <c r="G121" s="87">
        <v>0.1</v>
      </c>
      <c r="H121" s="87">
        <v>0.35</v>
      </c>
      <c r="I121" s="53">
        <f t="shared" si="4"/>
        <v>8.9420000000000019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">
      <c r="A122" s="60">
        <v>114</v>
      </c>
      <c r="B122" s="60">
        <v>424.56</v>
      </c>
      <c r="C122" s="60">
        <v>9</v>
      </c>
      <c r="D122" s="60">
        <v>61.860000000000014</v>
      </c>
      <c r="E122" s="87">
        <v>0.35</v>
      </c>
      <c r="F122" s="87">
        <v>0.2</v>
      </c>
      <c r="G122" s="87">
        <v>0.1</v>
      </c>
      <c r="H122" s="87">
        <v>0.35</v>
      </c>
      <c r="I122" s="53">
        <f t="shared" si="4"/>
        <v>8.8449999999999989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">
      <c r="A123" s="60">
        <v>124</v>
      </c>
      <c r="B123" s="60">
        <v>451.86</v>
      </c>
      <c r="C123" s="60">
        <v>10</v>
      </c>
      <c r="D123" s="60">
        <v>57.81</v>
      </c>
      <c r="E123" s="87">
        <v>0.35</v>
      </c>
      <c r="F123" s="87">
        <v>0.2</v>
      </c>
      <c r="G123" s="87">
        <v>0.1</v>
      </c>
      <c r="H123" s="87">
        <v>0.35</v>
      </c>
      <c r="I123" s="53">
        <f t="shared" si="4"/>
        <v>8.9160000000000021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">
      <c r="A124" s="60">
        <v>134</v>
      </c>
      <c r="B124" s="60">
        <v>484.28</v>
      </c>
      <c r="C124" s="60">
        <v>11</v>
      </c>
      <c r="D124" s="60">
        <v>60.779999999999973</v>
      </c>
      <c r="E124" s="87">
        <v>0.5</v>
      </c>
      <c r="F124" s="87">
        <v>0.2</v>
      </c>
      <c r="G124" s="87">
        <v>0</v>
      </c>
      <c r="H124" s="87">
        <v>0.3</v>
      </c>
      <c r="I124" s="53">
        <f t="shared" si="4"/>
        <v>9.0229999999999961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">
      <c r="A125" s="60">
        <v>144</v>
      </c>
      <c r="B125" s="60">
        <v>514.94000000000005</v>
      </c>
      <c r="C125" s="60">
        <v>12</v>
      </c>
      <c r="D125" s="60">
        <v>61.800000000000068</v>
      </c>
      <c r="E125" s="87">
        <v>0.5</v>
      </c>
      <c r="F125" s="87">
        <v>0.2</v>
      </c>
      <c r="G125" s="87">
        <v>0</v>
      </c>
      <c r="H125" s="87">
        <v>0.3</v>
      </c>
      <c r="I125" s="53">
        <f t="shared" si="4"/>
        <v>9.1440000000000055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">
      <c r="A126" s="60">
        <v>154</v>
      </c>
      <c r="B126" s="60">
        <v>546.49</v>
      </c>
      <c r="C126" s="60">
        <v>13</v>
      </c>
      <c r="D126" s="60">
        <v>61.050000000000011</v>
      </c>
      <c r="E126" s="65">
        <v>0.5</v>
      </c>
      <c r="F126" s="65">
        <v>0.2</v>
      </c>
      <c r="G126" s="65">
        <v>0</v>
      </c>
      <c r="H126" s="65">
        <v>0.3</v>
      </c>
      <c r="I126" s="53">
        <f t="shared" si="4"/>
        <v>9.3350000000000026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">
      <c r="A127" s="60">
        <v>164</v>
      </c>
      <c r="B127" s="60">
        <v>580.32000000000005</v>
      </c>
      <c r="C127" s="60">
        <v>14</v>
      </c>
      <c r="D127" s="60">
        <v>66.020000000000095</v>
      </c>
      <c r="E127" s="65">
        <v>0.5</v>
      </c>
      <c r="F127" s="65">
        <v>0.2</v>
      </c>
      <c r="G127" s="65">
        <v>0</v>
      </c>
      <c r="H127" s="65">
        <v>0.3</v>
      </c>
      <c r="I127" s="53">
        <f t="shared" si="4"/>
        <v>9.4880000000000049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">
      <c r="A128" s="50">
        <v>174</v>
      </c>
      <c r="B128" s="50">
        <v>610.52</v>
      </c>
      <c r="C128" s="50">
        <v>15</v>
      </c>
      <c r="D128" s="50">
        <v>240</v>
      </c>
      <c r="E128" s="54">
        <v>0.45</v>
      </c>
      <c r="F128" s="54">
        <v>0.05</v>
      </c>
      <c r="G128" s="54">
        <v>0.05</v>
      </c>
      <c r="H128" s="54">
        <v>0.45</v>
      </c>
      <c r="I128" s="53">
        <f t="shared" si="4"/>
        <v>9.6220000000000034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">
      <c r="A129" s="50">
        <v>177</v>
      </c>
      <c r="B129" s="50">
        <v>388.94</v>
      </c>
      <c r="C129" s="50">
        <v>16</v>
      </c>
      <c r="D129" s="50">
        <v>128.66000000000003</v>
      </c>
      <c r="E129" s="54">
        <v>0.45</v>
      </c>
      <c r="F129" s="54">
        <v>0.05</v>
      </c>
      <c r="G129" s="54">
        <v>0.05</v>
      </c>
      <c r="H129" s="54">
        <v>0.45</v>
      </c>
      <c r="I129" s="53">
        <f t="shared" si="4"/>
        <v>6.140000000000005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">
      <c r="A130" s="50">
        <v>180</v>
      </c>
      <c r="B130" s="50">
        <v>271.56</v>
      </c>
      <c r="C130" s="50">
        <v>17</v>
      </c>
      <c r="D130" s="50">
        <v>86.97</v>
      </c>
      <c r="E130" s="54">
        <v>0.45</v>
      </c>
      <c r="F130" s="54">
        <v>0.05</v>
      </c>
      <c r="G130" s="54">
        <v>0.05</v>
      </c>
      <c r="H130" s="54">
        <v>0.45</v>
      </c>
      <c r="I130" s="53">
        <f t="shared" si="4"/>
        <v>3.76000000000001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">
      <c r="A131" s="50">
        <v>183</v>
      </c>
      <c r="B131" s="50">
        <v>191.47</v>
      </c>
      <c r="C131" s="50">
        <v>18</v>
      </c>
      <c r="D131" s="50">
        <v>191.47</v>
      </c>
      <c r="E131" s="54">
        <v>0.45</v>
      </c>
      <c r="F131" s="54">
        <v>0.05</v>
      </c>
      <c r="G131" s="54">
        <v>0.05</v>
      </c>
      <c r="H131" s="54">
        <v>0.45</v>
      </c>
      <c r="I131" s="53">
        <f t="shared" si="4"/>
        <v>2.2933333333333317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">
      <c r="A136" s="46" t="s">
        <v>169</v>
      </c>
      <c r="B136" s="52" t="str">
        <f>IF(B13="","",B13)</f>
        <v>Bouleau verruqueux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75" x14ac:dyDescent="0.4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">
      <c r="A140" s="50">
        <v>15</v>
      </c>
      <c r="B140" s="60">
        <v>20.512820512820511</v>
      </c>
      <c r="C140" s="50">
        <v>1</v>
      </c>
      <c r="D140" s="60">
        <v>0</v>
      </c>
      <c r="E140" s="51">
        <v>0</v>
      </c>
      <c r="F140" s="51">
        <v>0.25</v>
      </c>
      <c r="G140" s="51">
        <v>0.25</v>
      </c>
      <c r="H140" s="51">
        <v>0.5</v>
      </c>
      <c r="I140" s="57">
        <f>IFERROR(B140/A140,"")</f>
        <v>1.3675213675213673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">
      <c r="A141" s="50">
        <v>20</v>
      </c>
      <c r="B141" s="60">
        <v>34.615384615384613</v>
      </c>
      <c r="C141" s="50">
        <v>2</v>
      </c>
      <c r="D141" s="60">
        <v>5.7692307692307692</v>
      </c>
      <c r="E141" s="51">
        <v>0</v>
      </c>
      <c r="F141" s="51">
        <v>0.25</v>
      </c>
      <c r="G141" s="51">
        <v>0.25</v>
      </c>
      <c r="H141" s="51">
        <v>0.5</v>
      </c>
      <c r="I141" s="57">
        <f t="shared" ref="I141:I159" si="5">IF(A141&lt;&gt;0,(B141-(B140-D140))/(A141-A140),"")</f>
        <v>2.8205128205128203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">
      <c r="A142" s="50">
        <v>25</v>
      </c>
      <c r="B142" s="60">
        <v>43.589743589743591</v>
      </c>
      <c r="C142" s="50">
        <v>3</v>
      </c>
      <c r="D142" s="60">
        <v>5.1282051282051277</v>
      </c>
      <c r="E142" s="51">
        <v>0</v>
      </c>
      <c r="F142" s="51">
        <v>0.25</v>
      </c>
      <c r="G142" s="51">
        <v>0.25</v>
      </c>
      <c r="H142" s="51">
        <v>0.5</v>
      </c>
      <c r="I142" s="57">
        <f t="shared" si="5"/>
        <v>2.9487179487179498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">
      <c r="A143" s="50">
        <v>30</v>
      </c>
      <c r="B143" s="60">
        <v>53.84615384615384</v>
      </c>
      <c r="C143" s="50">
        <v>4</v>
      </c>
      <c r="D143" s="60">
        <v>5.7692307692307692</v>
      </c>
      <c r="E143" s="51">
        <v>0</v>
      </c>
      <c r="F143" s="51">
        <v>0.25</v>
      </c>
      <c r="G143" s="51">
        <v>0.25</v>
      </c>
      <c r="H143" s="51">
        <v>0.5</v>
      </c>
      <c r="I143" s="57">
        <f t="shared" si="5"/>
        <v>3.0769230769230744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">
      <c r="A144" s="50">
        <v>35</v>
      </c>
      <c r="B144" s="60">
        <v>63.46153846153846</v>
      </c>
      <c r="C144" s="50">
        <v>5</v>
      </c>
      <c r="D144" s="60">
        <v>6.4102564102564097</v>
      </c>
      <c r="E144" s="51">
        <v>0</v>
      </c>
      <c r="F144" s="51">
        <v>0.25</v>
      </c>
      <c r="G144" s="51">
        <v>0.25</v>
      </c>
      <c r="H144" s="51">
        <v>0.5</v>
      </c>
      <c r="I144" s="57">
        <f t="shared" si="5"/>
        <v>3.0769230769230775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">
      <c r="A145" s="50">
        <v>40</v>
      </c>
      <c r="B145" s="60">
        <v>72.435897435897431</v>
      </c>
      <c r="C145" s="50">
        <v>6</v>
      </c>
      <c r="D145" s="60">
        <v>6.4102564102564097</v>
      </c>
      <c r="E145" s="51">
        <v>0</v>
      </c>
      <c r="F145" s="51">
        <v>0.25</v>
      </c>
      <c r="G145" s="51">
        <v>0.25</v>
      </c>
      <c r="H145" s="51">
        <v>0.5</v>
      </c>
      <c r="I145" s="57">
        <f t="shared" si="5"/>
        <v>3.0769230769230758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">
      <c r="A146" s="50">
        <v>45</v>
      </c>
      <c r="B146" s="60">
        <v>81.410256410256409</v>
      </c>
      <c r="C146" s="50">
        <v>7</v>
      </c>
      <c r="D146" s="60">
        <v>7.0512820512820511</v>
      </c>
      <c r="E146" s="51">
        <v>0</v>
      </c>
      <c r="F146" s="51">
        <v>0.25</v>
      </c>
      <c r="G146" s="51">
        <v>0.25</v>
      </c>
      <c r="H146" s="51">
        <v>0.5</v>
      </c>
      <c r="I146" s="57">
        <f t="shared" si="5"/>
        <v>3.0769230769230775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">
      <c r="A147" s="50">
        <v>50</v>
      </c>
      <c r="B147" s="60">
        <v>89.102564102564088</v>
      </c>
      <c r="C147" s="50">
        <v>8</v>
      </c>
      <c r="D147" s="60">
        <v>7.0512820512820511</v>
      </c>
      <c r="E147" s="51">
        <v>0</v>
      </c>
      <c r="F147" s="51">
        <v>0.25</v>
      </c>
      <c r="G147" s="51">
        <v>0.25</v>
      </c>
      <c r="H147" s="51">
        <v>0.5</v>
      </c>
      <c r="I147" s="57">
        <f>IF(A147&lt;&gt;0,(B147-(B146-D146))/(A147-A146),"")</f>
        <v>2.9487179487179445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">
      <c r="A148" s="50">
        <v>55</v>
      </c>
      <c r="B148" s="60">
        <v>96.15384615384616</v>
      </c>
      <c r="C148" s="50">
        <v>9</v>
      </c>
      <c r="D148" s="60">
        <v>7.0512820512820511</v>
      </c>
      <c r="E148" s="51">
        <v>0</v>
      </c>
      <c r="F148" s="51">
        <v>0.25</v>
      </c>
      <c r="G148" s="51">
        <v>0.25</v>
      </c>
      <c r="H148" s="51">
        <v>0.5</v>
      </c>
      <c r="I148" s="57">
        <f t="shared" si="5"/>
        <v>2.8205128205128234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">
      <c r="A149" s="50">
        <v>60</v>
      </c>
      <c r="B149" s="60">
        <v>102.56410256410257</v>
      </c>
      <c r="C149" s="50">
        <v>10</v>
      </c>
      <c r="D149" s="60">
        <v>7.0512820512820511</v>
      </c>
      <c r="E149" s="51">
        <v>0</v>
      </c>
      <c r="F149" s="51">
        <v>0.25</v>
      </c>
      <c r="G149" s="51">
        <v>0.25</v>
      </c>
      <c r="H149" s="51">
        <v>0.5</v>
      </c>
      <c r="I149" s="57">
        <f t="shared" si="5"/>
        <v>2.6923076923076907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">
      <c r="A150" s="50">
        <v>65</v>
      </c>
      <c r="B150" s="60">
        <v>108.33333333333334</v>
      </c>
      <c r="C150" s="50">
        <v>11</v>
      </c>
      <c r="D150" s="60">
        <v>7.0512820512820511</v>
      </c>
      <c r="E150" s="51">
        <v>0</v>
      </c>
      <c r="F150" s="51">
        <v>0.25</v>
      </c>
      <c r="G150" s="51">
        <v>0.25</v>
      </c>
      <c r="H150" s="51">
        <v>0.5</v>
      </c>
      <c r="I150" s="57">
        <f t="shared" si="5"/>
        <v>2.5641025641025634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">
      <c r="A151" s="50">
        <v>70</v>
      </c>
      <c r="B151" s="60">
        <v>114.10256410256409</v>
      </c>
      <c r="C151" s="50">
        <v>12</v>
      </c>
      <c r="D151" s="60">
        <v>7.0512820512820511</v>
      </c>
      <c r="E151" s="51">
        <v>0</v>
      </c>
      <c r="F151" s="51">
        <v>0.25</v>
      </c>
      <c r="G151" s="51">
        <v>0.25</v>
      </c>
      <c r="H151" s="51">
        <v>0.5</v>
      </c>
      <c r="I151" s="57">
        <f t="shared" si="5"/>
        <v>2.5641025641025577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">
      <c r="A152" s="50">
        <v>75</v>
      </c>
      <c r="B152" s="60">
        <v>118.58974358974359</v>
      </c>
      <c r="C152" s="50">
        <v>13</v>
      </c>
      <c r="D152" s="60">
        <v>7.0512820512820511</v>
      </c>
      <c r="E152" s="54">
        <v>0</v>
      </c>
      <c r="F152" s="54">
        <v>0.25</v>
      </c>
      <c r="G152" s="54">
        <v>0.25</v>
      </c>
      <c r="H152" s="54">
        <v>0.5</v>
      </c>
      <c r="I152" s="57">
        <f t="shared" si="5"/>
        <v>2.3076923076923093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">
      <c r="A153" s="50">
        <v>80</v>
      </c>
      <c r="B153" s="60">
        <v>123.07692307692307</v>
      </c>
      <c r="C153" s="50">
        <v>14</v>
      </c>
      <c r="D153" s="60">
        <v>7.0512820512820511</v>
      </c>
      <c r="E153" s="54">
        <v>0</v>
      </c>
      <c r="F153" s="54">
        <v>0.25</v>
      </c>
      <c r="G153" s="54">
        <v>0.25</v>
      </c>
      <c r="H153" s="54">
        <v>0.5</v>
      </c>
      <c r="I153" s="57">
        <f t="shared" si="5"/>
        <v>2.3076923076923039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">
      <c r="A154" s="55">
        <v>85</v>
      </c>
      <c r="B154" s="56">
        <v>126.28205128205127</v>
      </c>
      <c r="C154" s="50">
        <v>15</v>
      </c>
      <c r="D154" s="50">
        <v>6.4102564102564097</v>
      </c>
      <c r="E154" s="54">
        <v>0</v>
      </c>
      <c r="F154" s="54">
        <v>0.25</v>
      </c>
      <c r="G154" s="54">
        <v>0.25</v>
      </c>
      <c r="H154" s="54">
        <v>0.5</v>
      </c>
      <c r="I154" s="57">
        <f t="shared" si="5"/>
        <v>2.0512820512820498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">
      <c r="A155" s="55">
        <v>90</v>
      </c>
      <c r="B155" s="56">
        <v>129.48717948717947</v>
      </c>
      <c r="C155" s="50">
        <v>16</v>
      </c>
      <c r="D155" s="50">
        <v>129.48717948717947</v>
      </c>
      <c r="E155" s="54">
        <v>0</v>
      </c>
      <c r="F155" s="54">
        <v>0.25</v>
      </c>
      <c r="G155" s="54">
        <v>0.25</v>
      </c>
      <c r="H155" s="54">
        <v>0.5</v>
      </c>
      <c r="I155" s="57">
        <f t="shared" si="5"/>
        <v>1.9230769230769227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">
      <c r="A162" s="46" t="s">
        <v>170</v>
      </c>
      <c r="B162" s="52" t="str">
        <f>IF(B14="","",B14)</f>
        <v>Chêne vert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75" x14ac:dyDescent="0.4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">
      <c r="A166" s="50">
        <v>47</v>
      </c>
      <c r="B166" s="60">
        <v>148.27000000000001</v>
      </c>
      <c r="C166" s="60">
        <v>1</v>
      </c>
      <c r="D166" s="60">
        <v>54.050000000000011</v>
      </c>
      <c r="E166" s="51">
        <v>0</v>
      </c>
      <c r="F166" s="51">
        <v>0.8</v>
      </c>
      <c r="G166" s="51">
        <v>0.2</v>
      </c>
      <c r="H166" s="51">
        <v>0</v>
      </c>
      <c r="I166" s="49">
        <f>IFERROR(B166/A166,"")</f>
        <v>3.15468085106383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">
      <c r="A167" s="50">
        <v>55</v>
      </c>
      <c r="B167" s="60">
        <v>150.11000000000001</v>
      </c>
      <c r="C167" s="60">
        <v>2</v>
      </c>
      <c r="D167" s="60">
        <v>37.430000000000007</v>
      </c>
      <c r="E167" s="51">
        <v>0</v>
      </c>
      <c r="F167" s="51">
        <v>0.8</v>
      </c>
      <c r="G167" s="51">
        <v>0.2</v>
      </c>
      <c r="H167" s="51">
        <v>0</v>
      </c>
      <c r="I167" s="49">
        <f t="shared" ref="I167:I185" si="6">IF(A167&lt;&gt;0,(B167-(B166-D166))/(A167-A166),"")</f>
        <v>6.9862500000000018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">
      <c r="A168" s="50">
        <v>63</v>
      </c>
      <c r="B168" s="60">
        <v>167.64</v>
      </c>
      <c r="C168" s="60">
        <v>3</v>
      </c>
      <c r="D168" s="60">
        <v>35.169999999999987</v>
      </c>
      <c r="E168" s="51">
        <v>0</v>
      </c>
      <c r="F168" s="51">
        <v>0.8</v>
      </c>
      <c r="G168" s="51">
        <v>0.2</v>
      </c>
      <c r="H168" s="51">
        <v>0</v>
      </c>
      <c r="I168" s="49">
        <f t="shared" si="6"/>
        <v>6.8699999999999974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">
      <c r="A169" s="50">
        <v>73</v>
      </c>
      <c r="B169" s="60">
        <v>201.24</v>
      </c>
      <c r="C169" s="60">
        <v>4</v>
      </c>
      <c r="D169" s="60">
        <v>36.890000000000015</v>
      </c>
      <c r="E169" s="51">
        <v>0</v>
      </c>
      <c r="F169" s="51">
        <v>0.8</v>
      </c>
      <c r="G169" s="51">
        <v>0.2</v>
      </c>
      <c r="H169" s="51">
        <v>0</v>
      </c>
      <c r="I169" s="49">
        <f t="shared" si="6"/>
        <v>6.8770000000000007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">
      <c r="A170" s="50">
        <v>83</v>
      </c>
      <c r="B170" s="60">
        <v>233.16</v>
      </c>
      <c r="C170" s="60">
        <v>5</v>
      </c>
      <c r="D170" s="60">
        <v>40.069999999999993</v>
      </c>
      <c r="E170" s="51">
        <v>0</v>
      </c>
      <c r="F170" s="51">
        <v>0.8</v>
      </c>
      <c r="G170" s="51">
        <v>0.2</v>
      </c>
      <c r="H170" s="51">
        <v>0</v>
      </c>
      <c r="I170" s="49">
        <f t="shared" si="6"/>
        <v>6.8810000000000002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">
      <c r="A171" s="50">
        <v>93</v>
      </c>
      <c r="B171" s="60">
        <v>262.08999999999997</v>
      </c>
      <c r="C171" s="60">
        <v>6</v>
      </c>
      <c r="D171" s="60">
        <v>43.449999999999989</v>
      </c>
      <c r="E171" s="51">
        <v>0.35</v>
      </c>
      <c r="F171" s="51">
        <v>0.2</v>
      </c>
      <c r="G171" s="51">
        <v>0.1</v>
      </c>
      <c r="H171" s="51">
        <v>0.35</v>
      </c>
      <c r="I171" s="49">
        <f t="shared" si="6"/>
        <v>6.8999999999999968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">
      <c r="A172" s="50">
        <v>103</v>
      </c>
      <c r="B172" s="60">
        <v>288.39</v>
      </c>
      <c r="C172" s="60">
        <v>7</v>
      </c>
      <c r="D172" s="60">
        <v>48.569999999999993</v>
      </c>
      <c r="E172" s="51">
        <v>0.35</v>
      </c>
      <c r="F172" s="51">
        <v>0.2</v>
      </c>
      <c r="G172" s="51">
        <v>0.1</v>
      </c>
      <c r="H172" s="51">
        <v>0.35</v>
      </c>
      <c r="I172" s="49">
        <f t="shared" si="6"/>
        <v>6.9749999999999996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">
      <c r="A173" s="50">
        <v>113</v>
      </c>
      <c r="B173" s="50">
        <v>309.82</v>
      </c>
      <c r="C173" s="50">
        <v>8</v>
      </c>
      <c r="D173" s="50">
        <v>47.019999999999982</v>
      </c>
      <c r="E173" s="51">
        <v>0.35</v>
      </c>
      <c r="F173" s="51">
        <v>0.2</v>
      </c>
      <c r="G173" s="51">
        <v>0.1</v>
      </c>
      <c r="H173" s="51">
        <v>0.35</v>
      </c>
      <c r="I173" s="49">
        <f t="shared" si="6"/>
        <v>7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">
      <c r="A174" s="50">
        <v>125</v>
      </c>
      <c r="B174" s="50">
        <v>349.24</v>
      </c>
      <c r="C174" s="50">
        <v>9</v>
      </c>
      <c r="D174" s="50">
        <v>60.19</v>
      </c>
      <c r="E174" s="51">
        <v>0.35</v>
      </c>
      <c r="F174" s="51">
        <v>0.2</v>
      </c>
      <c r="G174" s="51">
        <v>0.1</v>
      </c>
      <c r="H174" s="51">
        <v>0.35</v>
      </c>
      <c r="I174" s="49">
        <f t="shared" si="6"/>
        <v>7.2033333333333331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">
      <c r="A175" s="50">
        <v>137</v>
      </c>
      <c r="B175" s="50">
        <v>377.76</v>
      </c>
      <c r="C175" s="50">
        <v>10</v>
      </c>
      <c r="D175" s="50">
        <v>57.71999999999997</v>
      </c>
      <c r="E175" s="51">
        <v>0.35</v>
      </c>
      <c r="F175" s="51">
        <v>0.2</v>
      </c>
      <c r="G175" s="51">
        <v>0.1</v>
      </c>
      <c r="H175" s="51">
        <v>0.35</v>
      </c>
      <c r="I175" s="49">
        <f t="shared" si="6"/>
        <v>7.3924999999999983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">
      <c r="A176" s="50">
        <v>149</v>
      </c>
      <c r="B176" s="50">
        <v>411.52</v>
      </c>
      <c r="C176" s="50">
        <v>11</v>
      </c>
      <c r="D176" s="50">
        <v>64.63</v>
      </c>
      <c r="E176" s="51">
        <v>0.35</v>
      </c>
      <c r="F176" s="51">
        <v>0.2</v>
      </c>
      <c r="G176" s="51">
        <v>0.1</v>
      </c>
      <c r="H176" s="51">
        <v>0.35</v>
      </c>
      <c r="I176" s="49">
        <f t="shared" si="6"/>
        <v>7.6233333333333304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">
      <c r="A177" s="50">
        <v>164</v>
      </c>
      <c r="B177" s="50">
        <v>465.73</v>
      </c>
      <c r="C177" s="50">
        <v>12</v>
      </c>
      <c r="D177" s="50">
        <v>82.93</v>
      </c>
      <c r="E177" s="51">
        <v>0.35</v>
      </c>
      <c r="F177" s="51">
        <v>0.2</v>
      </c>
      <c r="G177" s="51">
        <v>0.1</v>
      </c>
      <c r="H177" s="51">
        <v>0.35</v>
      </c>
      <c r="I177" s="49">
        <f t="shared" si="6"/>
        <v>7.922666666666669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">
      <c r="A178" s="50">
        <v>179</v>
      </c>
      <c r="B178" s="50">
        <v>505.2</v>
      </c>
      <c r="C178" s="50">
        <v>13</v>
      </c>
      <c r="D178" s="50">
        <v>227.02999999999997</v>
      </c>
      <c r="E178" s="51">
        <v>0.5</v>
      </c>
      <c r="F178" s="51">
        <v>0.2</v>
      </c>
      <c r="G178" s="51">
        <v>0</v>
      </c>
      <c r="H178" s="51">
        <v>0.3</v>
      </c>
      <c r="I178" s="49">
        <f t="shared" si="6"/>
        <v>8.1599999999999984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">
      <c r="A179" s="50">
        <v>182</v>
      </c>
      <c r="B179" s="50">
        <v>294.11</v>
      </c>
      <c r="C179" s="50">
        <v>14</v>
      </c>
      <c r="D179" s="50">
        <v>101.59</v>
      </c>
      <c r="E179" s="51">
        <v>0.5</v>
      </c>
      <c r="F179" s="51">
        <v>0.2</v>
      </c>
      <c r="G179" s="51">
        <v>0</v>
      </c>
      <c r="H179" s="51">
        <v>0.3</v>
      </c>
      <c r="I179" s="49">
        <f t="shared" si="6"/>
        <v>5.3133333333333326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">
      <c r="A180" s="50">
        <v>185</v>
      </c>
      <c r="B180" s="50">
        <v>202.08</v>
      </c>
      <c r="C180" s="50">
        <v>15</v>
      </c>
      <c r="D180" s="50">
        <v>71.04000000000002</v>
      </c>
      <c r="E180" s="51">
        <v>0.5</v>
      </c>
      <c r="F180" s="51">
        <v>0.2</v>
      </c>
      <c r="G180" s="51">
        <v>0</v>
      </c>
      <c r="H180" s="51">
        <v>0.3</v>
      </c>
      <c r="I180" s="49">
        <f t="shared" si="6"/>
        <v>3.1866666666666674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">
      <c r="A181" s="50">
        <v>188</v>
      </c>
      <c r="B181" s="50">
        <v>137.03</v>
      </c>
      <c r="C181" s="50">
        <v>16</v>
      </c>
      <c r="D181" s="50">
        <v>137.03</v>
      </c>
      <c r="E181" s="51">
        <v>0.5</v>
      </c>
      <c r="F181" s="51">
        <v>0.2</v>
      </c>
      <c r="G181" s="51">
        <v>0</v>
      </c>
      <c r="H181" s="51">
        <v>0.3</v>
      </c>
      <c r="I181" s="49">
        <f t="shared" si="6"/>
        <v>1.9966666666666697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">
      <c r="A188" s="46" t="s">
        <v>171</v>
      </c>
      <c r="B188" s="52" t="str">
        <f>IF(B15="","",B15)</f>
        <v>Chêne chevelu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75" x14ac:dyDescent="0.4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">
      <c r="A192" s="50">
        <v>10</v>
      </c>
      <c r="B192" s="60">
        <v>14.743589743589743</v>
      </c>
      <c r="C192" s="60">
        <v>0</v>
      </c>
      <c r="D192" s="60">
        <v>0</v>
      </c>
      <c r="E192" s="51">
        <v>0</v>
      </c>
      <c r="F192" s="51">
        <v>0.5</v>
      </c>
      <c r="G192" s="51">
        <v>0</v>
      </c>
      <c r="H192" s="51">
        <v>0.5</v>
      </c>
      <c r="I192" s="49">
        <f>IFERROR(B192/A192,"")</f>
        <v>1.4743589743589742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">
      <c r="A193" s="50">
        <v>15</v>
      </c>
      <c r="B193" s="60">
        <v>38.46153846153846</v>
      </c>
      <c r="C193" s="60">
        <v>0</v>
      </c>
      <c r="D193" s="60">
        <v>0</v>
      </c>
      <c r="E193" s="51">
        <v>0</v>
      </c>
      <c r="F193" s="51">
        <v>0.5</v>
      </c>
      <c r="G193" s="51">
        <v>0</v>
      </c>
      <c r="H193" s="51">
        <v>0.5</v>
      </c>
      <c r="I193" s="49">
        <f t="shared" ref="I193:I211" si="7">IF(A193&lt;&gt;0,(B193-(B192-D192))/(A193-A192),"")</f>
        <v>4.7435897435897427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">
      <c r="A194" s="50">
        <v>20</v>
      </c>
      <c r="B194" s="60">
        <v>69.230769230769226</v>
      </c>
      <c r="C194" s="60">
        <v>1</v>
      </c>
      <c r="D194" s="60">
        <v>26.282051282051281</v>
      </c>
      <c r="E194" s="51">
        <v>0</v>
      </c>
      <c r="F194" s="51">
        <v>0.5</v>
      </c>
      <c r="G194" s="51">
        <v>0</v>
      </c>
      <c r="H194" s="51">
        <v>0.5</v>
      </c>
      <c r="I194" s="49">
        <f t="shared" si="7"/>
        <v>6.1538461538461533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">
      <c r="A195" s="50">
        <v>25</v>
      </c>
      <c r="B195" s="60">
        <v>72.435897435897431</v>
      </c>
      <c r="C195" s="60">
        <v>2</v>
      </c>
      <c r="D195" s="60">
        <v>14.743589743589743</v>
      </c>
      <c r="E195" s="51">
        <v>0</v>
      </c>
      <c r="F195" s="51">
        <v>0.5</v>
      </c>
      <c r="G195" s="51">
        <v>0</v>
      </c>
      <c r="H195" s="51">
        <v>0.5</v>
      </c>
      <c r="I195" s="49">
        <f t="shared" si="7"/>
        <v>5.8974358974358978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">
      <c r="A196" s="50">
        <v>30</v>
      </c>
      <c r="B196" s="60">
        <v>86.538461538461533</v>
      </c>
      <c r="C196" s="60">
        <v>3</v>
      </c>
      <c r="D196" s="60">
        <v>15.384615384615383</v>
      </c>
      <c r="E196" s="51">
        <v>0</v>
      </c>
      <c r="F196" s="51">
        <v>0.5</v>
      </c>
      <c r="G196" s="51">
        <v>0</v>
      </c>
      <c r="H196" s="51">
        <v>0.5</v>
      </c>
      <c r="I196" s="49">
        <f t="shared" si="7"/>
        <v>5.7692307692307692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">
      <c r="A197" s="50">
        <v>35</v>
      </c>
      <c r="B197" s="60">
        <v>98.07692307692308</v>
      </c>
      <c r="C197" s="60">
        <v>4</v>
      </c>
      <c r="D197" s="60">
        <v>15.384615384615383</v>
      </c>
      <c r="E197" s="51">
        <v>0</v>
      </c>
      <c r="F197" s="51">
        <v>0.5</v>
      </c>
      <c r="G197" s="51">
        <v>0</v>
      </c>
      <c r="H197" s="51">
        <v>0.5</v>
      </c>
      <c r="I197" s="49">
        <f t="shared" si="7"/>
        <v>5.3846153846153868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">
      <c r="A198" s="50">
        <v>40</v>
      </c>
      <c r="B198" s="60">
        <v>107.69230769230768</v>
      </c>
      <c r="C198" s="60">
        <v>5</v>
      </c>
      <c r="D198" s="60">
        <v>14.743589743589743</v>
      </c>
      <c r="E198" s="51">
        <v>0</v>
      </c>
      <c r="F198" s="51">
        <v>0.5</v>
      </c>
      <c r="G198" s="51">
        <v>0</v>
      </c>
      <c r="H198" s="51">
        <v>0.5</v>
      </c>
      <c r="I198" s="49">
        <f t="shared" si="7"/>
        <v>4.9999999999999973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">
      <c r="A199" s="50">
        <v>45</v>
      </c>
      <c r="B199" s="50">
        <v>115.38461538461539</v>
      </c>
      <c r="C199" s="50">
        <v>6</v>
      </c>
      <c r="D199" s="50">
        <v>14.102564102564102</v>
      </c>
      <c r="E199" s="51">
        <v>0</v>
      </c>
      <c r="F199" s="51">
        <v>0.5</v>
      </c>
      <c r="G199" s="51">
        <v>0</v>
      </c>
      <c r="H199" s="51">
        <v>0.5</v>
      </c>
      <c r="I199" s="49">
        <f t="shared" si="7"/>
        <v>4.487179487179489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">
      <c r="A200" s="50">
        <v>50</v>
      </c>
      <c r="B200" s="50">
        <v>122.43589743589743</v>
      </c>
      <c r="C200" s="50">
        <v>7</v>
      </c>
      <c r="D200" s="50">
        <v>13.461538461538462</v>
      </c>
      <c r="E200" s="51">
        <v>0</v>
      </c>
      <c r="F200" s="51">
        <v>0.5</v>
      </c>
      <c r="G200" s="51">
        <v>0</v>
      </c>
      <c r="H200" s="51">
        <v>0.5</v>
      </c>
      <c r="I200" s="49">
        <f t="shared" si="7"/>
        <v>4.2307692307692291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">
      <c r="A201" s="50">
        <v>55</v>
      </c>
      <c r="B201" s="50">
        <v>128.84615384615384</v>
      </c>
      <c r="C201" s="50">
        <v>8</v>
      </c>
      <c r="D201" s="50">
        <v>12.820512820512819</v>
      </c>
      <c r="E201" s="51">
        <v>0.1</v>
      </c>
      <c r="F201" s="51">
        <v>0.5</v>
      </c>
      <c r="G201" s="51">
        <v>0</v>
      </c>
      <c r="H201" s="51">
        <v>0.4</v>
      </c>
      <c r="I201" s="49">
        <f t="shared" si="7"/>
        <v>3.9743589743589753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">
      <c r="A202" s="50">
        <v>60</v>
      </c>
      <c r="B202" s="50">
        <v>132.69230769230768</v>
      </c>
      <c r="C202" s="50">
        <v>9</v>
      </c>
      <c r="D202" s="50">
        <v>11.538461538461538</v>
      </c>
      <c r="E202" s="51">
        <v>0.1</v>
      </c>
      <c r="F202" s="51">
        <v>0.5</v>
      </c>
      <c r="G202" s="51">
        <v>0</v>
      </c>
      <c r="H202" s="51">
        <v>0.4</v>
      </c>
      <c r="I202" s="49">
        <f t="shared" si="7"/>
        <v>3.3333333333333313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">
      <c r="A203" s="50">
        <v>65</v>
      </c>
      <c r="B203" s="50">
        <v>137.17948717948718</v>
      </c>
      <c r="C203" s="50">
        <v>10</v>
      </c>
      <c r="D203" s="50">
        <v>10.897435897435898</v>
      </c>
      <c r="E203" s="51">
        <v>0.1</v>
      </c>
      <c r="F203" s="51">
        <v>0.5</v>
      </c>
      <c r="G203" s="51">
        <v>0</v>
      </c>
      <c r="H203" s="51">
        <v>0.4</v>
      </c>
      <c r="I203" s="49">
        <f t="shared" si="7"/>
        <v>3.2051282051282071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">
      <c r="A204" s="50">
        <v>70</v>
      </c>
      <c r="B204" s="50">
        <v>141.02564102564102</v>
      </c>
      <c r="C204" s="50">
        <v>11</v>
      </c>
      <c r="D204" s="50">
        <v>10.256410256410255</v>
      </c>
      <c r="E204" s="51">
        <v>0.1</v>
      </c>
      <c r="F204" s="51">
        <v>0.5</v>
      </c>
      <c r="G204" s="51">
        <v>0</v>
      </c>
      <c r="H204" s="51">
        <v>0.4</v>
      </c>
      <c r="I204" s="49">
        <f t="shared" si="7"/>
        <v>2.9487179487179476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">
      <c r="A205" s="50">
        <v>75</v>
      </c>
      <c r="B205" s="50">
        <v>142.94871794871796</v>
      </c>
      <c r="C205" s="50">
        <v>12</v>
      </c>
      <c r="D205" s="50">
        <v>8.9743589743589745</v>
      </c>
      <c r="E205" s="51">
        <v>0.1</v>
      </c>
      <c r="F205" s="51">
        <v>0.5</v>
      </c>
      <c r="G205" s="51">
        <v>0</v>
      </c>
      <c r="H205" s="51">
        <v>0.4</v>
      </c>
      <c r="I205" s="49">
        <f t="shared" si="7"/>
        <v>2.4358974358974366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">
      <c r="A206" s="50">
        <v>80</v>
      </c>
      <c r="B206" s="50">
        <v>145.51282051282053</v>
      </c>
      <c r="C206" s="50">
        <v>13</v>
      </c>
      <c r="D206" s="50">
        <v>8.3333333333333339</v>
      </c>
      <c r="E206" s="51">
        <v>0.1</v>
      </c>
      <c r="F206" s="51">
        <v>0.5</v>
      </c>
      <c r="G206" s="51">
        <v>0</v>
      </c>
      <c r="H206" s="51">
        <v>0.4</v>
      </c>
      <c r="I206" s="49">
        <f t="shared" si="7"/>
        <v>2.3076923076923093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">
      <c r="A207" s="50">
        <v>85</v>
      </c>
      <c r="B207" s="50">
        <v>147.43589743589743</v>
      </c>
      <c r="C207" s="50">
        <v>14</v>
      </c>
      <c r="D207" s="50">
        <v>7.6923076923076916</v>
      </c>
      <c r="E207" s="51">
        <v>0.1</v>
      </c>
      <c r="F207" s="51">
        <v>0.5</v>
      </c>
      <c r="G207" s="51">
        <v>0</v>
      </c>
      <c r="H207" s="51">
        <v>0.4</v>
      </c>
      <c r="I207" s="49">
        <f t="shared" si="7"/>
        <v>2.0512820512820498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">
      <c r="A208" s="50">
        <v>90</v>
      </c>
      <c r="B208" s="50">
        <v>149.35897435897434</v>
      </c>
      <c r="C208" s="50">
        <v>15</v>
      </c>
      <c r="D208" s="50">
        <v>7.0512820512820511</v>
      </c>
      <c r="E208" s="51">
        <v>0.1</v>
      </c>
      <c r="F208" s="51">
        <v>0.5</v>
      </c>
      <c r="G208" s="51">
        <v>0</v>
      </c>
      <c r="H208" s="51">
        <v>0.4</v>
      </c>
      <c r="I208" s="49">
        <f t="shared" si="7"/>
        <v>1.9230769230769169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">
      <c r="A209" s="50">
        <v>95</v>
      </c>
      <c r="B209" s="50">
        <v>151.28205128205127</v>
      </c>
      <c r="C209" s="50">
        <v>16</v>
      </c>
      <c r="D209" s="50">
        <v>7.0512820512820511</v>
      </c>
      <c r="E209" s="51">
        <v>0.1</v>
      </c>
      <c r="F209" s="51">
        <v>0.5</v>
      </c>
      <c r="G209" s="51">
        <v>0</v>
      </c>
      <c r="H209" s="51">
        <v>0.4</v>
      </c>
      <c r="I209" s="49">
        <f t="shared" si="7"/>
        <v>1.7948717948717956</v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">
      <c r="A210" s="50">
        <v>100</v>
      </c>
      <c r="B210" s="50">
        <v>153.84615384615384</v>
      </c>
      <c r="C210" s="50">
        <v>17</v>
      </c>
      <c r="D210" s="50">
        <v>153.84615384615384</v>
      </c>
      <c r="E210" s="51">
        <v>0.2</v>
      </c>
      <c r="F210" s="51">
        <v>0.4</v>
      </c>
      <c r="G210" s="51">
        <v>0</v>
      </c>
      <c r="H210" s="51">
        <v>0.4</v>
      </c>
      <c r="I210" s="49">
        <f t="shared" si="7"/>
        <v>1.9230769230769227</v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75" x14ac:dyDescent="0.4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75" x14ac:dyDescent="0.4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75" x14ac:dyDescent="0.4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6" zoomScaleNormal="100" workbookViewId="0">
      <selection activeCell="B18" sqref="B18"/>
    </sheetView>
  </sheetViews>
  <sheetFormatPr baseColWidth="10" defaultColWidth="11.4609375" defaultRowHeight="14.6" x14ac:dyDescent="0.4"/>
  <cols>
    <col min="1" max="1" width="5.921875" style="1" customWidth="1"/>
    <col min="2" max="2" width="14.07421875" style="1" customWidth="1"/>
    <col min="3" max="3" width="62.07421875" style="1" customWidth="1"/>
    <col min="4" max="5" width="4.3828125" style="1" customWidth="1"/>
    <col min="6" max="6" width="14.3828125" style="1" customWidth="1"/>
    <col min="7" max="7" width="73.3828125" style="1" bestFit="1" customWidth="1"/>
    <col min="8" max="10" width="11.4609375" style="1"/>
    <col min="11" max="11" width="12.53515625" style="1" customWidth="1"/>
    <col min="12" max="16384" width="11.4609375" style="1"/>
  </cols>
  <sheetData>
    <row r="1" spans="1:38" ht="15" thickBot="1" x14ac:dyDescent="0.4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6" thickBot="1" x14ac:dyDescent="0.7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4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4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4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">
      <c r="C104" s="4"/>
      <c r="F104" s="4"/>
    </row>
    <row r="105" spans="3:35" x14ac:dyDescent="0.4">
      <c r="C105" s="4"/>
      <c r="F105" s="4"/>
    </row>
    <row r="106" spans="3:35" x14ac:dyDescent="0.4">
      <c r="C106" s="4"/>
      <c r="F106" s="4"/>
    </row>
    <row r="107" spans="3:35" x14ac:dyDescent="0.4">
      <c r="C107" s="4"/>
      <c r="F107" s="4"/>
    </row>
    <row r="108" spans="3:35" x14ac:dyDescent="0.4">
      <c r="C108" s="4"/>
      <c r="F108" s="4"/>
    </row>
    <row r="109" spans="3:35" x14ac:dyDescent="0.4">
      <c r="C109" s="4"/>
      <c r="F109" s="4"/>
    </row>
    <row r="110" spans="3:35" x14ac:dyDescent="0.4">
      <c r="C110" s="4"/>
      <c r="F110" s="4"/>
    </row>
    <row r="111" spans="3:35" x14ac:dyDescent="0.4">
      <c r="C111" s="4"/>
      <c r="F111" s="4"/>
    </row>
    <row r="112" spans="3:35" x14ac:dyDescent="0.4">
      <c r="C112" s="4"/>
      <c r="F112" s="4"/>
    </row>
    <row r="113" spans="3:6" x14ac:dyDescent="0.4">
      <c r="C113" s="4"/>
      <c r="F113" s="4"/>
    </row>
    <row r="114" spans="3:6" x14ac:dyDescent="0.4">
      <c r="C114" s="4"/>
      <c r="F114" s="4"/>
    </row>
    <row r="115" spans="3:6" x14ac:dyDescent="0.4">
      <c r="C115" s="4"/>
      <c r="F115" s="4"/>
    </row>
    <row r="116" spans="3:6" x14ac:dyDescent="0.4">
      <c r="C116" s="4"/>
      <c r="F116" s="4"/>
    </row>
    <row r="117" spans="3:6" x14ac:dyDescent="0.4">
      <c r="C117" s="4"/>
      <c r="F117" s="4"/>
    </row>
    <row r="118" spans="3:6" x14ac:dyDescent="0.4">
      <c r="C118" s="4"/>
      <c r="F118" s="4"/>
    </row>
    <row r="119" spans="3:6" x14ac:dyDescent="0.4">
      <c r="C119" s="4"/>
      <c r="F119" s="4"/>
    </row>
    <row r="120" spans="3:6" x14ac:dyDescent="0.4">
      <c r="C120" s="4"/>
      <c r="F120" s="4"/>
    </row>
    <row r="121" spans="3:6" x14ac:dyDescent="0.4">
      <c r="C121" s="4"/>
      <c r="F121" s="4"/>
    </row>
    <row r="122" spans="3:6" x14ac:dyDescent="0.4">
      <c r="C122" s="4"/>
      <c r="F122" s="4"/>
    </row>
    <row r="123" spans="3:6" x14ac:dyDescent="0.4">
      <c r="C123" s="4"/>
      <c r="F123" s="4"/>
    </row>
    <row r="124" spans="3:6" x14ac:dyDescent="0.4">
      <c r="C124" s="4"/>
      <c r="F124" s="4"/>
    </row>
    <row r="125" spans="3:6" x14ac:dyDescent="0.4">
      <c r="C125" s="4"/>
      <c r="F125" s="4"/>
    </row>
    <row r="126" spans="3:6" x14ac:dyDescent="0.4">
      <c r="C126" s="4"/>
      <c r="F126" s="4"/>
    </row>
    <row r="127" spans="3:6" x14ac:dyDescent="0.4">
      <c r="C127" s="4"/>
      <c r="F127" s="4"/>
    </row>
    <row r="128" spans="3:6" x14ac:dyDescent="0.4">
      <c r="C128" s="4"/>
      <c r="F128" s="4"/>
    </row>
    <row r="129" spans="3:6" x14ac:dyDescent="0.4">
      <c r="C129" s="4"/>
      <c r="F129" s="4"/>
    </row>
    <row r="130" spans="3:6" x14ac:dyDescent="0.4">
      <c r="C130" s="4"/>
      <c r="F130" s="4"/>
    </row>
    <row r="131" spans="3:6" x14ac:dyDescent="0.4">
      <c r="C131" s="4"/>
      <c r="F131" s="4"/>
    </row>
    <row r="132" spans="3:6" x14ac:dyDescent="0.4">
      <c r="F132" s="4"/>
    </row>
    <row r="133" spans="3:6" x14ac:dyDescent="0.4">
      <c r="F133" s="4"/>
    </row>
    <row r="134" spans="3:6" x14ac:dyDescent="0.4">
      <c r="F134" s="4"/>
    </row>
    <row r="135" spans="3:6" x14ac:dyDescent="0.4">
      <c r="F135" s="4"/>
    </row>
    <row r="136" spans="3:6" x14ac:dyDescent="0.4">
      <c r="F136" s="4"/>
    </row>
    <row r="137" spans="3:6" x14ac:dyDescent="0.4">
      <c r="F137" s="4"/>
    </row>
    <row r="138" spans="3:6" x14ac:dyDescent="0.4">
      <c r="F138" s="4"/>
    </row>
    <row r="139" spans="3:6" x14ac:dyDescent="0.4">
      <c r="F139" s="4"/>
    </row>
    <row r="140" spans="3:6" x14ac:dyDescent="0.4">
      <c r="F140" s="4"/>
    </row>
    <row r="141" spans="3:6" x14ac:dyDescent="0.4">
      <c r="F141" s="4"/>
    </row>
    <row r="142" spans="3:6" x14ac:dyDescent="0.4">
      <c r="F142" s="4"/>
    </row>
    <row r="143" spans="3:6" x14ac:dyDescent="0.4">
      <c r="F143" s="4"/>
    </row>
    <row r="144" spans="3:6" x14ac:dyDescent="0.4">
      <c r="F144" s="4"/>
    </row>
    <row r="145" spans="6:6" x14ac:dyDescent="0.4">
      <c r="F145" s="4"/>
    </row>
    <row r="146" spans="6:6" x14ac:dyDescent="0.4">
      <c r="F146" s="4"/>
    </row>
    <row r="147" spans="6:6" x14ac:dyDescent="0.4">
      <c r="F147" s="4"/>
    </row>
    <row r="148" spans="6:6" x14ac:dyDescent="0.4">
      <c r="F148" s="4"/>
    </row>
    <row r="149" spans="6:6" x14ac:dyDescent="0.4">
      <c r="F149" s="4"/>
    </row>
    <row r="150" spans="6:6" x14ac:dyDescent="0.4">
      <c r="F150" s="4"/>
    </row>
    <row r="151" spans="6:6" x14ac:dyDescent="0.4">
      <c r="F151" s="4"/>
    </row>
    <row r="152" spans="6:6" x14ac:dyDescent="0.4">
      <c r="F152" s="4"/>
    </row>
    <row r="153" spans="6:6" x14ac:dyDescent="0.4">
      <c r="F153" s="4"/>
    </row>
    <row r="154" spans="6:6" x14ac:dyDescent="0.4">
      <c r="F154" s="4"/>
    </row>
    <row r="155" spans="6:6" x14ac:dyDescent="0.4">
      <c r="F155" s="4"/>
    </row>
    <row r="156" spans="6:6" x14ac:dyDescent="0.4">
      <c r="F156" s="4"/>
    </row>
    <row r="157" spans="6:6" x14ac:dyDescent="0.4">
      <c r="F157" s="4"/>
    </row>
    <row r="158" spans="6:6" x14ac:dyDescent="0.4">
      <c r="F158" s="4"/>
    </row>
    <row r="159" spans="6:6" x14ac:dyDescent="0.4">
      <c r="F159" s="4"/>
    </row>
    <row r="160" spans="6:6" x14ac:dyDescent="0.4">
      <c r="F160" s="4"/>
    </row>
    <row r="161" spans="6:6" x14ac:dyDescent="0.4">
      <c r="F161" s="4"/>
    </row>
    <row r="162" spans="6:6" x14ac:dyDescent="0.4">
      <c r="F162" s="4"/>
    </row>
    <row r="163" spans="6:6" x14ac:dyDescent="0.4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609375" defaultRowHeight="14.6" x14ac:dyDescent="0.4"/>
  <cols>
    <col min="1" max="1" width="6.921875" style="4" bestFit="1" customWidth="1"/>
    <col min="2" max="4" width="11.4609375" style="4"/>
    <col min="5" max="5" width="9.53515625" style="4" customWidth="1"/>
    <col min="6" max="7" width="11.4609375" style="4"/>
    <col min="8" max="8" width="10.61328125" style="4" customWidth="1"/>
    <col min="9" max="9" width="9.4609375" style="4" customWidth="1"/>
    <col min="10" max="11" width="10.53515625" style="4" bestFit="1" customWidth="1"/>
    <col min="12" max="12" width="14" style="4" bestFit="1" customWidth="1"/>
    <col min="13" max="13" width="14" style="4" customWidth="1"/>
    <col min="14" max="23" width="11.4609375" style="4"/>
    <col min="24" max="24" width="11.61328125" style="4" bestFit="1" customWidth="1"/>
    <col min="25" max="25" width="14.53515625" style="4" bestFit="1" customWidth="1"/>
    <col min="26" max="26" width="12.4609375" style="4" bestFit="1" customWidth="1"/>
    <col min="27" max="27" width="9.61328125" style="4" bestFit="1" customWidth="1"/>
    <col min="28" max="28" width="11" style="4" bestFit="1" customWidth="1"/>
    <col min="29" max="29" width="9.4609375" style="4" bestFit="1" customWidth="1"/>
    <col min="30" max="31" width="9.4609375" style="4" customWidth="1"/>
    <col min="32" max="32" width="11.4609375" style="4"/>
    <col min="33" max="34" width="14" style="4" bestFit="1" customWidth="1"/>
    <col min="35" max="35" width="10.53515625" style="4" bestFit="1" customWidth="1"/>
    <col min="36" max="36" width="9.4609375" style="4" bestFit="1" customWidth="1"/>
    <col min="37" max="38" width="10.53515625" style="4" bestFit="1" customWidth="1"/>
    <col min="39" max="41" width="10.53515625" style="4" customWidth="1"/>
    <col min="42" max="42" width="9" style="4" bestFit="1" customWidth="1"/>
    <col min="43" max="43" width="10.53515625" style="4" bestFit="1" customWidth="1"/>
    <col min="44" max="44" width="9.3828125" style="4" bestFit="1" customWidth="1"/>
    <col min="45" max="45" width="11.61328125" style="4" bestFit="1" customWidth="1"/>
    <col min="46" max="46" width="8.4609375" style="4" bestFit="1" customWidth="1"/>
    <col min="47" max="47" width="9.4609375" style="4" bestFit="1" customWidth="1"/>
    <col min="48" max="48" width="9.61328125" style="4" bestFit="1" customWidth="1"/>
    <col min="49" max="49" width="11" style="4" bestFit="1" customWidth="1"/>
    <col min="50" max="50" width="9.4609375" style="4" bestFit="1" customWidth="1"/>
    <col min="51" max="52" width="9.4609375" style="4" customWidth="1"/>
    <col min="53" max="53" width="10.53515625" style="4" bestFit="1" customWidth="1"/>
    <col min="54" max="54" width="14.3828125" style="4" customWidth="1"/>
    <col min="55" max="55" width="14" style="4" customWidth="1"/>
    <col min="56" max="56" width="10.53515625" style="4" bestFit="1" customWidth="1"/>
    <col min="57" max="57" width="9.4609375" style="4" bestFit="1" customWidth="1"/>
    <col min="58" max="59" width="10.53515625" style="4" bestFit="1" customWidth="1"/>
    <col min="60" max="62" width="10.53515625" style="4" customWidth="1"/>
    <col min="63" max="63" width="9" style="4" bestFit="1" customWidth="1"/>
    <col min="64" max="64" width="10.53515625" style="4" bestFit="1" customWidth="1"/>
    <col min="65" max="65" width="9.3828125" style="4" bestFit="1" customWidth="1"/>
    <col min="66" max="66" width="11.61328125" style="4" bestFit="1" customWidth="1"/>
    <col min="67" max="67" width="8.4609375" style="4" bestFit="1" customWidth="1"/>
    <col min="68" max="68" width="9.4609375" style="4" bestFit="1" customWidth="1"/>
    <col min="69" max="69" width="9.61328125" style="4" bestFit="1" customWidth="1"/>
    <col min="70" max="70" width="11" style="4" bestFit="1" customWidth="1"/>
    <col min="71" max="71" width="9.4609375" style="4" bestFit="1" customWidth="1"/>
    <col min="72" max="73" width="9.4609375" style="4" customWidth="1"/>
    <col min="74" max="74" width="10.53515625" style="4" bestFit="1" customWidth="1"/>
    <col min="75" max="75" width="14" style="4" bestFit="1" customWidth="1"/>
    <col min="76" max="76" width="13.921875" style="4" customWidth="1"/>
    <col min="77" max="77" width="10.53515625" style="4" bestFit="1" customWidth="1"/>
    <col min="78" max="78" width="9.4609375" style="4" bestFit="1" customWidth="1"/>
    <col min="79" max="80" width="10.53515625" style="4" bestFit="1" customWidth="1"/>
    <col min="81" max="83" width="10.53515625" style="4" customWidth="1"/>
    <col min="84" max="84" width="11.4609375" style="4"/>
    <col min="85" max="85" width="10.53515625" style="4" bestFit="1" customWidth="1"/>
    <col min="86" max="86" width="9.3828125" style="4" bestFit="1" customWidth="1"/>
    <col min="87" max="87" width="11.61328125" style="4" bestFit="1" customWidth="1"/>
    <col min="88" max="88" width="8.4609375" style="4" bestFit="1" customWidth="1"/>
    <col min="89" max="89" width="9.4609375" style="4" bestFit="1" customWidth="1"/>
    <col min="90" max="90" width="9.61328125" style="4" bestFit="1" customWidth="1"/>
    <col min="91" max="91" width="11" style="4" bestFit="1" customWidth="1"/>
    <col min="92" max="92" width="9.4609375" style="4" bestFit="1" customWidth="1"/>
    <col min="93" max="94" width="9.4609375" style="4" customWidth="1"/>
    <col min="95" max="95" width="11.4609375" style="4"/>
    <col min="96" max="97" width="14" style="4" customWidth="1"/>
    <col min="98" max="98" width="10.53515625" style="4" bestFit="1" customWidth="1"/>
    <col min="99" max="99" width="9.4609375" style="4" bestFit="1" customWidth="1"/>
    <col min="100" max="101" width="10.53515625" style="4" bestFit="1" customWidth="1"/>
    <col min="102" max="104" width="10.53515625" style="4" customWidth="1"/>
    <col min="105" max="105" width="9" style="4" bestFit="1" customWidth="1"/>
    <col min="106" max="106" width="10.53515625" style="4" bestFit="1" customWidth="1"/>
    <col min="107" max="107" width="9.3828125" style="4" bestFit="1" customWidth="1"/>
    <col min="108" max="108" width="11.61328125" style="4" bestFit="1" customWidth="1"/>
    <col min="109" max="109" width="8.4609375" style="4" bestFit="1" customWidth="1"/>
    <col min="110" max="110" width="9.4609375" style="4" bestFit="1" customWidth="1"/>
    <col min="111" max="111" width="9.61328125" style="4" bestFit="1" customWidth="1"/>
    <col min="112" max="112" width="11" style="4" bestFit="1" customWidth="1"/>
    <col min="113" max="113" width="9.4609375" style="4" bestFit="1" customWidth="1"/>
    <col min="114" max="115" width="9.4609375" style="4" customWidth="1"/>
    <col min="116" max="116" width="10.53515625" style="4" bestFit="1" customWidth="1"/>
    <col min="117" max="117" width="14.3828125" style="4" customWidth="1"/>
    <col min="118" max="118" width="14" style="4" bestFit="1" customWidth="1"/>
    <col min="119" max="119" width="10.53515625" style="4" bestFit="1" customWidth="1"/>
    <col min="120" max="120" width="9.4609375" style="4" bestFit="1" customWidth="1"/>
    <col min="121" max="122" width="10.53515625" style="4" bestFit="1" customWidth="1"/>
    <col min="123" max="125" width="10.53515625" style="4" customWidth="1"/>
    <col min="126" max="126" width="9" style="4" bestFit="1" customWidth="1"/>
    <col min="127" max="127" width="10.53515625" style="4" bestFit="1" customWidth="1"/>
    <col min="128" max="128" width="9.3828125" style="4" bestFit="1" customWidth="1"/>
    <col min="129" max="129" width="11.61328125" style="4" bestFit="1" customWidth="1"/>
    <col min="130" max="130" width="8.4609375" style="4" bestFit="1" customWidth="1"/>
    <col min="131" max="131" width="9.4609375" style="4" bestFit="1" customWidth="1"/>
    <col min="132" max="132" width="9.61328125" style="4" bestFit="1" customWidth="1"/>
    <col min="133" max="133" width="11" style="4" bestFit="1" customWidth="1"/>
    <col min="134" max="134" width="9.4609375" style="4" bestFit="1" customWidth="1"/>
    <col min="135" max="136" width="9.4609375" style="4" customWidth="1"/>
    <col min="137" max="137" width="10.53515625" style="4" bestFit="1" customWidth="1"/>
    <col min="138" max="139" width="14" style="4" customWidth="1"/>
    <col min="140" max="140" width="10.53515625" style="4" bestFit="1" customWidth="1"/>
    <col min="141" max="141" width="9.4609375" style="4" bestFit="1" customWidth="1"/>
    <col min="142" max="143" width="10.53515625" style="4" bestFit="1" customWidth="1"/>
    <col min="144" max="146" width="10.53515625" style="4" customWidth="1"/>
    <col min="147" max="147" width="9" style="4" bestFit="1" customWidth="1"/>
    <col min="148" max="148" width="10.53515625" style="4" bestFit="1" customWidth="1"/>
    <col min="149" max="149" width="9.3828125" style="4" bestFit="1" customWidth="1"/>
    <col min="150" max="150" width="11.61328125" style="4" bestFit="1" customWidth="1"/>
    <col min="151" max="151" width="8.4609375" style="4" bestFit="1" customWidth="1"/>
    <col min="152" max="152" width="9.4609375" style="4" bestFit="1" customWidth="1"/>
    <col min="153" max="153" width="9.61328125" style="4" bestFit="1" customWidth="1"/>
    <col min="154" max="154" width="11" style="4" bestFit="1" customWidth="1"/>
    <col min="155" max="155" width="9.4609375" style="4" bestFit="1" customWidth="1"/>
    <col min="156" max="157" width="9.4609375" style="4" customWidth="1"/>
    <col min="158" max="158" width="11.4609375" style="4"/>
    <col min="159" max="160" width="14" style="4" bestFit="1" customWidth="1"/>
    <col min="161" max="161" width="10.53515625" style="4" bestFit="1" customWidth="1"/>
    <col min="162" max="162" width="9.4609375" style="4" bestFit="1" customWidth="1"/>
    <col min="163" max="164" width="10.53515625" style="4" bestFit="1" customWidth="1"/>
    <col min="165" max="167" width="10.53515625" style="4" customWidth="1"/>
    <col min="168" max="168" width="9" style="4" bestFit="1" customWidth="1"/>
    <col min="169" max="169" width="10.53515625" style="4" bestFit="1" customWidth="1"/>
    <col min="170" max="170" width="9.3828125" style="4" bestFit="1" customWidth="1"/>
    <col min="171" max="171" width="11.61328125" style="4" bestFit="1" customWidth="1"/>
    <col min="172" max="172" width="8.07421875" style="4" bestFit="1" customWidth="1"/>
    <col min="173" max="173" width="9.4609375" style="4" bestFit="1" customWidth="1"/>
    <col min="174" max="174" width="9.61328125" style="4" bestFit="1" customWidth="1"/>
    <col min="175" max="175" width="11" style="4" bestFit="1" customWidth="1"/>
    <col min="176" max="176" width="9.4609375" style="4" bestFit="1" customWidth="1"/>
    <col min="177" max="178" width="9.4609375" style="4" customWidth="1"/>
    <col min="179" max="179" width="10.53515625" style="4" bestFit="1" customWidth="1"/>
    <col min="180" max="181" width="14" style="4" bestFit="1" customWidth="1"/>
    <col min="182" max="182" width="10.53515625" style="4" bestFit="1" customWidth="1"/>
    <col min="183" max="183" width="9.4609375" style="4" bestFit="1" customWidth="1"/>
    <col min="184" max="185" width="10.53515625" style="4" bestFit="1" customWidth="1"/>
    <col min="186" max="188" width="10.53515625" style="4" customWidth="1"/>
    <col min="189" max="189" width="9" style="4" bestFit="1" customWidth="1"/>
    <col min="190" max="190" width="10.53515625" style="4" bestFit="1" customWidth="1"/>
    <col min="191" max="191" width="9.3828125" style="4" bestFit="1" customWidth="1"/>
    <col min="192" max="192" width="11.4609375" style="4"/>
    <col min="193" max="193" width="8.4609375" style="4" bestFit="1" customWidth="1"/>
    <col min="194" max="194" width="9.4609375" style="4" bestFit="1" customWidth="1"/>
    <col min="195" max="195" width="9.61328125" style="4" bestFit="1" customWidth="1"/>
    <col min="196" max="196" width="11" style="4" bestFit="1" customWidth="1"/>
    <col min="197" max="197" width="9.4609375" style="4" bestFit="1" customWidth="1"/>
    <col min="198" max="199" width="9.4609375" style="4" customWidth="1"/>
    <col min="200" max="200" width="10.53515625" style="4" bestFit="1" customWidth="1"/>
    <col min="201" max="201" width="14" style="4" customWidth="1"/>
    <col min="202" max="202" width="14.3828125" style="4" customWidth="1"/>
    <col min="203" max="203" width="10.53515625" style="4" bestFit="1" customWidth="1"/>
    <col min="204" max="204" width="9.4609375" style="4" bestFit="1" customWidth="1"/>
    <col min="205" max="206" width="10.53515625" style="4" bestFit="1" customWidth="1"/>
    <col min="207" max="209" width="10.53515625" style="4" customWidth="1"/>
    <col min="210" max="210" width="9" style="4" bestFit="1" customWidth="1"/>
    <col min="211" max="211" width="10.53515625" style="4" bestFit="1" customWidth="1"/>
    <col min="212" max="212" width="9.3828125" style="4" bestFit="1" customWidth="1"/>
    <col min="213" max="213" width="11.61328125" style="4" bestFit="1" customWidth="1"/>
    <col min="214" max="214" width="8.4609375" style="4" bestFit="1" customWidth="1"/>
    <col min="215" max="215" width="9.4609375" style="4" bestFit="1" customWidth="1"/>
    <col min="216" max="216" width="9.61328125" style="4" bestFit="1" customWidth="1"/>
    <col min="217" max="217" width="11" style="4" bestFit="1" customWidth="1"/>
    <col min="218" max="218" width="9.4609375" style="4" bestFit="1" customWidth="1"/>
    <col min="219" max="16384" width="11.4609375" style="4"/>
  </cols>
  <sheetData>
    <row r="1" spans="1:218" ht="26.6" thickBot="1" x14ac:dyDescent="0.7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pubescent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Erable champêtre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Charme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Chêne sessile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Bouleau verruqueux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Chêne vert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Chêne chevelu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75" thickBot="1" x14ac:dyDescent="0.4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4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752.45542076695506</v>
      </c>
      <c r="T3" s="59">
        <f>IF('Données projet'!E9&gt;30,$R$33-$H$33,LOOKUP('Données projet'!$E$9,$A$3:$A$203,R3:R203)-LOOKUP('Données projet'!$E$9,$A$3:$A$203,$H$3:$H$203))</f>
        <v>329.70629768420724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408.246209980743</v>
      </c>
      <c r="AO3" s="59">
        <f>IF('Données projet'!E10&gt;30,$AM$33-$H$33,LOOKUP('Données projet'!$E$10,$A$3:$A$203,AM3:AM203)-LOOKUP('Données projet'!$E$10,$A$3:$A$203,$H$3:$H$203))</f>
        <v>394.10236303013903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711.91538686535682</v>
      </c>
      <c r="BJ3" s="59">
        <f>IF('Données projet'!E11&gt;30,$BH$33-$H$33,LOOKUP('Données projet'!$E$11,$A$3:$A$203,BH3:BH203)-LOOKUP('Données projet'!$E$11,$A$3:$A$203,$H$3:$H$203))</f>
        <v>313.24593837351722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165</v>
      </c>
      <c r="CD3" s="59">
        <f ca="1">AVERAGE(OFFSET($CC$3,0,0,'Données projet'!$E$12+1,1))-AVERAGE(OFFSET($H$3,0,0,'Données projet'!$E$12+1,1))</f>
        <v>681.47578137804555</v>
      </c>
      <c r="CE3" s="59">
        <f>IF('Données projet'!E12&gt;30,$CC$33-$H$33,LOOKUP('Données projet'!$E$12,$A$3:$A$203,CC3:CC203)-LOOKUP('Données projet'!$E$12,$A$3:$A$203,$H$3:$H$203))</f>
        <v>300.88511065995885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165</v>
      </c>
      <c r="CY3" s="59">
        <f ca="1">AVERAGE(OFFSET($CX$3,0,0,'Données projet'!$E$13+1,1))-AVERAGE(OFFSET($H$3,0,0,'Données projet'!$E$13+1,1))</f>
        <v>186.54446846714993</v>
      </c>
      <c r="CZ3" s="59">
        <f>IF('Données projet'!E13&gt;30,$CX$33-$H$33,LOOKUP('Données projet'!$E$13,$A$3:$A$203,CX3:CX203)-LOOKUP('Données projet'!$E$13,$A$3:$A$203,$H$3:$H$203))</f>
        <v>154.43773051601286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165</v>
      </c>
      <c r="DT3" s="59">
        <f ca="1">AVERAGE(OFFSET($DS$3,0,0,'Données projet'!$E$14+1,1))-AVERAGE(OFFSET($H$3,0,0,'Données projet'!$E$14+1,1))</f>
        <v>651.35546372812314</v>
      </c>
      <c r="DU3" s="59">
        <f>IF('Données projet'!E14&gt;30,$DS$33-$H$33,LOOKUP('Données projet'!$E$14,$A$3:$A$203,DS3:DS203)-LOOKUP('Données projet'!$E$14,$A$3:$A$203,$H$3:$H$203))</f>
        <v>293.6561676213388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165</v>
      </c>
      <c r="EO3" s="59">
        <f ca="1">AVERAGE(OFFSET($EN$3,0,0,'Données projet'!$E$15+1,1))-AVERAGE(OFFSET($H$3,0,0,'Données projet'!$E$15+1,1))</f>
        <v>290.69667785754848</v>
      </c>
      <c r="EP3" s="59">
        <f>IF('Données projet'!E15&gt;30,$EN$33-$H$33,LOOKUP('Données projet'!$E$15,$A$3:$A$203,EN3:EN203)-LOOKUP('Données projet'!$E$15,$A$3:$A$203,$H$3:$H$203))</f>
        <v>256.28124185489082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4.0942857142857143</v>
      </c>
      <c r="N4" s="13">
        <f>IF('Données projet'!$A$36&gt;35,N3+M4-V3,IF(A4&lt;'Données projet'!$A$36,$K$205^A4,IF(A4='Données projet'!$A$36,'Données projet'!$B$36,N3+M4-V3)))</f>
        <v>4.0942857142857143</v>
      </c>
      <c r="O4" s="13">
        <f>N4*VLOOKUP('Données projet'!$B$9,Paramètres!$A$1:$I$89,3,0)*VLOOKUP('Données projet'!$B$9,Paramètres!$A$1:$I$89,5,0)</f>
        <v>4.151605714285715</v>
      </c>
      <c r="P4" s="13">
        <f>EXP(-1.0587+0.8836*LN(O4)+0.284)</f>
        <v>1.6210925568488095</v>
      </c>
      <c r="Q4" s="20">
        <f t="shared" ref="Q4:Q34" si="2">(O4+P4)*0.475*44/12</f>
        <v>10.054116155559297</v>
      </c>
      <c r="R4" s="59">
        <f t="shared" si="0"/>
        <v>177.86655010848312</v>
      </c>
      <c r="S4" s="59">
        <f ca="1">AVERAGE(OFFSET($R$3,0,0,'Données projet'!$E$9+1,1))-AVERAGE(OFFSET($H$3,0,0,'Données projet'!$E$9+1,1))</f>
        <v>752.45542076695506</v>
      </c>
      <c r="T4" s="59">
        <f>$T$3</f>
        <v>329.70629768420724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4.333333333333333</v>
      </c>
      <c r="AI4" s="13">
        <f>IF('Données projet'!$A$62&gt;35,AI3+AH4-AQ3,IF(A4&lt;'Données projet'!$A$62,$AF$205^A4,IF(A4='Données projet'!$A$62,'Données projet'!$B$62,AI3+AH4-AQ3)))</f>
        <v>1.3208724756526424</v>
      </c>
      <c r="AJ4" s="13">
        <f>AI4*VLOOKUP('Données projet'!$B$10,Paramètres!$A$1:$I$89,3,0)*VLOOKUP('Données projet'!$B$10,Paramètres!$A$1:$I$89,5,0)</f>
        <v>1.1539141947301486</v>
      </c>
      <c r="AK4" s="13">
        <f>EXP(-1.0587+0.8836*LN(AJ4)+0.284)</f>
        <v>0.52298421799329042</v>
      </c>
      <c r="AL4" s="20">
        <f t="shared" ref="AL4:AL67" si="4">(AJ4+AK4)*0.475*44/12</f>
        <v>2.9205980688266564</v>
      </c>
      <c r="AM4" s="59">
        <f t="shared" ref="AM4:AM67" si="5">AL4+(AD4+AE4)*44/12</f>
        <v>170.73303202175049</v>
      </c>
      <c r="AN4" s="59">
        <f ca="1">AVERAGE(OFFSET($AM$3,0,0,'Données projet'!$E$10+1,1))-AVERAGE(OFFSET($H$3,0,0,'Données projet'!$E$10+1,1))</f>
        <v>408.246209980743</v>
      </c>
      <c r="AO4" s="59">
        <f>$AO$3</f>
        <v>394.10236303013903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4.0942857142857143</v>
      </c>
      <c r="BD4" s="12">
        <f>IF('Données projet'!$A$88&gt;35,BD3+BC4-BL3,IF(A4&lt;'Données projet'!$A$88,$BA$205^A4,IF(A4='Données projet'!$A$88,'Données projet'!$B$88,BD3+BC4-BL3)))</f>
        <v>4.0942857142857143</v>
      </c>
      <c r="BE4" s="13">
        <f>BD4*VLOOKUP('Données projet'!$B$11,Paramètres!$A$1:$I$89,3,0)*VLOOKUP('Données projet'!$B$11,Paramètres!$A$1:$I$89,5,0)</f>
        <v>3.8961222857142861</v>
      </c>
      <c r="BF4" s="13">
        <f>EXP(-1.0587+0.8836*LN(BE4)+0.284)</f>
        <v>1.5326218471913844</v>
      </c>
      <c r="BG4" s="20">
        <f t="shared" ref="BG4:BG67" si="7">(BE4+BF4)*0.475*44/12</f>
        <v>9.455062698144042</v>
      </c>
      <c r="BH4" s="59">
        <f t="shared" ref="BH4:BH67" si="8">BG4+(AY4+AZ4)*44/12</f>
        <v>177.26749665106789</v>
      </c>
      <c r="BI4" s="59">
        <f ca="1">AVERAGE(OFFSET($BH$3,0,0,'Données projet'!$E$11+1,1))-AVERAGE(OFFSET($H$3,0,0,'Données projet'!$E$11+1,1))</f>
        <v>711.91538686535682</v>
      </c>
      <c r="BJ4" s="59">
        <f>$BJ$3</f>
        <v>313.24593837351722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4.0942857142857143</v>
      </c>
      <c r="BY4" s="12">
        <f>IF('Données projet'!$A$114&gt;35,BY3+BX4-CG3,IF(A4&lt;'Données projet'!$A$114,$BV$205^A4,IF(A4='Données projet'!$A$114,'Données projet'!$B$114,BY3+BX4-CG3)))</f>
        <v>4.0942857142857143</v>
      </c>
      <c r="BZ4" s="13">
        <f>BY4*VLOOKUP('Données projet'!$B$12,Paramètres!$A$1:$I$89,3,0)*VLOOKUP('Données projet'!$B$12,Paramètres!$A$1:$I$89,5,0)</f>
        <v>3.704509714285714</v>
      </c>
      <c r="CA4" s="13">
        <f>EXP(-1.0587+0.8836*LN(BZ4)+0.284)</f>
        <v>1.4658264193249637</v>
      </c>
      <c r="CB4" s="20">
        <f t="shared" ref="CB4:CB67" si="10">(BZ4+CA4)*0.475*44/12</f>
        <v>9.0050020993719304</v>
      </c>
      <c r="CC4" s="59">
        <f t="shared" ref="CC4:CC67" si="11">CB4+(BT4+BU4)*44/12</f>
        <v>176.81743605229576</v>
      </c>
      <c r="CD4" s="59">
        <f ca="1">AVERAGE(OFFSET($CC$3,0,0,'Données projet'!$E$12+1,1))-AVERAGE(OFFSET($H$3,0,0,'Données projet'!$E$12+1,1))</f>
        <v>681.47578137804555</v>
      </c>
      <c r="CE4" s="59">
        <f>$CE$3</f>
        <v>300.88511065995885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1.3675213675213673</v>
      </c>
      <c r="CT4" s="12">
        <f>IF('Données projet'!$A$140&gt;35,CT3+CS4-DB3,IF(A4&lt;'Données projet'!$A$140,$CQ$205^A4,IF(A4='Données projet'!$A$140,'Données projet'!$B$140,CT3+CS4-DB3)))</f>
        <v>1.2231180032570037</v>
      </c>
      <c r="CU4" s="17">
        <f>CT4*VLOOKUP('Données projet'!$B$13,Paramètres!$A$1:$I$89,3,0)*VLOOKUP('Données projet'!$B$13,Paramètres!$A$1:$I$89,5,0)</f>
        <v>0.99219332424208151</v>
      </c>
      <c r="CV4" s="13">
        <f>EXP(-1.0587+0.8836*LN(CU4)+0.284)</f>
        <v>0.45766168594626538</v>
      </c>
      <c r="CW4" s="20">
        <f t="shared" ref="CW4:CW67" si="13">(CU4+CV4)*0.475*44/12</f>
        <v>2.5251641427447038</v>
      </c>
      <c r="CX4" s="59">
        <f t="shared" ref="CX4:CX67" si="14">CW4+(CO4+CP4)*44/12</f>
        <v>170.33759809566854</v>
      </c>
      <c r="CY4" s="59">
        <f ca="1">AVERAGE(OFFSET($CX$3,0,0,'Données projet'!$E$13+1,1))-AVERAGE(OFFSET($H$3,0,0,'Données projet'!$E$13+1,1))</f>
        <v>186.54446846714993</v>
      </c>
      <c r="CZ4" s="59">
        <f>$CZ$3</f>
        <v>154.43773051601286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3.15468085106383</v>
      </c>
      <c r="DO4" s="12">
        <f>IF('Données projet'!$A$166&gt;35,DO3+DN4-DW3,IF(A4&lt;'Données projet'!$A$166,$DL$205^A4,IF(A4='Données projet'!$A$166,'Données projet'!$B$166,DO3+DN4-DW3)))</f>
        <v>3.15468085106383</v>
      </c>
      <c r="DP4" s="17">
        <f>DO4*VLOOKUP('Données projet'!$B$14,Paramètres!$A$1:$I$89,3,0)*VLOOKUP('Données projet'!$B$14,Paramètres!$A$1:$I$89,5,0)</f>
        <v>3.5925505531914896</v>
      </c>
      <c r="DQ4" s="13">
        <f>EXP(-1.0587+0.8836*LN(DP4)+0.284)</f>
        <v>1.4266126044511451</v>
      </c>
      <c r="DR4" s="20">
        <f t="shared" ref="DR4:DR67" si="16">(DP4+DQ4)*0.475*44/12</f>
        <v>8.7417091662275883</v>
      </c>
      <c r="DS4" s="59">
        <f t="shared" ref="DS4:DS67" si="17">DR4+(DJ4+DK4)*44/12</f>
        <v>176.55414311915143</v>
      </c>
      <c r="DT4" s="59">
        <f ca="1">AVERAGE(OFFSET($DS$3,0,0,'Données projet'!$E$14+1,1))-AVERAGE(OFFSET($H$3,0,0,'Données projet'!$E$14+1,1))</f>
        <v>651.35546372812314</v>
      </c>
      <c r="DU4" s="59">
        <f>$DU$3</f>
        <v>293.6561676213388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1.4743589743589742</v>
      </c>
      <c r="EJ4" s="12">
        <f>IF('Données projet'!$A$192&gt;35,EJ3+EI4-ER3,IF(A4&lt;'Données projet'!$A$192,$EG$205^A4,IF(A4='Données projet'!$A$192,'Données projet'!$B$192,EJ3+EI4-ER3)))</f>
        <v>1.3087609363064139</v>
      </c>
      <c r="EK4" s="17">
        <f>EJ4*VLOOKUP('Données projet'!$B$15,Paramètres!$A$1:$I$89,3,0)*VLOOKUP('Données projet'!$B$15,Paramètres!$A$1:$I$89,5,0)</f>
        <v>1.3679169306274639</v>
      </c>
      <c r="EL4" s="13">
        <f>EXP(-1.0587+0.8836*LN(EK4)+0.284)</f>
        <v>0.60781923235665469</v>
      </c>
      <c r="EM4" s="20">
        <f t="shared" ref="EM4:EM67" si="19">(EK4+EL4)*0.475*44/12</f>
        <v>3.4410738171973398</v>
      </c>
      <c r="EN4" s="59">
        <f t="shared" ref="EN4:EN67" si="20">EM4+(EE4+EF4)*44/12</f>
        <v>171.25350777012119</v>
      </c>
      <c r="EO4" s="59">
        <f ca="1">AVERAGE(OFFSET($EN$3,0,0,'Données projet'!$E$15+1,1))-AVERAGE(OFFSET($H$3,0,0,'Données projet'!$E$15+1,1))</f>
        <v>290.69667785754848</v>
      </c>
      <c r="EP4" s="59">
        <f>$EP$3</f>
        <v>256.28124185489082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4.0942857142857143</v>
      </c>
      <c r="N5" s="13">
        <f>IF('Données projet'!$A$36&gt;35,N4+M5-V4,IF(A5&lt;'Données projet'!$A$36,$K$205^A5,IF(A5='Données projet'!$A$36,'Données projet'!$B$36,N4+M5-V4)))</f>
        <v>8.1885714285714286</v>
      </c>
      <c r="O5" s="13">
        <f>N5*VLOOKUP('Données projet'!$B$9,Paramètres!$A$1:$I$89,3,0)*VLOOKUP('Données projet'!$B$9,Paramètres!$A$1:$I$89,5,0)</f>
        <v>8.30321142857143</v>
      </c>
      <c r="P5" s="13">
        <f t="shared" ref="P5:P68" si="33">EXP(-1.0587+0.8836*LN(O5)+0.284)</f>
        <v>2.9908726125223399</v>
      </c>
      <c r="Q5" s="20">
        <f t="shared" si="2"/>
        <v>19.670529704904983</v>
      </c>
      <c r="R5" s="59">
        <f t="shared" si="0"/>
        <v>190.26781099240583</v>
      </c>
      <c r="S5" s="59">
        <f ca="1">AVERAGE(OFFSET($R$3,0,0,'Données projet'!$E$9+1,1))-AVERAGE(OFFSET($H$3,0,0,'Données projet'!$E$9+1,1))</f>
        <v>752.45542076695506</v>
      </c>
      <c r="T5" s="59">
        <f t="shared" ref="T5:T68" si="34">$T$3</f>
        <v>329.70629768420724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4.333333333333333</v>
      </c>
      <c r="AI5" s="13">
        <f>IF('Données projet'!$A$62&gt;35,AI4+AH5-AQ4,IF(A5&lt;'Données projet'!$A$62,$AF$205^A5,IF(A5='Données projet'!$A$62,'Données projet'!$B$62,AI4+AH5-AQ4)))</f>
        <v>1.7447040969367404</v>
      </c>
      <c r="AJ5" s="13">
        <f>AI5*VLOOKUP('Données projet'!$B$10,Paramètres!$A$1:$I$89,3,0)*VLOOKUP('Données projet'!$B$10,Paramètres!$A$1:$I$89,5,0)</f>
        <v>1.5241734990839366</v>
      </c>
      <c r="AK5" s="13">
        <f t="shared" ref="AK5:AK68" si="35">EXP(-1.0587+0.8836*LN(AJ5)+0.284)</f>
        <v>0.66877690363385434</v>
      </c>
      <c r="AL5" s="20">
        <f t="shared" si="4"/>
        <v>3.8193886180668186</v>
      </c>
      <c r="AM5" s="59">
        <f t="shared" si="5"/>
        <v>174.41666990556766</v>
      </c>
      <c r="AN5" s="59">
        <f ca="1">AVERAGE(OFFSET($AM$3,0,0,'Données projet'!$E$10+1,1))-AVERAGE(OFFSET($H$3,0,0,'Données projet'!$E$10+1,1))</f>
        <v>408.246209980743</v>
      </c>
      <c r="AO5" s="59">
        <f t="shared" ref="AO5:AO68" si="36">$AO$3</f>
        <v>394.10236303013903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4.0942857142857143</v>
      </c>
      <c r="BD5" s="12">
        <f>IF('Données projet'!$A$88&gt;35,BD4+BC5-BL4,IF(A5&lt;'Données projet'!$A$88,$BA$205^A5,IF(A5='Données projet'!$A$88,'Données projet'!$B$88,BD4+BC5-BL4)))</f>
        <v>8.1885714285714286</v>
      </c>
      <c r="BE5" s="13">
        <f>BD5*VLOOKUP('Données projet'!$B$11,Paramètres!$A$1:$I$89,3,0)*VLOOKUP('Données projet'!$B$11,Paramètres!$A$1:$I$89,5,0)</f>
        <v>7.7922445714285722</v>
      </c>
      <c r="BF5" s="13">
        <f t="shared" ref="BF5:BF68" si="37">EXP(-1.0587+0.8836*LN(BE5)+0.284)</f>
        <v>2.8276465083699871</v>
      </c>
      <c r="BG5" s="20">
        <f t="shared" si="7"/>
        <v>18.496310297315823</v>
      </c>
      <c r="BH5" s="59">
        <f t="shared" si="8"/>
        <v>189.09359158481666</v>
      </c>
      <c r="BI5" s="59">
        <f ca="1">AVERAGE(OFFSET($BH$3,0,0,'Données projet'!$E$11+1,1))-AVERAGE(OFFSET($H$3,0,0,'Données projet'!$E$11+1,1))</f>
        <v>711.91538686535682</v>
      </c>
      <c r="BJ5" s="59">
        <f t="shared" ref="BJ5:BJ68" si="38">$BJ$3</f>
        <v>313.24593837351722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4.0942857142857143</v>
      </c>
      <c r="BY5" s="12">
        <f>IF('Données projet'!$A$114&gt;35,BY4+BX5-CG4,IF(A5&lt;'Données projet'!$A$114,$BV$205^A5,IF(A5='Données projet'!$A$114,'Données projet'!$B$114,BY4+BX5-CG4)))</f>
        <v>8.1885714285714286</v>
      </c>
      <c r="BZ5" s="13">
        <f>BY5*VLOOKUP('Données projet'!$B$12,Paramètres!$A$1:$I$89,3,0)*VLOOKUP('Données projet'!$B$12,Paramètres!$A$1:$I$89,5,0)</f>
        <v>7.4090194285714279</v>
      </c>
      <c r="CA5" s="13">
        <f t="shared" ref="CA5:CA68" si="39">EXP(-1.0587+0.8836*LN(BZ5)+0.284)</f>
        <v>2.7044107221075859</v>
      </c>
      <c r="CB5" s="20">
        <f t="shared" si="10"/>
        <v>17.614224179099281</v>
      </c>
      <c r="CC5" s="59">
        <f t="shared" si="11"/>
        <v>188.2115054666001</v>
      </c>
      <c r="CD5" s="59">
        <f ca="1">AVERAGE(OFFSET($CC$3,0,0,'Données projet'!$E$12+1,1))-AVERAGE(OFFSET($H$3,0,0,'Données projet'!$E$12+1,1))</f>
        <v>681.47578137804555</v>
      </c>
      <c r="CE5" s="59">
        <f t="shared" ref="CE5:CE68" si="40">$CE$3</f>
        <v>300.88511065995885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1.3675213675213673</v>
      </c>
      <c r="CT5" s="12">
        <f>IF('Données projet'!$A$140&gt;35,CT4+CS5-DB4,IF(A5&lt;'Données projet'!$A$140,$CQ$205^A5,IF(A5='Données projet'!$A$140,'Données projet'!$B$140,CT4+CS5-DB4)))</f>
        <v>1.4960176498913997</v>
      </c>
      <c r="CU5" s="17">
        <f>CT5*VLOOKUP('Données projet'!$B$13,Paramètres!$A$1:$I$89,3,0)*VLOOKUP('Données projet'!$B$13,Paramètres!$A$1:$I$89,5,0)</f>
        <v>1.2135695175919035</v>
      </c>
      <c r="CV5" s="13">
        <f t="shared" ref="CV5:CV68" si="41">EXP(-1.0587+0.8836*LN(CU5)+0.284)</f>
        <v>0.54680389294081433</v>
      </c>
      <c r="CW5" s="20">
        <f t="shared" si="13"/>
        <v>3.0659836900111501</v>
      </c>
      <c r="CX5" s="59">
        <f t="shared" si="14"/>
        <v>173.66326497751197</v>
      </c>
      <c r="CY5" s="59">
        <f ca="1">AVERAGE(OFFSET($CX$3,0,0,'Données projet'!$E$13+1,1))-AVERAGE(OFFSET($H$3,0,0,'Données projet'!$E$13+1,1))</f>
        <v>186.54446846714993</v>
      </c>
      <c r="CZ5" s="59">
        <f t="shared" ref="CZ5:CZ68" si="42">$CZ$3</f>
        <v>154.43773051601286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3.15468085106383</v>
      </c>
      <c r="DO5" s="12">
        <f>IF('Données projet'!$A$166&gt;35,DO4+DN5-DW4,IF(A5&lt;'Données projet'!$A$166,$DL$205^A5,IF(A5='Données projet'!$A$166,'Données projet'!$B$166,DO4+DN5-DW4)))</f>
        <v>6.30936170212766</v>
      </c>
      <c r="DP5" s="17">
        <f>DO5*VLOOKUP('Données projet'!$B$14,Paramètres!$A$1:$I$89,3,0)*VLOOKUP('Données projet'!$B$14,Paramètres!$A$1:$I$89,5,0)</f>
        <v>7.1851011063829793</v>
      </c>
      <c r="DQ5" s="13">
        <f t="shared" ref="DQ5:DQ68" si="43">EXP(-1.0587+0.8836*LN(DP5)+0.284)</f>
        <v>2.6320622775705207</v>
      </c>
      <c r="DR5" s="20">
        <f t="shared" si="16"/>
        <v>17.098226227052344</v>
      </c>
      <c r="DS5" s="59">
        <f t="shared" si="17"/>
        <v>187.69550751455319</v>
      </c>
      <c r="DT5" s="59">
        <f ca="1">AVERAGE(OFFSET($DS$3,0,0,'Données projet'!$E$14+1,1))-AVERAGE(OFFSET($H$3,0,0,'Données projet'!$E$14+1,1))</f>
        <v>651.35546372812314</v>
      </c>
      <c r="DU5" s="59">
        <f t="shared" ref="DU5:DU68" si="44">$DU$3</f>
        <v>293.6561676213388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1.4743589743589742</v>
      </c>
      <c r="EJ5" s="12">
        <f>IF('Données projet'!$A$192&gt;35,EJ4+EI5-ER4,IF(A5&lt;'Données projet'!$A$192,$EG$205^A5,IF(A5='Données projet'!$A$192,'Données projet'!$B$192,EJ4+EI5-ER4)))</f>
        <v>1.7128551884016412</v>
      </c>
      <c r="EK5" s="17">
        <f>EJ5*VLOOKUP('Données projet'!$B$15,Paramètres!$A$1:$I$89,3,0)*VLOOKUP('Données projet'!$B$15,Paramètres!$A$1:$I$89,5,0)</f>
        <v>1.7902762429173955</v>
      </c>
      <c r="EL5" s="13">
        <f t="shared" ref="EL5:EL68" si="45">EXP(-1.0587+0.8836*LN(EK5)+0.284)</f>
        <v>0.77096066361657623</v>
      </c>
      <c r="EM5" s="20">
        <f t="shared" si="19"/>
        <v>4.4608209455466667</v>
      </c>
      <c r="EN5" s="59">
        <f t="shared" si="20"/>
        <v>175.05810223304749</v>
      </c>
      <c r="EO5" s="59">
        <f ca="1">AVERAGE(OFFSET($EN$3,0,0,'Données projet'!$E$15+1,1))-AVERAGE(OFFSET($H$3,0,0,'Données projet'!$E$15+1,1))</f>
        <v>290.69667785754848</v>
      </c>
      <c r="EP5" s="59">
        <f t="shared" ref="EP5:EP68" si="46">$EP$3</f>
        <v>256.28124185489082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4.0942857142857143</v>
      </c>
      <c r="N6" s="13">
        <f>IF('Données projet'!$A$36&gt;35,N5+M6-V5,IF(A6&lt;'Données projet'!$A$36,$K$205^A6,IF(A6='Données projet'!$A$36,'Données projet'!$B$36,N5+M6-V5)))</f>
        <v>12.282857142857143</v>
      </c>
      <c r="O6" s="13">
        <f>N6*VLOOKUP('Données projet'!$B$9,Paramètres!$A$1:$I$89,3,0)*VLOOKUP('Données projet'!$B$9,Paramètres!$A$1:$I$89,5,0)</f>
        <v>12.454817142857145</v>
      </c>
      <c r="P6" s="13">
        <f t="shared" si="33"/>
        <v>4.279491345414665</v>
      </c>
      <c r="Q6" s="20">
        <f t="shared" si="2"/>
        <v>29.145587283740067</v>
      </c>
      <c r="R6" s="59">
        <f t="shared" si="0"/>
        <v>202.50060785362496</v>
      </c>
      <c r="S6" s="59">
        <f ca="1">AVERAGE(OFFSET($R$3,0,0,'Données projet'!$E$9+1,1))-AVERAGE(OFFSET($H$3,0,0,'Données projet'!$E$9+1,1))</f>
        <v>752.45542076695506</v>
      </c>
      <c r="T6" s="59">
        <f t="shared" si="34"/>
        <v>329.70629768420724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4.333333333333333</v>
      </c>
      <c r="AI6" s="13">
        <f>IF('Données projet'!$A$62&gt;35,AI5+AH6-AQ5,IF(A6&lt;'Données projet'!$A$62,$AF$205^A6,IF(A6='Données projet'!$A$62,'Données projet'!$B$62,AI5+AH6-AQ5)))</f>
        <v>2.3045316198021402</v>
      </c>
      <c r="AJ6" s="13">
        <f>AI6*VLOOKUP('Données projet'!$B$10,Paramètres!$A$1:$I$89,3,0)*VLOOKUP('Données projet'!$B$10,Paramètres!$A$1:$I$89,5,0)</f>
        <v>2.01323882305915</v>
      </c>
      <c r="AK6" s="13">
        <f t="shared" si="35"/>
        <v>0.85521232084258414</v>
      </c>
      <c r="AL6" s="20">
        <f t="shared" si="4"/>
        <v>4.9958857422955205</v>
      </c>
      <c r="AM6" s="59">
        <f t="shared" si="5"/>
        <v>178.3509063121804</v>
      </c>
      <c r="AN6" s="59">
        <f ca="1">AVERAGE(OFFSET($AM$3,0,0,'Données projet'!$E$10+1,1))-AVERAGE(OFFSET($H$3,0,0,'Données projet'!$E$10+1,1))</f>
        <v>408.246209980743</v>
      </c>
      <c r="AO6" s="59">
        <f t="shared" si="36"/>
        <v>394.10236303013903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4.0942857142857143</v>
      </c>
      <c r="BD6" s="12">
        <f>IF('Données projet'!$A$88&gt;35,BD5+BC6-BL5,IF(A6&lt;'Données projet'!$A$88,$BA$205^A6,IF(A6='Données projet'!$A$88,'Données projet'!$B$88,BD5+BC6-BL5)))</f>
        <v>12.282857142857143</v>
      </c>
      <c r="BE6" s="13">
        <f>BD6*VLOOKUP('Données projet'!$B$11,Paramètres!$A$1:$I$89,3,0)*VLOOKUP('Données projet'!$B$11,Paramètres!$A$1:$I$89,5,0)</f>
        <v>11.688366857142858</v>
      </c>
      <c r="BF6" s="13">
        <f t="shared" si="37"/>
        <v>4.0459392050991161</v>
      </c>
      <c r="BG6" s="20">
        <f t="shared" si="7"/>
        <v>27.403916391738104</v>
      </c>
      <c r="BH6" s="59">
        <f t="shared" si="8"/>
        <v>200.75893696162299</v>
      </c>
      <c r="BI6" s="59">
        <f ca="1">AVERAGE(OFFSET($BH$3,0,0,'Données projet'!$E$11+1,1))-AVERAGE(OFFSET($H$3,0,0,'Données projet'!$E$11+1,1))</f>
        <v>711.91538686535682</v>
      </c>
      <c r="BJ6" s="59">
        <f t="shared" si="38"/>
        <v>313.24593837351722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4.0942857142857143</v>
      </c>
      <c r="BY6" s="12">
        <f>IF('Données projet'!$A$114&gt;35,BY5+BX6-CG5,IF(A6&lt;'Données projet'!$A$114,$BV$205^A6,IF(A6='Données projet'!$A$114,'Données projet'!$B$114,BY5+BX6-CG5)))</f>
        <v>12.282857142857143</v>
      </c>
      <c r="BZ6" s="13">
        <f>BY6*VLOOKUP('Données projet'!$B$12,Paramètres!$A$1:$I$89,3,0)*VLOOKUP('Données projet'!$B$12,Paramètres!$A$1:$I$89,5,0)</f>
        <v>11.113529142857143</v>
      </c>
      <c r="CA6" s="13">
        <f t="shared" si="39"/>
        <v>3.8696072280877138</v>
      </c>
      <c r="CB6" s="20">
        <f t="shared" si="10"/>
        <v>26.095629179395626</v>
      </c>
      <c r="CC6" s="59">
        <f t="shared" si="11"/>
        <v>199.4506497492805</v>
      </c>
      <c r="CD6" s="59">
        <f ca="1">AVERAGE(OFFSET($CC$3,0,0,'Données projet'!$E$12+1,1))-AVERAGE(OFFSET($H$3,0,0,'Données projet'!$E$12+1,1))</f>
        <v>681.47578137804555</v>
      </c>
      <c r="CE6" s="59">
        <f t="shared" si="40"/>
        <v>300.88511065995885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1.3675213675213673</v>
      </c>
      <c r="CT6" s="12">
        <f>IF('Données projet'!$A$140&gt;35,CT5+CS6-DB5,IF(A6&lt;'Données projet'!$A$140,$CQ$205^A6,IF(A6='Données projet'!$A$140,'Données projet'!$B$140,CT5+CS6-DB5)))</f>
        <v>1.8298061207724041</v>
      </c>
      <c r="CU6" s="17">
        <f>CT6*VLOOKUP('Données projet'!$B$13,Paramètres!$A$1:$I$89,3,0)*VLOOKUP('Données projet'!$B$13,Paramètres!$A$1:$I$89,5,0)</f>
        <v>1.4843387251705742</v>
      </c>
      <c r="CV6" s="13">
        <f t="shared" si="41"/>
        <v>0.65330899770870265</v>
      </c>
      <c r="CW6" s="20">
        <f t="shared" si="13"/>
        <v>3.72306978401474</v>
      </c>
      <c r="CX6" s="59">
        <f t="shared" si="14"/>
        <v>177.07809035389963</v>
      </c>
      <c r="CY6" s="59">
        <f ca="1">AVERAGE(OFFSET($CX$3,0,0,'Données projet'!$E$13+1,1))-AVERAGE(OFFSET($H$3,0,0,'Données projet'!$E$13+1,1))</f>
        <v>186.54446846714993</v>
      </c>
      <c r="CZ6" s="59">
        <f t="shared" si="42"/>
        <v>154.43773051601286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3.15468085106383</v>
      </c>
      <c r="DO6" s="12">
        <f>IF('Données projet'!$A$166&gt;35,DO5+DN6-DW5,IF(A6&lt;'Données projet'!$A$166,$DL$205^A6,IF(A6='Données projet'!$A$166,'Données projet'!$B$166,DO5+DN6-DW5)))</f>
        <v>9.46404255319149</v>
      </c>
      <c r="DP6" s="17">
        <f>DO6*VLOOKUP('Données projet'!$B$14,Paramètres!$A$1:$I$89,3,0)*VLOOKUP('Données projet'!$B$14,Paramètres!$A$1:$I$89,5,0)</f>
        <v>10.777651659574468</v>
      </c>
      <c r="DQ6" s="13">
        <f t="shared" si="43"/>
        <v>3.7660874255544097</v>
      </c>
      <c r="DR6" s="20">
        <f t="shared" si="16"/>
        <v>25.330345573266129</v>
      </c>
      <c r="DS6" s="59">
        <f t="shared" si="17"/>
        <v>198.68536614315101</v>
      </c>
      <c r="DT6" s="59">
        <f ca="1">AVERAGE(OFFSET($DS$3,0,0,'Données projet'!$E$14+1,1))-AVERAGE(OFFSET($H$3,0,0,'Données projet'!$E$14+1,1))</f>
        <v>651.35546372812314</v>
      </c>
      <c r="DU6" s="59">
        <f t="shared" si="44"/>
        <v>293.6561676213388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1.4743589743589742</v>
      </c>
      <c r="EJ6" s="12">
        <f>IF('Données projet'!$A$192&gt;35,EJ5+EI6-ER5,IF(A6&lt;'Données projet'!$A$192,$EG$205^A6,IF(A6='Données projet'!$A$192,'Données projet'!$B$192,EJ5+EI6-ER5)))</f>
        <v>2.2417179601298307</v>
      </c>
      <c r="EK6" s="17">
        <f>EJ6*VLOOKUP('Données projet'!$B$15,Paramètres!$A$1:$I$89,3,0)*VLOOKUP('Données projet'!$B$15,Paramètres!$A$1:$I$89,5,0)</f>
        <v>2.3430436119276994</v>
      </c>
      <c r="EL6" s="13">
        <f t="shared" si="45"/>
        <v>0.97788999294998047</v>
      </c>
      <c r="EM6" s="20">
        <f t="shared" si="19"/>
        <v>5.7839593618286251</v>
      </c>
      <c r="EN6" s="59">
        <f t="shared" si="20"/>
        <v>179.13897993171352</v>
      </c>
      <c r="EO6" s="59">
        <f ca="1">AVERAGE(OFFSET($EN$3,0,0,'Données projet'!$E$15+1,1))-AVERAGE(OFFSET($H$3,0,0,'Données projet'!$E$15+1,1))</f>
        <v>290.69667785754848</v>
      </c>
      <c r="EP6" s="59">
        <f t="shared" si="46"/>
        <v>256.28124185489082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4.0942857142857143</v>
      </c>
      <c r="N7" s="13">
        <f>IF('Données projet'!$A$36&gt;35,N6+M7-V6,IF(A7&lt;'Données projet'!$A$36,$K$205^A7,IF(A7='Données projet'!$A$36,'Données projet'!$B$36,N6+M7-V6)))</f>
        <v>16.377142857142857</v>
      </c>
      <c r="O7" s="13">
        <f>N7*VLOOKUP('Données projet'!$B$9,Paramètres!$A$1:$I$89,3,0)*VLOOKUP('Données projet'!$B$9,Paramètres!$A$1:$I$89,5,0)</f>
        <v>16.60642285714286</v>
      </c>
      <c r="P7" s="13">
        <f t="shared" si="33"/>
        <v>5.5180803505289857</v>
      </c>
      <c r="Q7" s="20">
        <f t="shared" si="2"/>
        <v>38.533509753361791</v>
      </c>
      <c r="R7" s="59">
        <f t="shared" si="0"/>
        <v>214.61963181753873</v>
      </c>
      <c r="S7" s="59">
        <f ca="1">AVERAGE(OFFSET($R$3,0,0,'Données projet'!$E$9+1,1))-AVERAGE(OFFSET($H$3,0,0,'Données projet'!$E$9+1,1))</f>
        <v>752.45542076695506</v>
      </c>
      <c r="T7" s="59">
        <f t="shared" si="34"/>
        <v>329.70629768420724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4.333333333333333</v>
      </c>
      <c r="AI7" s="13">
        <f>IF('Données projet'!$A$62&gt;35,AI6+AH7-AQ6,IF(A7&lt;'Données projet'!$A$62,$AF$205^A7,IF(A7='Données projet'!$A$62,'Données projet'!$B$62,AI6+AH7-AQ6)))</f>
        <v>3.0439923858678468</v>
      </c>
      <c r="AJ7" s="13">
        <f>AI7*VLOOKUP('Données projet'!$B$10,Paramètres!$A$1:$I$89,3,0)*VLOOKUP('Données projet'!$B$10,Paramètres!$A$1:$I$89,5,0)</f>
        <v>2.6592317482941512</v>
      </c>
      <c r="AK7" s="13">
        <f t="shared" si="35"/>
        <v>1.0936204730559642</v>
      </c>
      <c r="AL7" s="20">
        <f t="shared" si="4"/>
        <v>6.5362176188514516</v>
      </c>
      <c r="AM7" s="59">
        <f t="shared" si="5"/>
        <v>182.6223396830284</v>
      </c>
      <c r="AN7" s="59">
        <f ca="1">AVERAGE(OFFSET($AM$3,0,0,'Données projet'!$E$10+1,1))-AVERAGE(OFFSET($H$3,0,0,'Données projet'!$E$10+1,1))</f>
        <v>408.246209980743</v>
      </c>
      <c r="AO7" s="59">
        <f t="shared" si="36"/>
        <v>394.10236303013903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4.0942857142857143</v>
      </c>
      <c r="BD7" s="12">
        <f>IF('Données projet'!$A$88&gt;35,BD6+BC7-BL6,IF(A7&lt;'Données projet'!$A$88,$BA$205^A7,IF(A7='Données projet'!$A$88,'Données projet'!$B$88,BD6+BC7-BL6)))</f>
        <v>16.377142857142857</v>
      </c>
      <c r="BE7" s="13">
        <f>BD7*VLOOKUP('Données projet'!$B$11,Paramètres!$A$1:$I$89,3,0)*VLOOKUP('Données projet'!$B$11,Paramètres!$A$1:$I$89,5,0)</f>
        <v>15.584489142857144</v>
      </c>
      <c r="BF7" s="13">
        <f t="shared" si="37"/>
        <v>5.2169325335857213</v>
      </c>
      <c r="BG7" s="20">
        <f t="shared" si="7"/>
        <v>36.229142753137985</v>
      </c>
      <c r="BH7" s="59">
        <f t="shared" si="8"/>
        <v>212.31526481731493</v>
      </c>
      <c r="BI7" s="59">
        <f ca="1">AVERAGE(OFFSET($BH$3,0,0,'Données projet'!$E$11+1,1))-AVERAGE(OFFSET($H$3,0,0,'Données projet'!$E$11+1,1))</f>
        <v>711.91538686535682</v>
      </c>
      <c r="BJ7" s="59">
        <f t="shared" si="38"/>
        <v>313.24593837351722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4.0942857142857143</v>
      </c>
      <c r="BY7" s="12">
        <f>IF('Données projet'!$A$114&gt;35,BY6+BX7-CG6,IF(A7&lt;'Données projet'!$A$114,$BV$205^A7,IF(A7='Données projet'!$A$114,'Données projet'!$B$114,BY6+BX7-CG6)))</f>
        <v>16.377142857142857</v>
      </c>
      <c r="BZ7" s="13">
        <f>BY7*VLOOKUP('Données projet'!$B$12,Paramètres!$A$1:$I$89,3,0)*VLOOKUP('Données projet'!$B$12,Paramètres!$A$1:$I$89,5,0)</f>
        <v>14.818038857142856</v>
      </c>
      <c r="CA7" s="13">
        <f t="shared" si="39"/>
        <v>4.9895657885731195</v>
      </c>
      <c r="CB7" s="20">
        <f t="shared" si="10"/>
        <v>34.49824475795532</v>
      </c>
      <c r="CC7" s="59">
        <f t="shared" si="11"/>
        <v>210.58436682213227</v>
      </c>
      <c r="CD7" s="59">
        <f ca="1">AVERAGE(OFFSET($CC$3,0,0,'Données projet'!$E$12+1,1))-AVERAGE(OFFSET($H$3,0,0,'Données projet'!$E$12+1,1))</f>
        <v>681.47578137804555</v>
      </c>
      <c r="CE7" s="59">
        <f t="shared" si="40"/>
        <v>300.88511065995885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1.3675213675213673</v>
      </c>
      <c r="CT7" s="12">
        <f>IF('Données projet'!$A$140&gt;35,CT6+CS7-DB6,IF(A7&lt;'Données projet'!$A$140,$CQ$205^A7,IF(A7='Données projet'!$A$140,'Données projet'!$B$140,CT6+CS7-DB6)))</f>
        <v>2.2380688087865868</v>
      </c>
      <c r="CU7" s="17">
        <f>CT7*VLOOKUP('Données projet'!$B$13,Paramètres!$A$1:$I$89,3,0)*VLOOKUP('Données projet'!$B$13,Paramètres!$A$1:$I$89,5,0)</f>
        <v>1.8155214176876793</v>
      </c>
      <c r="CV7" s="13">
        <f t="shared" si="41"/>
        <v>0.7805589023729711</v>
      </c>
      <c r="CW7" s="20">
        <f t="shared" si="13"/>
        <v>4.5215065574389657</v>
      </c>
      <c r="CX7" s="59">
        <f t="shared" si="14"/>
        <v>180.6076286216159</v>
      </c>
      <c r="CY7" s="59">
        <f ca="1">AVERAGE(OFFSET($CX$3,0,0,'Données projet'!$E$13+1,1))-AVERAGE(OFFSET($H$3,0,0,'Données projet'!$E$13+1,1))</f>
        <v>186.54446846714993</v>
      </c>
      <c r="CZ7" s="59">
        <f t="shared" si="42"/>
        <v>154.43773051601286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3.15468085106383</v>
      </c>
      <c r="DO7" s="12">
        <f>IF('Données projet'!$A$166&gt;35,DO6+DN7-DW6,IF(A7&lt;'Données projet'!$A$166,$DL$205^A7,IF(A7='Données projet'!$A$166,'Données projet'!$B$166,DO6+DN7-DW6)))</f>
        <v>12.61872340425532</v>
      </c>
      <c r="DP7" s="17">
        <f>DO7*VLOOKUP('Données projet'!$B$14,Paramètres!$A$1:$I$89,3,0)*VLOOKUP('Données projet'!$B$14,Paramètres!$A$1:$I$89,5,0)</f>
        <v>14.370202212765959</v>
      </c>
      <c r="DQ7" s="13">
        <f t="shared" si="43"/>
        <v>4.8560848343794092</v>
      </c>
      <c r="DR7" s="20">
        <f t="shared" si="16"/>
        <v>33.485783273778182</v>
      </c>
      <c r="DS7" s="59">
        <f t="shared" si="17"/>
        <v>209.57190533795512</v>
      </c>
      <c r="DT7" s="59">
        <f ca="1">AVERAGE(OFFSET($DS$3,0,0,'Données projet'!$E$14+1,1))-AVERAGE(OFFSET($H$3,0,0,'Données projet'!$E$14+1,1))</f>
        <v>651.35546372812314</v>
      </c>
      <c r="DU7" s="59">
        <f t="shared" si="44"/>
        <v>293.6561676213388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1.4743589743589742</v>
      </c>
      <c r="EJ7" s="12">
        <f>IF('Données projet'!$A$192&gt;35,EJ6+EI7-ER6,IF(A7&lt;'Données projet'!$A$192,$EG$205^A7,IF(A7='Données projet'!$A$192,'Données projet'!$B$192,EJ6+EI7-ER6)))</f>
        <v>2.9338728964344218</v>
      </c>
      <c r="EK7" s="17">
        <f>EJ7*VLOOKUP('Données projet'!$B$15,Paramètres!$A$1:$I$89,3,0)*VLOOKUP('Données projet'!$B$15,Paramètres!$A$1:$I$89,5,0)</f>
        <v>3.0664839513532582</v>
      </c>
      <c r="EL7" s="13">
        <f t="shared" si="45"/>
        <v>1.2403600902617475</v>
      </c>
      <c r="EM7" s="20">
        <f t="shared" si="19"/>
        <v>7.5010867058128019</v>
      </c>
      <c r="EN7" s="59">
        <f t="shared" si="20"/>
        <v>183.58720876998976</v>
      </c>
      <c r="EO7" s="59">
        <f ca="1">AVERAGE(OFFSET($EN$3,0,0,'Données projet'!$E$15+1,1))-AVERAGE(OFFSET($H$3,0,0,'Données projet'!$E$15+1,1))</f>
        <v>290.69667785754848</v>
      </c>
      <c r="EP7" s="59">
        <f t="shared" si="46"/>
        <v>256.28124185489082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4.0942857142857143</v>
      </c>
      <c r="N8" s="13">
        <f>IF('Données projet'!$A$36&gt;35,N7+M8-V7,IF(A8&lt;'Données projet'!$A$36,$K$205^A8,IF(A8='Données projet'!$A$36,'Données projet'!$B$36,N7+M8-V7)))</f>
        <v>20.471428571428572</v>
      </c>
      <c r="O8" s="13">
        <f>N8*VLOOKUP('Données projet'!$B$9,Paramètres!$A$1:$I$89,3,0)*VLOOKUP('Données projet'!$B$9,Paramètres!$A$1:$I$89,5,0)</f>
        <v>20.758028571428575</v>
      </c>
      <c r="P8" s="13">
        <f t="shared" si="33"/>
        <v>6.7207494872819238</v>
      </c>
      <c r="Q8" s="20">
        <f t="shared" si="2"/>
        <v>47.858871785587461</v>
      </c>
      <c r="R8" s="59">
        <f t="shared" si="0"/>
        <v>226.64991966203482</v>
      </c>
      <c r="S8" s="59">
        <f ca="1">AVERAGE(OFFSET($R$3,0,0,'Données projet'!$E$9+1,1))-AVERAGE(OFFSET($H$3,0,0,'Données projet'!$E$9+1,1))</f>
        <v>752.45542076695506</v>
      </c>
      <c r="T8" s="59">
        <f t="shared" si="34"/>
        <v>329.70629768420724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4.333333333333333</v>
      </c>
      <c r="AI8" s="13">
        <f>IF('Données projet'!$A$62&gt;35,AI7+AH8-AQ7,IF(A8&lt;'Données projet'!$A$62,$AF$205^A8,IF(A8='Données projet'!$A$62,'Données projet'!$B$62,AI7+AH8-AQ7)))</f>
        <v>4.0207257585890561</v>
      </c>
      <c r="AJ8" s="13">
        <f>AI8*VLOOKUP('Données projet'!$B$10,Paramètres!$A$1:$I$89,3,0)*VLOOKUP('Données projet'!$B$10,Paramètres!$A$1:$I$89,5,0)</f>
        <v>3.5125060227033997</v>
      </c>
      <c r="AK8" s="13">
        <f t="shared" si="35"/>
        <v>1.3984898368966503</v>
      </c>
      <c r="AL8" s="20">
        <f t="shared" si="4"/>
        <v>8.5533177888034189</v>
      </c>
      <c r="AM8" s="59">
        <f t="shared" si="5"/>
        <v>187.34436566525076</v>
      </c>
      <c r="AN8" s="59">
        <f ca="1">AVERAGE(OFFSET($AM$3,0,0,'Données projet'!$E$10+1,1))-AVERAGE(OFFSET($H$3,0,0,'Données projet'!$E$10+1,1))</f>
        <v>408.246209980743</v>
      </c>
      <c r="AO8" s="59">
        <f t="shared" si="36"/>
        <v>394.10236303013903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4.0942857142857143</v>
      </c>
      <c r="BD8" s="12">
        <f>IF('Données projet'!$A$88&gt;35,BD7+BC8-BL7,IF(A8&lt;'Données projet'!$A$88,$BA$205^A8,IF(A8='Données projet'!$A$88,'Données projet'!$B$88,BD7+BC8-BL7)))</f>
        <v>20.471428571428572</v>
      </c>
      <c r="BE8" s="13">
        <f>BD8*VLOOKUP('Données projet'!$B$11,Paramètres!$A$1:$I$89,3,0)*VLOOKUP('Données projet'!$B$11,Paramètres!$A$1:$I$89,5,0)</f>
        <v>19.480611428571429</v>
      </c>
      <c r="BF8" s="13">
        <f t="shared" si="37"/>
        <v>6.3539663112950988</v>
      </c>
      <c r="BG8" s="20">
        <f t="shared" si="7"/>
        <v>44.995222896934202</v>
      </c>
      <c r="BH8" s="59">
        <f t="shared" si="8"/>
        <v>223.78627077338155</v>
      </c>
      <c r="BI8" s="59">
        <f ca="1">AVERAGE(OFFSET($BH$3,0,0,'Données projet'!$E$11+1,1))-AVERAGE(OFFSET($H$3,0,0,'Données projet'!$E$11+1,1))</f>
        <v>711.91538686535682</v>
      </c>
      <c r="BJ8" s="59">
        <f t="shared" si="38"/>
        <v>313.24593837351722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4.0942857142857143</v>
      </c>
      <c r="BY8" s="12">
        <f>IF('Données projet'!$A$114&gt;35,BY7+BX8-CG7,IF(A8&lt;'Données projet'!$A$114,$BV$205^A8,IF(A8='Données projet'!$A$114,'Données projet'!$B$114,BY7+BX8-CG7)))</f>
        <v>20.471428571428572</v>
      </c>
      <c r="BZ8" s="13">
        <f>BY8*VLOOKUP('Données projet'!$B$12,Paramètres!$A$1:$I$89,3,0)*VLOOKUP('Données projet'!$B$12,Paramètres!$A$1:$I$89,5,0)</f>
        <v>18.522548571428572</v>
      </c>
      <c r="CA8" s="13">
        <f t="shared" si="39"/>
        <v>6.0770448389896208</v>
      </c>
      <c r="CB8" s="20">
        <f t="shared" si="10"/>
        <v>42.84429185647835</v>
      </c>
      <c r="CC8" s="59">
        <f t="shared" si="11"/>
        <v>221.6353397329257</v>
      </c>
      <c r="CD8" s="59">
        <f ca="1">AVERAGE(OFFSET($CC$3,0,0,'Données projet'!$E$12+1,1))-AVERAGE(OFFSET($H$3,0,0,'Données projet'!$E$12+1,1))</f>
        <v>681.47578137804555</v>
      </c>
      <c r="CE8" s="59">
        <f t="shared" si="40"/>
        <v>300.88511065995885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1.3675213675213673</v>
      </c>
      <c r="CT8" s="12">
        <f>IF('Données projet'!$A$140&gt;35,CT7+CS8-DB7,IF(A8&lt;'Données projet'!$A$140,$CQ$205^A8,IF(A8='Données projet'!$A$140,'Données projet'!$B$140,CT7+CS8-DB7)))</f>
        <v>2.7374222525548308</v>
      </c>
      <c r="CU8" s="17">
        <f>CT8*VLOOKUP('Données projet'!$B$13,Paramètres!$A$1:$I$89,3,0)*VLOOKUP('Données projet'!$B$13,Paramètres!$A$1:$I$89,5,0)</f>
        <v>2.2205969312724791</v>
      </c>
      <c r="CV8" s="13">
        <f t="shared" si="41"/>
        <v>0.93259422755625287</v>
      </c>
      <c r="CW8" s="20">
        <f t="shared" si="13"/>
        <v>5.4918079349600406</v>
      </c>
      <c r="CX8" s="59">
        <f t="shared" si="14"/>
        <v>184.28285581140739</v>
      </c>
      <c r="CY8" s="59">
        <f ca="1">AVERAGE(OFFSET($CX$3,0,0,'Données projet'!$E$13+1,1))-AVERAGE(OFFSET($H$3,0,0,'Données projet'!$E$13+1,1))</f>
        <v>186.54446846714993</v>
      </c>
      <c r="CZ8" s="59">
        <f t="shared" si="42"/>
        <v>154.43773051601286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3.15468085106383</v>
      </c>
      <c r="DO8" s="12">
        <f>IF('Données projet'!$A$166&gt;35,DO7+DN8-DW7,IF(A8&lt;'Données projet'!$A$166,$DL$205^A8,IF(A8='Données projet'!$A$166,'Données projet'!$B$166,DO7+DN8-DW7)))</f>
        <v>15.77340425531915</v>
      </c>
      <c r="DP8" s="17">
        <f>DO8*VLOOKUP('Données projet'!$B$14,Paramètres!$A$1:$I$89,3,0)*VLOOKUP('Données projet'!$B$14,Paramètres!$A$1:$I$89,5,0)</f>
        <v>17.962752765957447</v>
      </c>
      <c r="DQ8" s="13">
        <f t="shared" si="43"/>
        <v>5.91447162557614</v>
      </c>
      <c r="DR8" s="20">
        <f t="shared" si="16"/>
        <v>41.586165815254333</v>
      </c>
      <c r="DS8" s="59">
        <f t="shared" si="17"/>
        <v>220.37721369170168</v>
      </c>
      <c r="DT8" s="59">
        <f ca="1">AVERAGE(OFFSET($DS$3,0,0,'Données projet'!$E$14+1,1))-AVERAGE(OFFSET($H$3,0,0,'Données projet'!$E$14+1,1))</f>
        <v>651.35546372812314</v>
      </c>
      <c r="DU8" s="59">
        <f t="shared" si="44"/>
        <v>293.6561676213388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1.4743589743589742</v>
      </c>
      <c r="EJ8" s="12">
        <f>IF('Données projet'!$A$192&gt;35,EJ7+EI8-ER7,IF(A8&lt;'Données projet'!$A$192,$EG$205^A8,IF(A8='Données projet'!$A$192,'Données projet'!$B$192,EJ7+EI8-ER7)))</f>
        <v>3.8397382389415244</v>
      </c>
      <c r="EK8" s="17">
        <f>EJ8*VLOOKUP('Données projet'!$B$15,Paramètres!$A$1:$I$89,3,0)*VLOOKUP('Données projet'!$B$15,Paramètres!$A$1:$I$89,5,0)</f>
        <v>4.0132944073416814</v>
      </c>
      <c r="EL8" s="13">
        <f t="shared" si="45"/>
        <v>1.5732783488999504</v>
      </c>
      <c r="EM8" s="20">
        <f t="shared" si="19"/>
        <v>9.7299475504541739</v>
      </c>
      <c r="EN8" s="59">
        <f t="shared" si="20"/>
        <v>188.52099542690152</v>
      </c>
      <c r="EO8" s="59">
        <f ca="1">AVERAGE(OFFSET($EN$3,0,0,'Données projet'!$E$15+1,1))-AVERAGE(OFFSET($H$3,0,0,'Données projet'!$E$15+1,1))</f>
        <v>290.69667785754848</v>
      </c>
      <c r="EP8" s="59">
        <f t="shared" si="46"/>
        <v>256.28124185489082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4.0942857142857143</v>
      </c>
      <c r="N9" s="13">
        <f>IF('Données projet'!$A$36&gt;35,N8+M9-V8,IF(A9&lt;'Données projet'!$A$36,$K$205^A9,IF(A9='Données projet'!$A$36,'Données projet'!$B$36,N8+M9-V8)))</f>
        <v>24.565714285714286</v>
      </c>
      <c r="O9" s="13">
        <f>N9*VLOOKUP('Données projet'!$B$9,Paramètres!$A$1:$I$89,3,0)*VLOOKUP('Données projet'!$B$9,Paramètres!$A$1:$I$89,5,0)</f>
        <v>24.90963428571429</v>
      </c>
      <c r="P9" s="13">
        <f t="shared" si="33"/>
        <v>7.8955476085878011</v>
      </c>
      <c r="Q9" s="20">
        <f t="shared" si="2"/>
        <v>57.135691799242814</v>
      </c>
      <c r="R9" s="59">
        <f t="shared" si="0"/>
        <v>238.60594389550178</v>
      </c>
      <c r="S9" s="59">
        <f ca="1">AVERAGE(OFFSET($R$3,0,0,'Données projet'!$E$9+1,1))-AVERAGE(OFFSET($H$3,0,0,'Données projet'!$E$9+1,1))</f>
        <v>752.45542076695506</v>
      </c>
      <c r="T9" s="59">
        <f t="shared" si="34"/>
        <v>329.70629768420724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4.333333333333333</v>
      </c>
      <c r="AI9" s="13">
        <f>IF('Données projet'!$A$62&gt;35,AI8+AH9-AQ8,IF(A9&lt;'Données projet'!$A$62,$AF$205^A9,IF(A9='Données projet'!$A$62,'Données projet'!$B$62,AI8+AH9-AQ8)))</f>
        <v>5.310865986667876</v>
      </c>
      <c r="AJ9" s="13">
        <f>AI9*VLOOKUP('Données projet'!$B$10,Paramètres!$A$1:$I$89,3,0)*VLOOKUP('Données projet'!$B$10,Paramètres!$A$1:$I$89,5,0)</f>
        <v>4.6395725259530565</v>
      </c>
      <c r="AK9" s="13">
        <f t="shared" si="35"/>
        <v>1.7883478520094751</v>
      </c>
      <c r="AL9" s="20">
        <f t="shared" si="4"/>
        <v>11.195294658284743</v>
      </c>
      <c r="AM9" s="59">
        <f t="shared" si="5"/>
        <v>192.66554675454373</v>
      </c>
      <c r="AN9" s="59">
        <f ca="1">AVERAGE(OFFSET($AM$3,0,0,'Données projet'!$E$10+1,1))-AVERAGE(OFFSET($H$3,0,0,'Données projet'!$E$10+1,1))</f>
        <v>408.246209980743</v>
      </c>
      <c r="AO9" s="59">
        <f t="shared" si="36"/>
        <v>394.10236303013903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4.0942857142857143</v>
      </c>
      <c r="BD9" s="12">
        <f>IF('Données projet'!$A$88&gt;35,BD8+BC9-BL8,IF(A9&lt;'Données projet'!$A$88,$BA$205^A9,IF(A9='Données projet'!$A$88,'Données projet'!$B$88,BD8+BC9-BL8)))</f>
        <v>24.565714285714286</v>
      </c>
      <c r="BE9" s="13">
        <f>BD9*VLOOKUP('Données projet'!$B$11,Paramètres!$A$1:$I$89,3,0)*VLOOKUP('Données projet'!$B$11,Paramètres!$A$1:$I$89,5,0)</f>
        <v>23.376733714285717</v>
      </c>
      <c r="BF9" s="13">
        <f t="shared" si="37"/>
        <v>7.4646501270623844</v>
      </c>
      <c r="BG9" s="20">
        <f t="shared" si="7"/>
        <v>53.715410190347939</v>
      </c>
      <c r="BH9" s="59">
        <f t="shared" si="8"/>
        <v>235.18566228660691</v>
      </c>
      <c r="BI9" s="59">
        <f ca="1">AVERAGE(OFFSET($BH$3,0,0,'Données projet'!$E$11+1,1))-AVERAGE(OFFSET($H$3,0,0,'Données projet'!$E$11+1,1))</f>
        <v>711.91538686535682</v>
      </c>
      <c r="BJ9" s="59">
        <f t="shared" si="38"/>
        <v>313.24593837351722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4.0942857142857143</v>
      </c>
      <c r="BY9" s="12">
        <f>IF('Données projet'!$A$114&gt;35,BY8+BX9-CG8,IF(A9&lt;'Données projet'!$A$114,$BV$205^A9,IF(A9='Données projet'!$A$114,'Données projet'!$B$114,BY8+BX9-CG8)))</f>
        <v>24.565714285714286</v>
      </c>
      <c r="BZ9" s="13">
        <f>BY9*VLOOKUP('Données projet'!$B$12,Paramètres!$A$1:$I$89,3,0)*VLOOKUP('Données projet'!$B$12,Paramètres!$A$1:$I$89,5,0)</f>
        <v>22.227058285714286</v>
      </c>
      <c r="CA9" s="13">
        <f t="shared" si="39"/>
        <v>7.1393223235836674</v>
      </c>
      <c r="CB9" s="20">
        <f t="shared" si="10"/>
        <v>51.146446227860601</v>
      </c>
      <c r="CC9" s="59">
        <f t="shared" si="11"/>
        <v>232.61669832411957</v>
      </c>
      <c r="CD9" s="59">
        <f ca="1">AVERAGE(OFFSET($CC$3,0,0,'Données projet'!$E$12+1,1))-AVERAGE(OFFSET($H$3,0,0,'Données projet'!$E$12+1,1))</f>
        <v>681.47578137804555</v>
      </c>
      <c r="CE9" s="59">
        <f t="shared" si="40"/>
        <v>300.88511065995885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1.3675213675213673</v>
      </c>
      <c r="CT9" s="12">
        <f>IF('Données projet'!$A$140&gt;35,CT8+CS9-DB8,IF(A9&lt;'Données projet'!$A$140,$CQ$205^A9,IF(A9='Données projet'!$A$140,'Données projet'!$B$140,CT8+CS9-DB8)))</f>
        <v>3.3481904396161539</v>
      </c>
      <c r="CU9" s="17">
        <f>CT9*VLOOKUP('Données projet'!$B$13,Paramètres!$A$1:$I$89,3,0)*VLOOKUP('Données projet'!$B$13,Paramètres!$A$1:$I$89,5,0)</f>
        <v>2.7160520846166243</v>
      </c>
      <c r="CV9" s="13">
        <f t="shared" si="41"/>
        <v>1.1142426159347851</v>
      </c>
      <c r="CW9" s="20">
        <f t="shared" si="13"/>
        <v>6.6710966034603709</v>
      </c>
      <c r="CX9" s="59">
        <f t="shared" si="14"/>
        <v>188.14134869971934</v>
      </c>
      <c r="CY9" s="59">
        <f ca="1">AVERAGE(OFFSET($CX$3,0,0,'Données projet'!$E$13+1,1))-AVERAGE(OFFSET($H$3,0,0,'Données projet'!$E$13+1,1))</f>
        <v>186.54446846714993</v>
      </c>
      <c r="CZ9" s="59">
        <f t="shared" si="42"/>
        <v>154.43773051601286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3.15468085106383</v>
      </c>
      <c r="DO9" s="12">
        <f>IF('Données projet'!$A$166&gt;35,DO8+DN9-DW8,IF(A9&lt;'Données projet'!$A$166,$DL$205^A9,IF(A9='Données projet'!$A$166,'Données projet'!$B$166,DO8+DN9-DW8)))</f>
        <v>18.92808510638298</v>
      </c>
      <c r="DP9" s="17">
        <f>DO9*VLOOKUP('Données projet'!$B$14,Paramètres!$A$1:$I$89,3,0)*VLOOKUP('Données projet'!$B$14,Paramètres!$A$1:$I$89,5,0)</f>
        <v>21.555303319148937</v>
      </c>
      <c r="DQ9" s="13">
        <f t="shared" si="43"/>
        <v>6.9483310436949823</v>
      </c>
      <c r="DR9" s="20">
        <f t="shared" si="16"/>
        <v>49.643829848619816</v>
      </c>
      <c r="DS9" s="59">
        <f t="shared" si="17"/>
        <v>231.11408194487879</v>
      </c>
      <c r="DT9" s="59">
        <f ca="1">AVERAGE(OFFSET($DS$3,0,0,'Données projet'!$E$14+1,1))-AVERAGE(OFFSET($H$3,0,0,'Données projet'!$E$14+1,1))</f>
        <v>651.35546372812314</v>
      </c>
      <c r="DU9" s="59">
        <f t="shared" si="44"/>
        <v>293.6561676213388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1.4743589743589742</v>
      </c>
      <c r="EJ9" s="12">
        <f>IF('Données projet'!$A$192&gt;35,EJ8+EI9-ER8,IF(A9&lt;'Données projet'!$A$192,$EG$205^A9,IF(A9='Données projet'!$A$192,'Données projet'!$B$192,EJ8+EI9-ER8)))</f>
        <v>5.0252994127686508</v>
      </c>
      <c r="EK9" s="17">
        <f>EJ9*VLOOKUP('Données projet'!$B$15,Paramètres!$A$1:$I$89,3,0)*VLOOKUP('Données projet'!$B$15,Paramètres!$A$1:$I$89,5,0)</f>
        <v>5.252442946225794</v>
      </c>
      <c r="EL9" s="13">
        <f t="shared" si="45"/>
        <v>1.9955533740165923</v>
      </c>
      <c r="EM9" s="20">
        <f t="shared" si="19"/>
        <v>12.62359359108882</v>
      </c>
      <c r="EN9" s="59">
        <f t="shared" si="20"/>
        <v>194.09384568734779</v>
      </c>
      <c r="EO9" s="59">
        <f ca="1">AVERAGE(OFFSET($EN$3,0,0,'Données projet'!$E$15+1,1))-AVERAGE(OFFSET($H$3,0,0,'Données projet'!$E$15+1,1))</f>
        <v>290.69667785754848</v>
      </c>
      <c r="EP9" s="59">
        <f t="shared" si="46"/>
        <v>256.28124185489082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4.0942857142857143</v>
      </c>
      <c r="N10" s="13">
        <f>IF('Données projet'!$A$36&gt;35,N9+M10-V9,IF(A10&lt;'Données projet'!$A$36,$K$205^A10,IF(A10='Données projet'!$A$36,'Données projet'!$B$36,N9+M10-V9)))</f>
        <v>28.66</v>
      </c>
      <c r="O10" s="13">
        <f>N10*VLOOKUP('Données projet'!$B$9,Paramètres!$A$1:$I$89,3,0)*VLOOKUP('Données projet'!$B$9,Paramètres!$A$1:$I$89,5,0)</f>
        <v>29.061240000000002</v>
      </c>
      <c r="P10" s="13">
        <f t="shared" si="33"/>
        <v>9.0476634987070454</v>
      </c>
      <c r="Q10" s="20">
        <f t="shared" si="2"/>
        <v>66.373006926914783</v>
      </c>
      <c r="R10" s="59">
        <f t="shared" si="0"/>
        <v>250.497187862651</v>
      </c>
      <c r="S10" s="59">
        <f ca="1">AVERAGE(OFFSET($R$3,0,0,'Données projet'!$E$9+1,1))-AVERAGE(OFFSET($H$3,0,0,'Données projet'!$E$9+1,1))</f>
        <v>752.45542076695506</v>
      </c>
      <c r="T10" s="59">
        <f t="shared" si="34"/>
        <v>329.70629768420724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4.333333333333333</v>
      </c>
      <c r="AI10" s="13">
        <f>IF('Données projet'!$A$62&gt;35,AI9+AH10-AQ9,IF(A10&lt;'Données projet'!$A$62,$AF$205^A10,IF(A10='Données projet'!$A$62,'Données projet'!$B$62,AI9+AH10-AQ9)))</f>
        <v>7.0149767036694106</v>
      </c>
      <c r="AJ10" s="13">
        <f>AI10*VLOOKUP('Données projet'!$B$10,Paramètres!$A$1:$I$89,3,0)*VLOOKUP('Données projet'!$B$10,Paramètres!$A$1:$I$89,5,0)</f>
        <v>6.1282836483255982</v>
      </c>
      <c r="AK10" s="13">
        <f t="shared" si="35"/>
        <v>2.2868868656807066</v>
      </c>
      <c r="AL10" s="20">
        <f t="shared" si="4"/>
        <v>14.656421978560983</v>
      </c>
      <c r="AM10" s="59">
        <f t="shared" si="5"/>
        <v>198.78060291429722</v>
      </c>
      <c r="AN10" s="59">
        <f ca="1">AVERAGE(OFFSET($AM$3,0,0,'Données projet'!$E$10+1,1))-AVERAGE(OFFSET($H$3,0,0,'Données projet'!$E$10+1,1))</f>
        <v>408.246209980743</v>
      </c>
      <c r="AO10" s="59">
        <f t="shared" si="36"/>
        <v>394.10236303013903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4.0942857142857143</v>
      </c>
      <c r="BD10" s="12">
        <f>IF('Données projet'!$A$88&gt;35,BD9+BC10-BL9,IF(A10&lt;'Données projet'!$A$88,$BA$205^A10,IF(A10='Données projet'!$A$88,'Données projet'!$B$88,BD9+BC10-BL9)))</f>
        <v>28.66</v>
      </c>
      <c r="BE10" s="13">
        <f>BD10*VLOOKUP('Données projet'!$B$11,Paramètres!$A$1:$I$89,3,0)*VLOOKUP('Données projet'!$B$11,Paramètres!$A$1:$I$89,5,0)</f>
        <v>27.272856000000004</v>
      </c>
      <c r="BF10" s="13">
        <f t="shared" si="37"/>
        <v>8.5538895885805495</v>
      </c>
      <c r="BG10" s="20">
        <f t="shared" si="7"/>
        <v>62.398248566777788</v>
      </c>
      <c r="BH10" s="59">
        <f t="shared" si="8"/>
        <v>246.52242950251403</v>
      </c>
      <c r="BI10" s="59">
        <f ca="1">AVERAGE(OFFSET($BH$3,0,0,'Données projet'!$E$11+1,1))-AVERAGE(OFFSET($H$3,0,0,'Données projet'!$E$11+1,1))</f>
        <v>711.91538686535682</v>
      </c>
      <c r="BJ10" s="59">
        <f t="shared" si="38"/>
        <v>313.24593837351722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4.0942857142857143</v>
      </c>
      <c r="BY10" s="12">
        <f>IF('Données projet'!$A$114&gt;35,BY9+BX10-CG9,IF(A10&lt;'Données projet'!$A$114,$BV$205^A10,IF(A10='Données projet'!$A$114,'Données projet'!$B$114,BY9+BX10-CG9)))</f>
        <v>28.66</v>
      </c>
      <c r="BZ10" s="13">
        <f>BY10*VLOOKUP('Données projet'!$B$12,Paramètres!$A$1:$I$89,3,0)*VLOOKUP('Données projet'!$B$12,Paramètres!$A$1:$I$89,5,0)</f>
        <v>25.931567999999999</v>
      </c>
      <c r="CA10" s="13">
        <f t="shared" si="39"/>
        <v>8.1810900516051337</v>
      </c>
      <c r="CB10" s="20">
        <f t="shared" si="10"/>
        <v>59.412879439878935</v>
      </c>
      <c r="CC10" s="59">
        <f t="shared" si="11"/>
        <v>243.53706037561517</v>
      </c>
      <c r="CD10" s="59">
        <f ca="1">AVERAGE(OFFSET($CC$3,0,0,'Données projet'!$E$12+1,1))-AVERAGE(OFFSET($H$3,0,0,'Données projet'!$E$12+1,1))</f>
        <v>681.47578137804555</v>
      </c>
      <c r="CE10" s="59">
        <f t="shared" si="40"/>
        <v>300.88511065995885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1.3675213675213673</v>
      </c>
      <c r="CT10" s="12">
        <f>IF('Données projet'!$A$140&gt;35,CT9+CS10-DB9,IF(A10&lt;'Données projet'!$A$140,$CQ$205^A10,IF(A10='Données projet'!$A$140,'Données projet'!$B$140,CT9+CS10-DB9)))</f>
        <v>4.0952320050274995</v>
      </c>
      <c r="CU10" s="17">
        <f>CT10*VLOOKUP('Données projet'!$B$13,Paramètres!$A$1:$I$89,3,0)*VLOOKUP('Données projet'!$B$13,Paramètres!$A$1:$I$89,5,0)</f>
        <v>3.3220522024783077</v>
      </c>
      <c r="CV10" s="13">
        <f t="shared" si="41"/>
        <v>1.3312720264401436</v>
      </c>
      <c r="CW10" s="20">
        <f t="shared" si="13"/>
        <v>8.1045396986996359</v>
      </c>
      <c r="CX10" s="59">
        <f t="shared" si="14"/>
        <v>192.22872063443586</v>
      </c>
      <c r="CY10" s="59">
        <f ca="1">AVERAGE(OFFSET($CX$3,0,0,'Données projet'!$E$13+1,1))-AVERAGE(OFFSET($H$3,0,0,'Données projet'!$E$13+1,1))</f>
        <v>186.54446846714993</v>
      </c>
      <c r="CZ10" s="59">
        <f t="shared" si="42"/>
        <v>154.43773051601286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3.15468085106383</v>
      </c>
      <c r="DO10" s="12">
        <f>IF('Données projet'!$A$166&gt;35,DO9+DN10-DW9,IF(A10&lt;'Données projet'!$A$166,$DL$205^A10,IF(A10='Données projet'!$A$166,'Données projet'!$B$166,DO9+DN10-DW9)))</f>
        <v>22.08276595744681</v>
      </c>
      <c r="DP10" s="17">
        <f>DO10*VLOOKUP('Données projet'!$B$14,Paramètres!$A$1:$I$89,3,0)*VLOOKUP('Données projet'!$B$14,Paramètres!$A$1:$I$89,5,0)</f>
        <v>25.147853872340431</v>
      </c>
      <c r="DQ10" s="13">
        <f t="shared" si="43"/>
        <v>7.962229382619908</v>
      </c>
      <c r="DR10" s="20">
        <f t="shared" si="16"/>
        <v>57.666728335722581</v>
      </c>
      <c r="DS10" s="59">
        <f t="shared" si="17"/>
        <v>241.79090927145882</v>
      </c>
      <c r="DT10" s="59">
        <f ca="1">AVERAGE(OFFSET($DS$3,0,0,'Données projet'!$E$14+1,1))-AVERAGE(OFFSET($H$3,0,0,'Données projet'!$E$14+1,1))</f>
        <v>651.35546372812314</v>
      </c>
      <c r="DU10" s="59">
        <f t="shared" si="44"/>
        <v>293.6561676213388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1.4743589743589742</v>
      </c>
      <c r="EJ10" s="12">
        <f>IF('Données projet'!$A$192&gt;35,EJ9+EI10-ER9,IF(A10&lt;'Données projet'!$A$192,$EG$205^A10,IF(A10='Données projet'!$A$192,'Données projet'!$B$192,EJ9+EI10-ER9)))</f>
        <v>6.5769155646751702</v>
      </c>
      <c r="EK10" s="17">
        <f>EJ10*VLOOKUP('Données projet'!$B$15,Paramètres!$A$1:$I$89,3,0)*VLOOKUP('Données projet'!$B$15,Paramètres!$A$1:$I$89,5,0)</f>
        <v>6.8741921481984889</v>
      </c>
      <c r="EL10" s="13">
        <f t="shared" si="45"/>
        <v>2.531168925914105</v>
      </c>
      <c r="EM10" s="20">
        <f t="shared" si="19"/>
        <v>16.381003870746099</v>
      </c>
      <c r="EN10" s="59">
        <f t="shared" si="20"/>
        <v>200.50518480648233</v>
      </c>
      <c r="EO10" s="59">
        <f ca="1">AVERAGE(OFFSET($EN$3,0,0,'Données projet'!$E$15+1,1))-AVERAGE(OFFSET($H$3,0,0,'Données projet'!$E$15+1,1))</f>
        <v>290.69667785754848</v>
      </c>
      <c r="EP10" s="59">
        <f t="shared" si="46"/>
        <v>256.28124185489082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4.0942857142857143</v>
      </c>
      <c r="N11" s="13">
        <f>IF('Données projet'!$A$36&gt;35,N10+M11-V10,IF(A11&lt;'Données projet'!$A$36,$K$205^A11,IF(A11='Données projet'!$A$36,'Données projet'!$B$36,N10+M11-V10)))</f>
        <v>32.754285714285714</v>
      </c>
      <c r="O11" s="13">
        <f>N11*VLOOKUP('Données projet'!$B$9,Paramètres!$A$1:$I$89,3,0)*VLOOKUP('Données projet'!$B$9,Paramètres!$A$1:$I$89,5,0)</f>
        <v>33.21284571428572</v>
      </c>
      <c r="P11" s="13">
        <f t="shared" si="33"/>
        <v>10.180711350730137</v>
      </c>
      <c r="Q11" s="20">
        <f t="shared" si="2"/>
        <v>75.577111888235933</v>
      </c>
      <c r="R11" s="59">
        <f t="shared" si="0"/>
        <v>262.33038475445647</v>
      </c>
      <c r="S11" s="59">
        <f ca="1">AVERAGE(OFFSET($R$3,0,0,'Données projet'!$E$9+1,1))-AVERAGE(OFFSET($H$3,0,0,'Données projet'!$E$9+1,1))</f>
        <v>752.45542076695506</v>
      </c>
      <c r="T11" s="59">
        <f t="shared" si="34"/>
        <v>329.70629768420724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4.333333333333333</v>
      </c>
      <c r="AI11" s="13">
        <f>IF('Données projet'!$A$62&gt;35,AI10+AH11-AQ10,IF(A11&lt;'Données projet'!$A$62,$AF$205^A11,IF(A11='Données projet'!$A$62,'Données projet'!$B$62,AI10+AH11-AQ10)))</f>
        <v>9.2658896452214261</v>
      </c>
      <c r="AJ11" s="13">
        <f>AI11*VLOOKUP('Données projet'!$B$10,Paramètres!$A$1:$I$89,3,0)*VLOOKUP('Données projet'!$B$10,Paramètres!$A$1:$I$89,5,0)</f>
        <v>8.0946811940654388</v>
      </c>
      <c r="AK11" s="13">
        <f t="shared" si="35"/>
        <v>2.924403957846573</v>
      </c>
      <c r="AL11" s="20">
        <f t="shared" si="4"/>
        <v>19.191573306246756</v>
      </c>
      <c r="AM11" s="59">
        <f t="shared" si="5"/>
        <v>205.94484617246732</v>
      </c>
      <c r="AN11" s="59">
        <f ca="1">AVERAGE(OFFSET($AM$3,0,0,'Données projet'!$E$10+1,1))-AVERAGE(OFFSET($H$3,0,0,'Données projet'!$E$10+1,1))</f>
        <v>408.246209980743</v>
      </c>
      <c r="AO11" s="59">
        <f t="shared" si="36"/>
        <v>394.10236303013903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4.0942857142857143</v>
      </c>
      <c r="BD11" s="12">
        <f>IF('Données projet'!$A$88&gt;35,BD10+BC11-BL10,IF(A11&lt;'Données projet'!$A$88,$BA$205^A11,IF(A11='Données projet'!$A$88,'Données projet'!$B$88,BD10+BC11-BL10)))</f>
        <v>32.754285714285714</v>
      </c>
      <c r="BE11" s="13">
        <f>BD11*VLOOKUP('Données projet'!$B$11,Paramètres!$A$1:$I$89,3,0)*VLOOKUP('Données projet'!$B$11,Paramètres!$A$1:$I$89,5,0)</f>
        <v>31.168978285714289</v>
      </c>
      <c r="BF11" s="13">
        <f t="shared" si="37"/>
        <v>9.6251016452810383</v>
      </c>
      <c r="BG11" s="20">
        <f t="shared" si="7"/>
        <v>71.049689213150188</v>
      </c>
      <c r="BH11" s="59">
        <f t="shared" si="8"/>
        <v>257.80296207937073</v>
      </c>
      <c r="BI11" s="59">
        <f ca="1">AVERAGE(OFFSET($BH$3,0,0,'Données projet'!$E$11+1,1))-AVERAGE(OFFSET($H$3,0,0,'Données projet'!$E$11+1,1))</f>
        <v>711.91538686535682</v>
      </c>
      <c r="BJ11" s="59">
        <f t="shared" si="38"/>
        <v>313.24593837351722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4.0942857142857143</v>
      </c>
      <c r="BY11" s="12">
        <f>IF('Données projet'!$A$114&gt;35,BY10+BX11-CG10,IF(A11&lt;'Données projet'!$A$114,$BV$205^A11,IF(A11='Données projet'!$A$114,'Données projet'!$B$114,BY10+BX11-CG10)))</f>
        <v>32.754285714285714</v>
      </c>
      <c r="BZ11" s="13">
        <f>BY11*VLOOKUP('Données projet'!$B$12,Paramètres!$A$1:$I$89,3,0)*VLOOKUP('Données projet'!$B$12,Paramètres!$A$1:$I$89,5,0)</f>
        <v>29.636077714285712</v>
      </c>
      <c r="CA11" s="13">
        <f t="shared" si="39"/>
        <v>9.205616053429063</v>
      </c>
      <c r="CB11" s="20">
        <f t="shared" si="10"/>
        <v>67.649283312103222</v>
      </c>
      <c r="CC11" s="59">
        <f t="shared" si="11"/>
        <v>254.40255617832378</v>
      </c>
      <c r="CD11" s="59">
        <f ca="1">AVERAGE(OFFSET($CC$3,0,0,'Données projet'!$E$12+1,1))-AVERAGE(OFFSET($H$3,0,0,'Données projet'!$E$12+1,1))</f>
        <v>681.47578137804555</v>
      </c>
      <c r="CE11" s="59">
        <f t="shared" si="40"/>
        <v>300.88511065995885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1.3675213675213673</v>
      </c>
      <c r="CT11" s="12">
        <f>IF('Données projet'!$A$140&gt;35,CT10+CS11-DB10,IF(A11&lt;'Données projet'!$A$140,$CQ$205^A11,IF(A11='Données projet'!$A$140,'Données projet'!$B$140,CT10+CS11-DB10)))</f>
        <v>5.0089519928634116</v>
      </c>
      <c r="CU11" s="17">
        <f>CT11*VLOOKUP('Données projet'!$B$13,Paramètres!$A$1:$I$89,3,0)*VLOOKUP('Données projet'!$B$13,Paramètres!$A$1:$I$89,5,0)</f>
        <v>4.0632618566107999</v>
      </c>
      <c r="CV11" s="13">
        <f t="shared" si="41"/>
        <v>1.5905738867250216</v>
      </c>
      <c r="CW11" s="20">
        <f t="shared" si="13"/>
        <v>9.847097252976555</v>
      </c>
      <c r="CX11" s="59">
        <f t="shared" si="14"/>
        <v>196.60037011919712</v>
      </c>
      <c r="CY11" s="59">
        <f ca="1">AVERAGE(OFFSET($CX$3,0,0,'Données projet'!$E$13+1,1))-AVERAGE(OFFSET($H$3,0,0,'Données projet'!$E$13+1,1))</f>
        <v>186.54446846714993</v>
      </c>
      <c r="CZ11" s="59">
        <f t="shared" si="42"/>
        <v>154.43773051601286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3.15468085106383</v>
      </c>
      <c r="DO11" s="12">
        <f>IF('Données projet'!$A$166&gt;35,DO10+DN11-DW10,IF(A11&lt;'Données projet'!$A$166,$DL$205^A11,IF(A11='Données projet'!$A$166,'Données projet'!$B$166,DO10+DN11-DW10)))</f>
        <v>25.23744680851064</v>
      </c>
      <c r="DP11" s="17">
        <f>DO11*VLOOKUP('Données projet'!$B$14,Paramètres!$A$1:$I$89,3,0)*VLOOKUP('Données projet'!$B$14,Paramètres!$A$1:$I$89,5,0)</f>
        <v>28.740404425531917</v>
      </c>
      <c r="DQ11" s="13">
        <f t="shared" si="43"/>
        <v>8.9593472463182895</v>
      </c>
      <c r="DR11" s="20">
        <f t="shared" si="16"/>
        <v>65.660400828472447</v>
      </c>
      <c r="DS11" s="59">
        <f t="shared" si="17"/>
        <v>252.41367369469299</v>
      </c>
      <c r="DT11" s="59">
        <f ca="1">AVERAGE(OFFSET($DS$3,0,0,'Données projet'!$E$14+1,1))-AVERAGE(OFFSET($H$3,0,0,'Données projet'!$E$14+1,1))</f>
        <v>651.35546372812314</v>
      </c>
      <c r="DU11" s="59">
        <f t="shared" si="44"/>
        <v>293.6561676213388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1.4743589743589742</v>
      </c>
      <c r="EJ11" s="12">
        <f>IF('Données projet'!$A$192&gt;35,EJ10+EI11-ER10,IF(A11&lt;'Données projet'!$A$192,$EG$205^A11,IF(A11='Données projet'!$A$192,'Données projet'!$B$192,EJ10+EI11-ER10)))</f>
        <v>8.6076101724325031</v>
      </c>
      <c r="EK11" s="17">
        <f>EJ11*VLOOKUP('Données projet'!$B$15,Paramètres!$A$1:$I$89,3,0)*VLOOKUP('Données projet'!$B$15,Paramètres!$A$1:$I$89,5,0)</f>
        <v>8.9966741522264542</v>
      </c>
      <c r="EL11" s="13">
        <f t="shared" si="45"/>
        <v>3.2105461146437353</v>
      </c>
      <c r="EM11" s="20">
        <f t="shared" si="19"/>
        <v>21.260908631465579</v>
      </c>
      <c r="EN11" s="59">
        <f t="shared" si="20"/>
        <v>208.01418149768614</v>
      </c>
      <c r="EO11" s="59">
        <f ca="1">AVERAGE(OFFSET($EN$3,0,0,'Données projet'!$E$15+1,1))-AVERAGE(OFFSET($H$3,0,0,'Données projet'!$E$15+1,1))</f>
        <v>290.69667785754848</v>
      </c>
      <c r="EP11" s="59">
        <f t="shared" si="46"/>
        <v>256.28124185489082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4.0942857142857143</v>
      </c>
      <c r="N12" s="13">
        <f>IF('Données projet'!$A$36&gt;35,N11+M12-V11,IF(A12&lt;'Données projet'!$A$36,$K$205^A12,IF(A12='Données projet'!$A$36,'Données projet'!$B$36,N11+M12-V11)))</f>
        <v>36.848571428571432</v>
      </c>
      <c r="O12" s="13">
        <f>N12*VLOOKUP('Données projet'!$B$9,Paramètres!$A$1:$I$89,3,0)*VLOOKUP('Données projet'!$B$9,Paramètres!$A$1:$I$89,5,0)</f>
        <v>37.364451428571435</v>
      </c>
      <c r="P12" s="13">
        <f t="shared" si="33"/>
        <v>11.297347642554788</v>
      </c>
      <c r="Q12" s="20">
        <f t="shared" si="2"/>
        <v>84.752633382211499</v>
      </c>
      <c r="R12" s="59">
        <f t="shared" si="0"/>
        <v>274.11059213476756</v>
      </c>
      <c r="S12" s="59">
        <f ca="1">AVERAGE(OFFSET($R$3,0,0,'Données projet'!$E$9+1,1))-AVERAGE(OFFSET($H$3,0,0,'Données projet'!$E$9+1,1))</f>
        <v>752.45542076695506</v>
      </c>
      <c r="T12" s="59">
        <f t="shared" si="34"/>
        <v>329.70629768420724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4.333333333333333</v>
      </c>
      <c r="AI12" s="13">
        <f>IF('Données projet'!$A$62&gt;35,AI11+AH12-AQ11,IF(A12&lt;'Données projet'!$A$62,$AF$205^A12,IF(A12='Données projet'!$A$62,'Données projet'!$B$62,AI11+AH12-AQ11)))</f>
        <v>12.23905859480781</v>
      </c>
      <c r="AJ12" s="13">
        <f>AI12*VLOOKUP('Données projet'!$B$10,Paramètres!$A$1:$I$89,3,0)*VLOOKUP('Données projet'!$B$10,Paramètres!$A$1:$I$89,5,0)</f>
        <v>10.692041588424106</v>
      </c>
      <c r="AK12" s="13">
        <f t="shared" si="35"/>
        <v>3.739642147152348</v>
      </c>
      <c r="AL12" s="20">
        <f t="shared" si="4"/>
        <v>25.135182506128984</v>
      </c>
      <c r="AM12" s="59">
        <f t="shared" si="5"/>
        <v>214.49314125868506</v>
      </c>
      <c r="AN12" s="59">
        <f ca="1">AVERAGE(OFFSET($AM$3,0,0,'Données projet'!$E$10+1,1))-AVERAGE(OFFSET($H$3,0,0,'Données projet'!$E$10+1,1))</f>
        <v>408.246209980743</v>
      </c>
      <c r="AO12" s="59">
        <f t="shared" si="36"/>
        <v>394.10236303013903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4.0942857142857143</v>
      </c>
      <c r="BD12" s="12">
        <f>IF('Données projet'!$A$88&gt;35,BD11+BC12-BL11,IF(A12&lt;'Données projet'!$A$88,$BA$205^A12,IF(A12='Données projet'!$A$88,'Données projet'!$B$88,BD11+BC12-BL11)))</f>
        <v>36.848571428571432</v>
      </c>
      <c r="BE12" s="13">
        <f>BD12*VLOOKUP('Données projet'!$B$11,Paramètres!$A$1:$I$89,3,0)*VLOOKUP('Données projet'!$B$11,Paramètres!$A$1:$I$89,5,0)</f>
        <v>35.06510057142858</v>
      </c>
      <c r="BF12" s="13">
        <f t="shared" si="37"/>
        <v>10.680797798463022</v>
      </c>
      <c r="BG12" s="20">
        <f t="shared" si="7"/>
        <v>79.674106327561205</v>
      </c>
      <c r="BH12" s="59">
        <f t="shared" si="8"/>
        <v>269.03206508011726</v>
      </c>
      <c r="BI12" s="59">
        <f ca="1">AVERAGE(OFFSET($BH$3,0,0,'Données projet'!$E$11+1,1))-AVERAGE(OFFSET($H$3,0,0,'Données projet'!$E$11+1,1))</f>
        <v>711.91538686535682</v>
      </c>
      <c r="BJ12" s="59">
        <f t="shared" si="38"/>
        <v>313.24593837351722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4.0942857142857143</v>
      </c>
      <c r="BY12" s="12">
        <f>IF('Données projet'!$A$114&gt;35,BY11+BX12-CG11,IF(A12&lt;'Données projet'!$A$114,$BV$205^A12,IF(A12='Données projet'!$A$114,'Données projet'!$B$114,BY11+BX12-CG11)))</f>
        <v>36.848571428571432</v>
      </c>
      <c r="BZ12" s="13">
        <f>BY12*VLOOKUP('Données projet'!$B$12,Paramètres!$A$1:$I$89,3,0)*VLOOKUP('Données projet'!$B$12,Paramètres!$A$1:$I$89,5,0)</f>
        <v>33.340587428571432</v>
      </c>
      <c r="CA12" s="13">
        <f t="shared" si="39"/>
        <v>10.215302372953809</v>
      </c>
      <c r="CB12" s="20">
        <f t="shared" si="10"/>
        <v>75.85984140432312</v>
      </c>
      <c r="CC12" s="59">
        <f t="shared" si="11"/>
        <v>265.21780015687921</v>
      </c>
      <c r="CD12" s="59">
        <f ca="1">AVERAGE(OFFSET($CC$3,0,0,'Données projet'!$E$12+1,1))-AVERAGE(OFFSET($H$3,0,0,'Données projet'!$E$12+1,1))</f>
        <v>681.47578137804555</v>
      </c>
      <c r="CE12" s="59">
        <f t="shared" si="40"/>
        <v>300.88511065995885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1.3675213675213673</v>
      </c>
      <c r="CT12" s="12">
        <f>IF('Données projet'!$A$140&gt;35,CT11+CS12-DB11,IF(A12&lt;'Données projet'!$A$140,$CQ$205^A12,IF(A12='Données projet'!$A$140,'Données projet'!$B$140,CT11+CS12-DB11)))</f>
        <v>6.1265393599212858</v>
      </c>
      <c r="CU12" s="17">
        <f>CT12*VLOOKUP('Données projet'!$B$13,Paramètres!$A$1:$I$89,3,0)*VLOOKUP('Données projet'!$B$13,Paramètres!$A$1:$I$89,5,0)</f>
        <v>4.969848728768147</v>
      </c>
      <c r="CV12" s="13">
        <f t="shared" si="41"/>
        <v>1.9003819196115979</v>
      </c>
      <c r="CW12" s="20">
        <f t="shared" si="13"/>
        <v>11.965651712594722</v>
      </c>
      <c r="CX12" s="59">
        <f t="shared" si="14"/>
        <v>201.32361046515081</v>
      </c>
      <c r="CY12" s="59">
        <f ca="1">AVERAGE(OFFSET($CX$3,0,0,'Données projet'!$E$13+1,1))-AVERAGE(OFFSET($H$3,0,0,'Données projet'!$E$13+1,1))</f>
        <v>186.54446846714993</v>
      </c>
      <c r="CZ12" s="59">
        <f t="shared" si="42"/>
        <v>154.43773051601286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3.15468085106383</v>
      </c>
      <c r="DO12" s="12">
        <f>IF('Données projet'!$A$166&gt;35,DO11+DN12-DW11,IF(A12&lt;'Données projet'!$A$166,$DL$205^A12,IF(A12='Données projet'!$A$166,'Données projet'!$B$166,DO11+DN12-DW11)))</f>
        <v>28.39212765957447</v>
      </c>
      <c r="DP12" s="17">
        <f>DO12*VLOOKUP('Données projet'!$B$14,Paramètres!$A$1:$I$89,3,0)*VLOOKUP('Données projet'!$B$14,Paramètres!$A$1:$I$89,5,0)</f>
        <v>32.332954978723407</v>
      </c>
      <c r="DQ12" s="13">
        <f t="shared" si="43"/>
        <v>9.9420224191666691</v>
      </c>
      <c r="DR12" s="20">
        <f t="shared" si="16"/>
        <v>73.628918967991879</v>
      </c>
      <c r="DS12" s="59">
        <f t="shared" si="17"/>
        <v>262.98687772054797</v>
      </c>
      <c r="DT12" s="59">
        <f ca="1">AVERAGE(OFFSET($DS$3,0,0,'Données projet'!$E$14+1,1))-AVERAGE(OFFSET($H$3,0,0,'Données projet'!$E$14+1,1))</f>
        <v>651.35546372812314</v>
      </c>
      <c r="DU12" s="59">
        <f t="shared" si="44"/>
        <v>293.6561676213388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1.4743589743589742</v>
      </c>
      <c r="EJ12" s="12">
        <f>IF('Données projet'!$A$192&gt;35,EJ11+EI12-ER11,IF(A12&lt;'Données projet'!$A$192,$EG$205^A12,IF(A12='Données projet'!$A$192,'Données projet'!$B$192,EJ11+EI12-ER11)))</f>
        <v>11.265303948633376</v>
      </c>
      <c r="EK12" s="17">
        <f>EJ12*VLOOKUP('Données projet'!$B$15,Paramètres!$A$1:$I$89,3,0)*VLOOKUP('Données projet'!$B$15,Paramètres!$A$1:$I$89,5,0)</f>
        <v>11.774495687111605</v>
      </c>
      <c r="EL12" s="13">
        <f t="shared" si="45"/>
        <v>4.0722712137956174</v>
      </c>
      <c r="EM12" s="20">
        <f t="shared" si="19"/>
        <v>27.599785685746742</v>
      </c>
      <c r="EN12" s="59">
        <f t="shared" si="20"/>
        <v>216.95774443830283</v>
      </c>
      <c r="EO12" s="59">
        <f ca="1">AVERAGE(OFFSET($EN$3,0,0,'Données projet'!$E$15+1,1))-AVERAGE(OFFSET($H$3,0,0,'Données projet'!$E$15+1,1))</f>
        <v>290.69667785754848</v>
      </c>
      <c r="EP12" s="59">
        <f t="shared" si="46"/>
        <v>256.28124185489082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4.0942857142857143</v>
      </c>
      <c r="N13" s="13">
        <f>IF('Données projet'!$A$36&gt;35,N12+M13-V12,IF(A13&lt;'Données projet'!$A$36,$K$205^A13,IF(A13='Données projet'!$A$36,'Données projet'!$B$36,N12+M13-V12)))</f>
        <v>40.94285714285715</v>
      </c>
      <c r="O13" s="13">
        <f>N13*VLOOKUP('Données projet'!$B$9,Paramètres!$A$1:$I$89,3,0)*VLOOKUP('Données projet'!$B$9,Paramètres!$A$1:$I$89,5,0)</f>
        <v>41.51605714285715</v>
      </c>
      <c r="P13" s="13">
        <f t="shared" si="33"/>
        <v>12.399603891963192</v>
      </c>
      <c r="Q13" s="20">
        <f t="shared" si="2"/>
        <v>93.903109635645436</v>
      </c>
      <c r="R13" s="59">
        <f t="shared" si="0"/>
        <v>285.84177162069034</v>
      </c>
      <c r="S13" s="59">
        <f ca="1">AVERAGE(OFFSET($R$3,0,0,'Données projet'!$E$9+1,1))-AVERAGE(OFFSET($H$3,0,0,'Données projet'!$E$9+1,1))</f>
        <v>752.45542076695506</v>
      </c>
      <c r="T13" s="59">
        <f t="shared" si="34"/>
        <v>329.70629768420724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4.333333333333333</v>
      </c>
      <c r="AI13" s="13">
        <f>IF('Données projet'!$A$62&gt;35,AI12+AH13-AQ12,IF(A13&lt;'Données projet'!$A$62,$AF$205^A13,IF(A13='Données projet'!$A$62,'Données projet'!$B$62,AI12+AH13-AQ12)))</f>
        <v>16.166235625781542</v>
      </c>
      <c r="AJ13" s="13">
        <f>AI13*VLOOKUP('Données projet'!$B$10,Paramètres!$A$1:$I$89,3,0)*VLOOKUP('Données projet'!$B$10,Paramètres!$A$1:$I$89,5,0)</f>
        <v>14.122823442682758</v>
      </c>
      <c r="AK13" s="13">
        <f t="shared" si="35"/>
        <v>4.7821448713454142</v>
      </c>
      <c r="AL13" s="20">
        <f t="shared" si="4"/>
        <v>32.9261531469324</v>
      </c>
      <c r="AM13" s="59">
        <f t="shared" si="5"/>
        <v>224.86481513197728</v>
      </c>
      <c r="AN13" s="59">
        <f ca="1">AVERAGE(OFFSET($AM$3,0,0,'Données projet'!$E$10+1,1))-AVERAGE(OFFSET($H$3,0,0,'Données projet'!$E$10+1,1))</f>
        <v>408.246209980743</v>
      </c>
      <c r="AO13" s="59">
        <f t="shared" si="36"/>
        <v>394.10236303013903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4.0942857142857143</v>
      </c>
      <c r="BD13" s="12">
        <f>IF('Données projet'!$A$88&gt;35,BD12+BC13-BL12,IF(A13&lt;'Données projet'!$A$88,$BA$205^A13,IF(A13='Données projet'!$A$88,'Données projet'!$B$88,BD12+BC13-BL12)))</f>
        <v>40.94285714285715</v>
      </c>
      <c r="BE13" s="13">
        <f>BD13*VLOOKUP('Données projet'!$B$11,Paramètres!$A$1:$I$89,3,0)*VLOOKUP('Données projet'!$B$11,Paramètres!$A$1:$I$89,5,0)</f>
        <v>38.961222857142864</v>
      </c>
      <c r="BF13" s="13">
        <f t="shared" si="37"/>
        <v>11.722898696347846</v>
      </c>
      <c r="BG13" s="20">
        <f t="shared" si="7"/>
        <v>88.274845038996318</v>
      </c>
      <c r="BH13" s="59">
        <f t="shared" si="8"/>
        <v>280.21350702404118</v>
      </c>
      <c r="BI13" s="59">
        <f ca="1">AVERAGE(OFFSET($BH$3,0,0,'Données projet'!$E$11+1,1))-AVERAGE(OFFSET($H$3,0,0,'Données projet'!$E$11+1,1))</f>
        <v>711.91538686535682</v>
      </c>
      <c r="BJ13" s="59">
        <f t="shared" si="38"/>
        <v>313.24593837351722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4.0942857142857143</v>
      </c>
      <c r="BY13" s="12">
        <f>IF('Données projet'!$A$114&gt;35,BY12+BX13-CG12,IF(A13&lt;'Données projet'!$A$114,$BV$205^A13,IF(A13='Données projet'!$A$114,'Données projet'!$B$114,BY12+BX13-CG12)))</f>
        <v>40.94285714285715</v>
      </c>
      <c r="BZ13" s="13">
        <f>BY13*VLOOKUP('Données projet'!$B$12,Paramètres!$A$1:$I$89,3,0)*VLOOKUP('Données projet'!$B$12,Paramètres!$A$1:$I$89,5,0)</f>
        <v>37.045097142857145</v>
      </c>
      <c r="CA13" s="13">
        <f t="shared" si="39"/>
        <v>11.211985951829543</v>
      </c>
      <c r="CB13" s="20">
        <f t="shared" si="10"/>
        <v>84.04775305657931</v>
      </c>
      <c r="CC13" s="59">
        <f t="shared" si="11"/>
        <v>275.98641504162418</v>
      </c>
      <c r="CD13" s="59">
        <f ca="1">AVERAGE(OFFSET($CC$3,0,0,'Données projet'!$E$12+1,1))-AVERAGE(OFFSET($H$3,0,0,'Données projet'!$E$12+1,1))</f>
        <v>681.47578137804555</v>
      </c>
      <c r="CE13" s="59">
        <f t="shared" si="40"/>
        <v>300.88511065995885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1.3675213675213673</v>
      </c>
      <c r="CT13" s="12">
        <f>IF('Données projet'!$A$140&gt;35,CT12+CS13-DB12,IF(A13&lt;'Données projet'!$A$140,$CQ$205^A13,IF(A13='Données projet'!$A$140,'Données projet'!$B$140,CT12+CS13-DB12)))</f>
        <v>7.4934805887823641</v>
      </c>
      <c r="CU13" s="17">
        <f>CT13*VLOOKUP('Données projet'!$B$13,Paramètres!$A$1:$I$89,3,0)*VLOOKUP('Données projet'!$B$13,Paramètres!$A$1:$I$89,5,0)</f>
        <v>6.0787114536202536</v>
      </c>
      <c r="CV13" s="13">
        <f t="shared" si="41"/>
        <v>2.2705335920122574</v>
      </c>
      <c r="CW13" s="20">
        <f t="shared" si="13"/>
        <v>14.541601787809954</v>
      </c>
      <c r="CX13" s="59">
        <f t="shared" si="14"/>
        <v>206.48026377285484</v>
      </c>
      <c r="CY13" s="59">
        <f ca="1">AVERAGE(OFFSET($CX$3,0,0,'Données projet'!$E$13+1,1))-AVERAGE(OFFSET($H$3,0,0,'Données projet'!$E$13+1,1))</f>
        <v>186.54446846714993</v>
      </c>
      <c r="CZ13" s="59">
        <f t="shared" si="42"/>
        <v>154.43773051601286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3.15468085106383</v>
      </c>
      <c r="DO13" s="12">
        <f>IF('Données projet'!$A$166&gt;35,DO12+DN13-DW12,IF(A13&lt;'Données projet'!$A$166,$DL$205^A13,IF(A13='Données projet'!$A$166,'Données projet'!$B$166,DO12+DN13-DW12)))</f>
        <v>31.5468085106383</v>
      </c>
      <c r="DP13" s="17">
        <f>DO13*VLOOKUP('Données projet'!$B$14,Paramètres!$A$1:$I$89,3,0)*VLOOKUP('Données projet'!$B$14,Paramètres!$A$1:$I$89,5,0)</f>
        <v>35.925505531914894</v>
      </c>
      <c r="DQ13" s="13">
        <f t="shared" si="43"/>
        <v>10.912042700918992</v>
      </c>
      <c r="DR13" s="20">
        <f t="shared" si="16"/>
        <v>81.575396505519009</v>
      </c>
      <c r="DS13" s="59">
        <f t="shared" si="17"/>
        <v>273.51405849056391</v>
      </c>
      <c r="DT13" s="59">
        <f ca="1">AVERAGE(OFFSET($DS$3,0,0,'Données projet'!$E$14+1,1))-AVERAGE(OFFSET($H$3,0,0,'Données projet'!$E$14+1,1))</f>
        <v>651.35546372812314</v>
      </c>
      <c r="DU13" s="59">
        <f t="shared" si="44"/>
        <v>293.6561676213388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>
        <f>VLOOKUP(A13,'Données projet'!$A$191:$I$211,2,0)</f>
        <v>14.743589743589743</v>
      </c>
      <c r="EH13" s="12">
        <f>VLOOKUP(A13,'Données projet'!$A$191:$I$211,9,0)</f>
        <v>1.4743589743589742</v>
      </c>
      <c r="EI13" s="12">
        <f t="array" ref="EI13">INDEX(EH:EH,MIN(IF(ISNUMBER(EH13:EH209),ROW(EH13:EH209),"")))</f>
        <v>1.4743589743589742</v>
      </c>
      <c r="EJ13" s="12">
        <f>IF('Données projet'!$A$192&gt;35,EJ12+EI13-ER12,IF(A13&lt;'Données projet'!$A$192,$EG$205^A13,IF(A13='Données projet'!$A$192,'Données projet'!$B$192,EJ12+EI13-ER12)))</f>
        <v>14.743589743589743</v>
      </c>
      <c r="EK13" s="17">
        <f>EJ13*VLOOKUP('Données projet'!$B$15,Paramètres!$A$1:$I$89,3,0)*VLOOKUP('Données projet'!$B$15,Paramètres!$A$1:$I$89,5,0)</f>
        <v>15.41</v>
      </c>
      <c r="EL13" s="13">
        <f t="shared" si="45"/>
        <v>5.1652872273253818</v>
      </c>
      <c r="EM13" s="20">
        <f t="shared" si="19"/>
        <v>35.835291920925037</v>
      </c>
      <c r="EN13" s="59">
        <f t="shared" si="20"/>
        <v>227.77395390596993</v>
      </c>
      <c r="EO13" s="59">
        <f ca="1">AVERAGE(OFFSET($EN$3,0,0,'Données projet'!$E$15+1,1))-AVERAGE(OFFSET($H$3,0,0,'Données projet'!$E$15+1,1))</f>
        <v>290.69667785754848</v>
      </c>
      <c r="EP13" s="59">
        <f t="shared" si="46"/>
        <v>256.28124185489082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0.215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4.0942857142857143</v>
      </c>
      <c r="N14" s="13">
        <f>IF('Données projet'!$A$36&gt;35,N13+M14-V13,IF(A14&lt;'Données projet'!$A$36,$K$205^A14,IF(A14='Données projet'!$A$36,'Données projet'!$B$36,N13+M14-V13)))</f>
        <v>45.037142857142868</v>
      </c>
      <c r="O14" s="13">
        <f>N14*VLOOKUP('Données projet'!$B$9,Paramètres!$A$1:$I$89,3,0)*VLOOKUP('Données projet'!$B$9,Paramètres!$A$1:$I$89,5,0)</f>
        <v>45.667662857142872</v>
      </c>
      <c r="P14" s="13">
        <f t="shared" si="33"/>
        <v>13.489081801480216</v>
      </c>
      <c r="Q14" s="20">
        <f t="shared" si="2"/>
        <v>103.03133028043521</v>
      </c>
      <c r="R14" s="59">
        <f t="shared" si="0"/>
        <v>297.52712888954932</v>
      </c>
      <c r="S14" s="59">
        <f ca="1">AVERAGE(OFFSET($R$3,0,0,'Données projet'!$E$9+1,1))-AVERAGE(OFFSET($H$3,0,0,'Données projet'!$E$9+1,1))</f>
        <v>752.45542076695506</v>
      </c>
      <c r="T14" s="59">
        <f t="shared" si="34"/>
        <v>329.70629768420724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4.333333333333333</v>
      </c>
      <c r="AI14" s="13">
        <f>IF('Données projet'!$A$62&gt;35,AI13+AH14-AQ13,IF(A14&lt;'Données projet'!$A$62,$AF$205^A14,IF(A14='Données projet'!$A$62,'Données projet'!$B$62,AI13+AH14-AQ13)))</f>
        <v>21.353535673010011</v>
      </c>
      <c r="AJ14" s="13">
        <f>AI14*VLOOKUP('Données projet'!$B$10,Paramètres!$A$1:$I$89,3,0)*VLOOKUP('Données projet'!$B$10,Paramètres!$A$1:$I$89,5,0)</f>
        <v>18.654448763941549</v>
      </c>
      <c r="AK14" s="13">
        <f t="shared" si="35"/>
        <v>6.1152668278566198</v>
      </c>
      <c r="AL14" s="20">
        <f t="shared" si="4"/>
        <v>43.140587989048477</v>
      </c>
      <c r="AM14" s="59">
        <f t="shared" si="5"/>
        <v>237.6363865981626</v>
      </c>
      <c r="AN14" s="59">
        <f ca="1">AVERAGE(OFFSET($AM$3,0,0,'Données projet'!$E$10+1,1))-AVERAGE(OFFSET($H$3,0,0,'Données projet'!$E$10+1,1))</f>
        <v>408.246209980743</v>
      </c>
      <c r="AO14" s="59">
        <f t="shared" si="36"/>
        <v>394.10236303013903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4.0942857142857143</v>
      </c>
      <c r="BD14" s="12">
        <f>IF('Données projet'!$A$88&gt;35,BD13+BC14-BL13,IF(A14&lt;'Données projet'!$A$88,$BA$205^A14,IF(A14='Données projet'!$A$88,'Données projet'!$B$88,BD13+BC14-BL13)))</f>
        <v>45.037142857142868</v>
      </c>
      <c r="BE14" s="13">
        <f>BD14*VLOOKUP('Données projet'!$B$11,Paramètres!$A$1:$I$89,3,0)*VLOOKUP('Données projet'!$B$11,Paramètres!$A$1:$I$89,5,0)</f>
        <v>42.857345142857156</v>
      </c>
      <c r="BF14" s="13">
        <f t="shared" si="37"/>
        <v>12.752918628956738</v>
      </c>
      <c r="BG14" s="20">
        <f t="shared" si="7"/>
        <v>96.854542735909192</v>
      </c>
      <c r="BH14" s="59">
        <f t="shared" si="8"/>
        <v>291.35034134502331</v>
      </c>
      <c r="BI14" s="59">
        <f ca="1">AVERAGE(OFFSET($BH$3,0,0,'Données projet'!$E$11+1,1))-AVERAGE(OFFSET($H$3,0,0,'Données projet'!$E$11+1,1))</f>
        <v>711.91538686535682</v>
      </c>
      <c r="BJ14" s="59">
        <f t="shared" si="38"/>
        <v>313.24593837351722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4.0942857142857143</v>
      </c>
      <c r="BY14" s="12">
        <f>IF('Données projet'!$A$114&gt;35,BY13+BX14-CG13,IF(A14&lt;'Données projet'!$A$114,$BV$205^A14,IF(A14='Données projet'!$A$114,'Données projet'!$B$114,BY13+BX14-CG13)))</f>
        <v>45.037142857142868</v>
      </c>
      <c r="BZ14" s="13">
        <f>BY14*VLOOKUP('Données projet'!$B$12,Paramètres!$A$1:$I$89,3,0)*VLOOKUP('Données projet'!$B$12,Paramètres!$A$1:$I$89,5,0)</f>
        <v>40.749606857142865</v>
      </c>
      <c r="CA14" s="13">
        <f t="shared" si="39"/>
        <v>12.197115083595657</v>
      </c>
      <c r="CB14" s="20">
        <f t="shared" si="10"/>
        <v>92.215540713452924</v>
      </c>
      <c r="CC14" s="59">
        <f t="shared" si="11"/>
        <v>286.71133932256703</v>
      </c>
      <c r="CD14" s="59">
        <f ca="1">AVERAGE(OFFSET($CC$3,0,0,'Données projet'!$E$12+1,1))-AVERAGE(OFFSET($H$3,0,0,'Données projet'!$E$12+1,1))</f>
        <v>681.47578137804555</v>
      </c>
      <c r="CE14" s="59">
        <f t="shared" si="40"/>
        <v>300.88511065995885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1.3675213675213673</v>
      </c>
      <c r="CT14" s="12">
        <f>IF('Données projet'!$A$140&gt;35,CT13+CS14-DB13,IF(A14&lt;'Données projet'!$A$140,$CQ$205^A14,IF(A14='Données projet'!$A$140,'Données projet'!$B$140,CT13+CS14-DB13)))</f>
        <v>9.165411015196602</v>
      </c>
      <c r="CU14" s="17">
        <f>CT14*VLOOKUP('Données projet'!$B$13,Paramètres!$A$1:$I$89,3,0)*VLOOKUP('Données projet'!$B$13,Paramètres!$A$1:$I$89,5,0)</f>
        <v>7.4349814155274832</v>
      </c>
      <c r="CV14" s="13">
        <f t="shared" si="41"/>
        <v>2.7127824882220177</v>
      </c>
      <c r="CW14" s="20">
        <f t="shared" si="13"/>
        <v>17.674022132363714</v>
      </c>
      <c r="CX14" s="59">
        <f t="shared" si="14"/>
        <v>212.16982074147785</v>
      </c>
      <c r="CY14" s="59">
        <f ca="1">AVERAGE(OFFSET($CX$3,0,0,'Données projet'!$E$13+1,1))-AVERAGE(OFFSET($H$3,0,0,'Données projet'!$E$13+1,1))</f>
        <v>186.54446846714993</v>
      </c>
      <c r="CZ14" s="59">
        <f t="shared" si="42"/>
        <v>154.43773051601286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3.15468085106383</v>
      </c>
      <c r="DO14" s="12">
        <f>IF('Données projet'!$A$166&gt;35,DO13+DN14-DW13,IF(A14&lt;'Données projet'!$A$166,$DL$205^A14,IF(A14='Données projet'!$A$166,'Données projet'!$B$166,DO13+DN14-DW13)))</f>
        <v>34.70148936170213</v>
      </c>
      <c r="DP14" s="17">
        <f>DO14*VLOOKUP('Données projet'!$B$14,Paramètres!$A$1:$I$89,3,0)*VLOOKUP('Données projet'!$B$14,Paramètres!$A$1:$I$89,5,0)</f>
        <v>39.518056085106387</v>
      </c>
      <c r="DQ14" s="13">
        <f t="shared" si="43"/>
        <v>11.8708176403397</v>
      </c>
      <c r="DR14" s="20">
        <f t="shared" si="16"/>
        <v>89.50228840515193</v>
      </c>
      <c r="DS14" s="59">
        <f t="shared" si="17"/>
        <v>283.99808701426605</v>
      </c>
      <c r="DT14" s="59">
        <f ca="1">AVERAGE(OFFSET($DS$3,0,0,'Données projet'!$E$14+1,1))-AVERAGE(OFFSET($H$3,0,0,'Données projet'!$E$14+1,1))</f>
        <v>651.35546372812314</v>
      </c>
      <c r="DU14" s="59">
        <f t="shared" si="44"/>
        <v>293.6561676213388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4.7435897435897427</v>
      </c>
      <c r="EJ14" s="12">
        <f>IF('Données projet'!$A$192&gt;35,EJ13+EI14-ER13,IF(A14&lt;'Données projet'!$A$192,$EG$205^A14,IF(A14='Données projet'!$A$192,'Données projet'!$B$192,EJ13+EI14-ER13)))</f>
        <v>19.487179487179485</v>
      </c>
      <c r="EK14" s="17">
        <f>EJ14*VLOOKUP('Données projet'!$B$15,Paramètres!$A$1:$I$89,3,0)*VLOOKUP('Données projet'!$B$15,Paramètres!$A$1:$I$89,5,0)</f>
        <v>20.368000000000002</v>
      </c>
      <c r="EL14" s="13">
        <f t="shared" si="45"/>
        <v>6.609047283991738</v>
      </c>
      <c r="EM14" s="20">
        <f t="shared" si="19"/>
        <v>46.985024019618947</v>
      </c>
      <c r="EN14" s="59">
        <f t="shared" si="20"/>
        <v>241.48082262873308</v>
      </c>
      <c r="EO14" s="59">
        <f ca="1">AVERAGE(OFFSET($EN$3,0,0,'Données projet'!$E$15+1,1))-AVERAGE(OFFSET($H$3,0,0,'Données projet'!$E$15+1,1))</f>
        <v>290.69667785754848</v>
      </c>
      <c r="EP14" s="59">
        <f t="shared" si="46"/>
        <v>256.28124185489082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4.0942857142857143</v>
      </c>
      <c r="N15" s="13">
        <f>IF('Données projet'!$A$36&gt;35,N14+M15-V14,IF(A15&lt;'Données projet'!$A$36,$K$205^A15,IF(A15='Données projet'!$A$36,'Données projet'!$B$36,N14+M15-V14)))</f>
        <v>49.131428571428586</v>
      </c>
      <c r="O15" s="13">
        <f>N15*VLOOKUP('Données projet'!$B$9,Paramètres!$A$1:$I$89,3,0)*VLOOKUP('Données projet'!$B$9,Paramètres!$A$1:$I$89,5,0)</f>
        <v>49.819268571428587</v>
      </c>
      <c r="P15" s="13">
        <f t="shared" si="33"/>
        <v>14.567075151646579</v>
      </c>
      <c r="Q15" s="20">
        <f t="shared" si="2"/>
        <v>112.13954865102259</v>
      </c>
      <c r="R15" s="59">
        <f t="shared" si="0"/>
        <v>309.16932610375545</v>
      </c>
      <c r="S15" s="59">
        <f ca="1">AVERAGE(OFFSET($R$3,0,0,'Données projet'!$E$9+1,1))-AVERAGE(OFFSET($H$3,0,0,'Données projet'!$E$9+1,1))</f>
        <v>752.45542076695506</v>
      </c>
      <c r="T15" s="59">
        <f t="shared" si="34"/>
        <v>329.70629768420724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4.333333333333333</v>
      </c>
      <c r="AI15" s="13">
        <f>IF('Données projet'!$A$62&gt;35,AI14+AH15-AQ14,IF(A15&lt;'Données projet'!$A$62,$AF$205^A15,IF(A15='Données projet'!$A$62,'Données projet'!$B$62,AI14+AH15-AQ14)))</f>
        <v>28.205297528345746</v>
      </c>
      <c r="AJ15" s="13">
        <f>AI15*VLOOKUP('Données projet'!$B$10,Paramètres!$A$1:$I$89,3,0)*VLOOKUP('Données projet'!$B$10,Paramètres!$A$1:$I$89,5,0)</f>
        <v>24.640147920762846</v>
      </c>
      <c r="AK15" s="13">
        <f t="shared" si="35"/>
        <v>7.8200241485704662</v>
      </c>
      <c r="AL15" s="20">
        <f t="shared" si="4"/>
        <v>56.534799687422179</v>
      </c>
      <c r="AM15" s="59">
        <f t="shared" si="5"/>
        <v>253.56457714015505</v>
      </c>
      <c r="AN15" s="59">
        <f ca="1">AVERAGE(OFFSET($AM$3,0,0,'Données projet'!$E$10+1,1))-AVERAGE(OFFSET($H$3,0,0,'Données projet'!$E$10+1,1))</f>
        <v>408.246209980743</v>
      </c>
      <c r="AO15" s="59">
        <f t="shared" si="36"/>
        <v>394.10236303013903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4.0942857142857143</v>
      </c>
      <c r="BD15" s="12">
        <f>IF('Données projet'!$A$88&gt;35,BD14+BC15-BL14,IF(A15&lt;'Données projet'!$A$88,$BA$205^A15,IF(A15='Données projet'!$A$88,'Données projet'!$B$88,BD14+BC15-BL14)))</f>
        <v>49.131428571428586</v>
      </c>
      <c r="BE15" s="13">
        <f>BD15*VLOOKUP('Données projet'!$B$11,Paramètres!$A$1:$I$89,3,0)*VLOOKUP('Données projet'!$B$11,Paramètres!$A$1:$I$89,5,0)</f>
        <v>46.75346742857144</v>
      </c>
      <c r="BF15" s="13">
        <f t="shared" si="37"/>
        <v>13.772080769089918</v>
      </c>
      <c r="BG15" s="20">
        <f t="shared" si="7"/>
        <v>105.41532977759353</v>
      </c>
      <c r="BH15" s="59">
        <f t="shared" si="8"/>
        <v>302.44510723032641</v>
      </c>
      <c r="BI15" s="59">
        <f ca="1">AVERAGE(OFFSET($BH$3,0,0,'Données projet'!$E$11+1,1))-AVERAGE(OFFSET($H$3,0,0,'Données projet'!$E$11+1,1))</f>
        <v>711.91538686535682</v>
      </c>
      <c r="BJ15" s="59">
        <f t="shared" si="38"/>
        <v>313.24593837351722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4.0942857142857143</v>
      </c>
      <c r="BY15" s="12">
        <f>IF('Données projet'!$A$114&gt;35,BY14+BX15-CG14,IF(A15&lt;'Données projet'!$A$114,$BV$205^A15,IF(A15='Données projet'!$A$114,'Données projet'!$B$114,BY14+BX15-CG14)))</f>
        <v>49.131428571428586</v>
      </c>
      <c r="BZ15" s="13">
        <f>BY15*VLOOKUP('Données projet'!$B$12,Paramètres!$A$1:$I$89,3,0)*VLOOKUP('Données projet'!$B$12,Paramètres!$A$1:$I$89,5,0)</f>
        <v>44.454116571428585</v>
      </c>
      <c r="CA15" s="13">
        <f t="shared" si="39"/>
        <v>13.17185963217473</v>
      </c>
      <c r="CB15" s="20">
        <f t="shared" si="10"/>
        <v>100.36524188794243</v>
      </c>
      <c r="CC15" s="59">
        <f t="shared" si="11"/>
        <v>297.39501934067528</v>
      </c>
      <c r="CD15" s="59">
        <f ca="1">AVERAGE(OFFSET($CC$3,0,0,'Données projet'!$E$12+1,1))-AVERAGE(OFFSET($H$3,0,0,'Données projet'!$E$12+1,1))</f>
        <v>681.47578137804555</v>
      </c>
      <c r="CE15" s="59">
        <f t="shared" si="40"/>
        <v>300.88511065995885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1.3675213675213673</v>
      </c>
      <c r="CT15" s="12">
        <f>IF('Données projet'!$A$140&gt;35,CT14+CS15-DB14,IF(A15&lt;'Données projet'!$A$140,$CQ$205^A15,IF(A15='Données projet'!$A$140,'Données projet'!$B$140,CT14+CS15-DB14)))</f>
        <v>11.210379219937016</v>
      </c>
      <c r="CU15" s="17">
        <f>CT15*VLOOKUP('Données projet'!$B$13,Paramètres!$A$1:$I$89,3,0)*VLOOKUP('Données projet'!$B$13,Paramètres!$A$1:$I$89,5,0)</f>
        <v>9.093859623212909</v>
      </c>
      <c r="CV15" s="13">
        <f t="shared" si="41"/>
        <v>3.2411715265053496</v>
      </c>
      <c r="CW15" s="20">
        <f t="shared" si="13"/>
        <v>21.483512585759296</v>
      </c>
      <c r="CX15" s="59">
        <f t="shared" si="14"/>
        <v>218.51329003849216</v>
      </c>
      <c r="CY15" s="59">
        <f ca="1">AVERAGE(OFFSET($CX$3,0,0,'Données projet'!$E$13+1,1))-AVERAGE(OFFSET($H$3,0,0,'Données projet'!$E$13+1,1))</f>
        <v>186.54446846714993</v>
      </c>
      <c r="CZ15" s="59">
        <f t="shared" si="42"/>
        <v>154.43773051601286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3.15468085106383</v>
      </c>
      <c r="DO15" s="12">
        <f>IF('Données projet'!$A$166&gt;35,DO14+DN15-DW14,IF(A15&lt;'Données projet'!$A$166,$DL$205^A15,IF(A15='Données projet'!$A$166,'Données projet'!$B$166,DO14+DN15-DW14)))</f>
        <v>37.85617021276596</v>
      </c>
      <c r="DP15" s="17">
        <f>DO15*VLOOKUP('Données projet'!$B$14,Paramètres!$A$1:$I$89,3,0)*VLOOKUP('Données projet'!$B$14,Paramètres!$A$1:$I$89,5,0)</f>
        <v>43.110606638297874</v>
      </c>
      <c r="DQ15" s="13">
        <f t="shared" si="43"/>
        <v>12.81948580513054</v>
      </c>
      <c r="DR15" s="20">
        <f t="shared" si="16"/>
        <v>97.411577672304475</v>
      </c>
      <c r="DS15" s="59">
        <f t="shared" si="17"/>
        <v>294.44135512503738</v>
      </c>
      <c r="DT15" s="59">
        <f ca="1">AVERAGE(OFFSET($DS$3,0,0,'Données projet'!$E$14+1,1))-AVERAGE(OFFSET($H$3,0,0,'Données projet'!$E$14+1,1))</f>
        <v>651.35546372812314</v>
      </c>
      <c r="DU15" s="59">
        <f t="shared" si="44"/>
        <v>293.6561676213388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4.7435897435897427</v>
      </c>
      <c r="EJ15" s="12">
        <f>IF('Données projet'!$A$192&gt;35,EJ14+EI15-ER14,IF(A15&lt;'Données projet'!$A$192,$EG$205^A15,IF(A15='Données projet'!$A$192,'Données projet'!$B$192,EJ14+EI15-ER14)))</f>
        <v>24.230769230769226</v>
      </c>
      <c r="EK15" s="17">
        <f>EJ15*VLOOKUP('Données projet'!$B$15,Paramètres!$A$1:$I$89,3,0)*VLOOKUP('Données projet'!$B$15,Paramètres!$A$1:$I$89,5,0)</f>
        <v>25.325999999999997</v>
      </c>
      <c r="EL15" s="13">
        <f t="shared" si="45"/>
        <v>8.0120474907190182</v>
      </c>
      <c r="EM15" s="20">
        <f t="shared" si="19"/>
        <v>58.063766046335616</v>
      </c>
      <c r="EN15" s="59">
        <f t="shared" si="20"/>
        <v>255.09354349906849</v>
      </c>
      <c r="EO15" s="59">
        <f ca="1">AVERAGE(OFFSET($EN$3,0,0,'Données projet'!$E$15+1,1))-AVERAGE(OFFSET($H$3,0,0,'Données projet'!$E$15+1,1))</f>
        <v>290.69667785754848</v>
      </c>
      <c r="EP15" s="59">
        <f t="shared" si="46"/>
        <v>256.28124185489082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4.0942857142857143</v>
      </c>
      <c r="N16" s="13">
        <f>IF('Données projet'!$A$36&gt;35,N15+M16-V15,IF(A16&lt;'Données projet'!$A$36,$K$205^A16,IF(A16='Données projet'!$A$36,'Données projet'!$B$36,N15+M16-V15)))</f>
        <v>53.225714285714304</v>
      </c>
      <c r="O16" s="13">
        <f>N16*VLOOKUP('Données projet'!$B$9,Paramètres!$A$1:$I$89,3,0)*VLOOKUP('Données projet'!$B$9,Paramètres!$A$1:$I$89,5,0)</f>
        <v>53.970874285714309</v>
      </c>
      <c r="P16" s="13">
        <f t="shared" si="33"/>
        <v>15.634649796775355</v>
      </c>
      <c r="Q16" s="20">
        <f t="shared" si="2"/>
        <v>121.22962111033615</v>
      </c>
      <c r="R16" s="59">
        <f t="shared" si="0"/>
        <v>320.77062136195497</v>
      </c>
      <c r="S16" s="59">
        <f ca="1">AVERAGE(OFFSET($R$3,0,0,'Données projet'!$E$9+1,1))-AVERAGE(OFFSET($H$3,0,0,'Données projet'!$E$9+1,1))</f>
        <v>752.45542076695506</v>
      </c>
      <c r="T16" s="59">
        <f t="shared" si="34"/>
        <v>329.70629768420724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4.333333333333333</v>
      </c>
      <c r="AI16" s="13">
        <f>IF('Données projet'!$A$62&gt;35,AI15+AH16-AQ15,IF(A16&lt;'Données projet'!$A$62,$AF$205^A16,IF(A16='Données projet'!$A$62,'Données projet'!$B$62,AI15+AH16-AQ15)))</f>
        <v>37.255601172785397</v>
      </c>
      <c r="AJ16" s="13">
        <f>AI16*VLOOKUP('Données projet'!$B$10,Paramètres!$A$1:$I$89,3,0)*VLOOKUP('Données projet'!$B$10,Paramètres!$A$1:$I$89,5,0)</f>
        <v>32.546493184545326</v>
      </c>
      <c r="AK16" s="13">
        <f t="shared" si="35"/>
        <v>10.000017890578144</v>
      </c>
      <c r="AL16" s="20">
        <f t="shared" si="4"/>
        <v>74.101840122506715</v>
      </c>
      <c r="AM16" s="59">
        <f t="shared" si="5"/>
        <v>273.64284037412551</v>
      </c>
      <c r="AN16" s="59">
        <f ca="1">AVERAGE(OFFSET($AM$3,0,0,'Données projet'!$E$10+1,1))-AVERAGE(OFFSET($H$3,0,0,'Données projet'!$E$10+1,1))</f>
        <v>408.246209980743</v>
      </c>
      <c r="AO16" s="59">
        <f t="shared" si="36"/>
        <v>394.10236303013903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4.0942857142857143</v>
      </c>
      <c r="BD16" s="12">
        <f>IF('Données projet'!$A$88&gt;35,BD15+BC16-BL15,IF(A16&lt;'Données projet'!$A$88,$BA$205^A16,IF(A16='Données projet'!$A$88,'Données projet'!$B$88,BD15+BC16-BL15)))</f>
        <v>53.225714285714304</v>
      </c>
      <c r="BE16" s="13">
        <f>BD16*VLOOKUP('Données projet'!$B$11,Paramètres!$A$1:$I$89,3,0)*VLOOKUP('Données projet'!$B$11,Paramètres!$A$1:$I$89,5,0)</f>
        <v>50.649589714285725</v>
      </c>
      <c r="BF16" s="13">
        <f t="shared" si="37"/>
        <v>14.781392802335258</v>
      </c>
      <c r="BG16" s="20">
        <f t="shared" si="7"/>
        <v>113.9589612164482</v>
      </c>
      <c r="BH16" s="59">
        <f t="shared" si="8"/>
        <v>313.499961468067</v>
      </c>
      <c r="BI16" s="59">
        <f ca="1">AVERAGE(OFFSET($BH$3,0,0,'Données projet'!$E$11+1,1))-AVERAGE(OFFSET($H$3,0,0,'Données projet'!$E$11+1,1))</f>
        <v>711.91538686535682</v>
      </c>
      <c r="BJ16" s="59">
        <f t="shared" si="38"/>
        <v>313.24593837351722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4.0942857142857143</v>
      </c>
      <c r="BY16" s="12">
        <f>IF('Données projet'!$A$114&gt;35,BY15+BX16-CG15,IF(A16&lt;'Données projet'!$A$114,$BV$205^A16,IF(A16='Données projet'!$A$114,'Données projet'!$B$114,BY15+BX16-CG15)))</f>
        <v>53.225714285714304</v>
      </c>
      <c r="BZ16" s="13">
        <f>BY16*VLOOKUP('Données projet'!$B$12,Paramètres!$A$1:$I$89,3,0)*VLOOKUP('Données projet'!$B$12,Paramètres!$A$1:$I$89,5,0)</f>
        <v>48.158626285714305</v>
      </c>
      <c r="CA16" s="13">
        <f t="shared" si="39"/>
        <v>14.137183365739432</v>
      </c>
      <c r="CB16" s="20">
        <f t="shared" si="10"/>
        <v>108.4985351429486</v>
      </c>
      <c r="CC16" s="59">
        <f t="shared" si="11"/>
        <v>308.03953539456739</v>
      </c>
      <c r="CD16" s="59">
        <f ca="1">AVERAGE(OFFSET($CC$3,0,0,'Données projet'!$E$12+1,1))-AVERAGE(OFFSET($H$3,0,0,'Données projet'!$E$12+1,1))</f>
        <v>681.47578137804555</v>
      </c>
      <c r="CE16" s="59">
        <f t="shared" si="40"/>
        <v>300.88511065995885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1.3675213675213673</v>
      </c>
      <c r="CT16" s="12">
        <f>IF('Données projet'!$A$140&gt;35,CT15+CS16-DB15,IF(A16&lt;'Données projet'!$A$140,$CQ$205^A16,IF(A16='Données projet'!$A$140,'Données projet'!$B$140,CT15+CS16-DB15)))</f>
        <v>13.711616647243169</v>
      </c>
      <c r="CU16" s="17">
        <f>CT16*VLOOKUP('Données projet'!$B$13,Paramètres!$A$1:$I$89,3,0)*VLOOKUP('Données projet'!$B$13,Paramètres!$A$1:$I$89,5,0)</f>
        <v>11.122863424243659</v>
      </c>
      <c r="CV16" s="13">
        <f t="shared" si="41"/>
        <v>3.8724788698832282</v>
      </c>
      <c r="CW16" s="20">
        <f t="shared" si="13"/>
        <v>26.116887828937664</v>
      </c>
      <c r="CX16" s="59">
        <f t="shared" si="14"/>
        <v>225.65788808055646</v>
      </c>
      <c r="CY16" s="59">
        <f ca="1">AVERAGE(OFFSET($CX$3,0,0,'Données projet'!$E$13+1,1))-AVERAGE(OFFSET($H$3,0,0,'Données projet'!$E$13+1,1))</f>
        <v>186.54446846714993</v>
      </c>
      <c r="CZ16" s="59">
        <f t="shared" si="42"/>
        <v>154.43773051601286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3.15468085106383</v>
      </c>
      <c r="DO16" s="12">
        <f>IF('Données projet'!$A$166&gt;35,DO15+DN16-DW15,IF(A16&lt;'Données projet'!$A$166,$DL$205^A16,IF(A16='Données projet'!$A$166,'Données projet'!$B$166,DO15+DN16-DW15)))</f>
        <v>41.01085106382979</v>
      </c>
      <c r="DP16" s="17">
        <f>DO16*VLOOKUP('Données projet'!$B$14,Paramètres!$A$1:$I$89,3,0)*VLOOKUP('Données projet'!$B$14,Paramètres!$A$1:$I$89,5,0)</f>
        <v>46.70315719148936</v>
      </c>
      <c r="DQ16" s="13">
        <f t="shared" si="43"/>
        <v>13.758985180720606</v>
      </c>
      <c r="DR16" s="20">
        <f t="shared" si="16"/>
        <v>105.30489796493235</v>
      </c>
      <c r="DS16" s="59">
        <f t="shared" si="17"/>
        <v>304.84589821655118</v>
      </c>
      <c r="DT16" s="59">
        <f ca="1">AVERAGE(OFFSET($DS$3,0,0,'Données projet'!$E$14+1,1))-AVERAGE(OFFSET($H$3,0,0,'Données projet'!$E$14+1,1))</f>
        <v>651.35546372812314</v>
      </c>
      <c r="DU16" s="59">
        <f t="shared" si="44"/>
        <v>293.6561676213388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4.7435897435897427</v>
      </c>
      <c r="EJ16" s="12">
        <f>IF('Données projet'!$A$192&gt;35,EJ15+EI16-ER15,IF(A16&lt;'Données projet'!$A$192,$EG$205^A16,IF(A16='Données projet'!$A$192,'Données projet'!$B$192,EJ15+EI16-ER15)))</f>
        <v>28.974358974358971</v>
      </c>
      <c r="EK16" s="17">
        <f>EJ16*VLOOKUP('Données projet'!$B$15,Paramètres!$A$1:$I$89,3,0)*VLOOKUP('Données projet'!$B$15,Paramètres!$A$1:$I$89,5,0)</f>
        <v>30.284000000000002</v>
      </c>
      <c r="EL16" s="13">
        <f t="shared" si="45"/>
        <v>9.3832239446418253</v>
      </c>
      <c r="EM16" s="20">
        <f t="shared" si="19"/>
        <v>69.087081703584502</v>
      </c>
      <c r="EN16" s="59">
        <f t="shared" si="20"/>
        <v>268.6280819552033</v>
      </c>
      <c r="EO16" s="59">
        <f ca="1">AVERAGE(OFFSET($EN$3,0,0,'Données projet'!$E$15+1,1))-AVERAGE(OFFSET($H$3,0,0,'Données projet'!$E$15+1,1))</f>
        <v>290.69667785754848</v>
      </c>
      <c r="EP16" s="59">
        <f t="shared" si="46"/>
        <v>256.28124185489082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4.0942857142857143</v>
      </c>
      <c r="N17" s="13">
        <f>IF('Données projet'!$A$36&gt;35,N16+M17-V16,IF(A17&lt;'Données projet'!$A$36,$K$205^A17,IF(A17='Données projet'!$A$36,'Données projet'!$B$36,N16+M17-V16)))</f>
        <v>57.320000000000022</v>
      </c>
      <c r="O17" s="13">
        <f>N17*VLOOKUP('Données projet'!$B$9,Paramètres!$A$1:$I$89,3,0)*VLOOKUP('Données projet'!$B$9,Paramètres!$A$1:$I$89,5,0)</f>
        <v>58.122480000000031</v>
      </c>
      <c r="P17" s="13">
        <f t="shared" si="33"/>
        <v>16.692698298610935</v>
      </c>
      <c r="Q17" s="20">
        <f t="shared" si="2"/>
        <v>130.30310220341408</v>
      </c>
      <c r="R17" s="59">
        <f t="shared" si="0"/>
        <v>332.33296397568728</v>
      </c>
      <c r="S17" s="59">
        <f ca="1">AVERAGE(OFFSET($R$3,0,0,'Données projet'!$E$9+1,1))-AVERAGE(OFFSET($H$3,0,0,'Données projet'!$E$9+1,1))</f>
        <v>752.45542076695506</v>
      </c>
      <c r="T17" s="59">
        <f t="shared" si="34"/>
        <v>329.70629768420724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4.333333333333333</v>
      </c>
      <c r="AI17" s="13">
        <f>IF('Données projet'!$A$62&gt;35,AI16+AH17-AQ16,IF(A17&lt;'Données projet'!$A$62,$AF$205^A17,IF(A17='Données projet'!$A$62,'Données projet'!$B$62,AI16+AH17-AQ16)))</f>
        <v>49.209898153024547</v>
      </c>
      <c r="AJ17" s="13">
        <f>AI17*VLOOKUP('Données projet'!$B$10,Paramètres!$A$1:$I$89,3,0)*VLOOKUP('Données projet'!$B$10,Paramètres!$A$1:$I$89,5,0)</f>
        <v>42.989767026482248</v>
      </c>
      <c r="AK17" s="13">
        <f t="shared" si="35"/>
        <v>12.78773005197989</v>
      </c>
      <c r="AL17" s="20">
        <f t="shared" si="4"/>
        <v>97.145807411654872</v>
      </c>
      <c r="AM17" s="59">
        <f t="shared" si="5"/>
        <v>299.17566918392805</v>
      </c>
      <c r="AN17" s="59">
        <f ca="1">AVERAGE(OFFSET($AM$3,0,0,'Données projet'!$E$10+1,1))-AVERAGE(OFFSET($H$3,0,0,'Données projet'!$E$10+1,1))</f>
        <v>408.246209980743</v>
      </c>
      <c r="AO17" s="59">
        <f t="shared" si="36"/>
        <v>394.10236303013903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4.0942857142857143</v>
      </c>
      <c r="BD17" s="12">
        <f>IF('Données projet'!$A$88&gt;35,BD16+BC17-BL16,IF(A17&lt;'Données projet'!$A$88,$BA$205^A17,IF(A17='Données projet'!$A$88,'Données projet'!$B$88,BD16+BC17-BL16)))</f>
        <v>57.320000000000022</v>
      </c>
      <c r="BE17" s="13">
        <f>BD17*VLOOKUP('Données projet'!$B$11,Paramètres!$A$1:$I$89,3,0)*VLOOKUP('Données projet'!$B$11,Paramètres!$A$1:$I$89,5,0)</f>
        <v>54.545712000000016</v>
      </c>
      <c r="BF17" s="13">
        <f t="shared" si="37"/>
        <v>15.781698579109328</v>
      </c>
      <c r="BG17" s="20">
        <f t="shared" si="7"/>
        <v>122.48690675861542</v>
      </c>
      <c r="BH17" s="59">
        <f t="shared" si="8"/>
        <v>324.51676853088861</v>
      </c>
      <c r="BI17" s="59">
        <f ca="1">AVERAGE(OFFSET($BH$3,0,0,'Données projet'!$E$11+1,1))-AVERAGE(OFFSET($H$3,0,0,'Données projet'!$E$11+1,1))</f>
        <v>711.91538686535682</v>
      </c>
      <c r="BJ17" s="59">
        <f t="shared" si="38"/>
        <v>313.24593837351722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4.0942857142857143</v>
      </c>
      <c r="BY17" s="12">
        <f>IF('Données projet'!$A$114&gt;35,BY16+BX17-CG16,IF(A17&lt;'Données projet'!$A$114,$BV$205^A17,IF(A17='Données projet'!$A$114,'Données projet'!$B$114,BY16+BX17-CG16)))</f>
        <v>57.320000000000022</v>
      </c>
      <c r="BZ17" s="13">
        <f>BY17*VLOOKUP('Données projet'!$B$12,Paramètres!$A$1:$I$89,3,0)*VLOOKUP('Données projet'!$B$12,Paramètres!$A$1:$I$89,5,0)</f>
        <v>51.863136000000019</v>
      </c>
      <c r="CA17" s="13">
        <f t="shared" si="39"/>
        <v>15.093893357630675</v>
      </c>
      <c r="CB17" s="20">
        <f t="shared" si="10"/>
        <v>116.61682613120678</v>
      </c>
      <c r="CC17" s="59">
        <f t="shared" si="11"/>
        <v>318.64668790347997</v>
      </c>
      <c r="CD17" s="59">
        <f ca="1">AVERAGE(OFFSET($CC$3,0,0,'Données projet'!$E$12+1,1))-AVERAGE(OFFSET($H$3,0,0,'Données projet'!$E$12+1,1))</f>
        <v>681.47578137804555</v>
      </c>
      <c r="CE17" s="59">
        <f t="shared" si="40"/>
        <v>300.88511065995885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1.3675213675213673</v>
      </c>
      <c r="CT17" s="12">
        <f>IF('Données projet'!$A$140&gt;35,CT16+CS17-DB16,IF(A17&lt;'Données projet'!$A$140,$CQ$205^A17,IF(A17='Données projet'!$A$140,'Données projet'!$B$140,CT16+CS17-DB16)))</f>
        <v>16.770925175001558</v>
      </c>
      <c r="CU17" s="17">
        <f>CT17*VLOOKUP('Données projet'!$B$13,Paramètres!$A$1:$I$89,3,0)*VLOOKUP('Données projet'!$B$13,Paramètres!$A$1:$I$89,5,0)</f>
        <v>13.604574501961265</v>
      </c>
      <c r="CV17" s="13">
        <f t="shared" si="41"/>
        <v>4.6267506903162801</v>
      </c>
      <c r="CW17" s="20">
        <f t="shared" si="13"/>
        <v>31.752891376550057</v>
      </c>
      <c r="CX17" s="59">
        <f t="shared" si="14"/>
        <v>233.78275314882325</v>
      </c>
      <c r="CY17" s="59">
        <f ca="1">AVERAGE(OFFSET($CX$3,0,0,'Données projet'!$E$13+1,1))-AVERAGE(OFFSET($H$3,0,0,'Données projet'!$E$13+1,1))</f>
        <v>186.54446846714993</v>
      </c>
      <c r="CZ17" s="59">
        <f t="shared" si="42"/>
        <v>154.43773051601286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3.15468085106383</v>
      </c>
      <c r="DO17" s="12">
        <f>IF('Données projet'!$A$166&gt;35,DO16+DN17-DW16,IF(A17&lt;'Données projet'!$A$166,$DL$205^A17,IF(A17='Données projet'!$A$166,'Données projet'!$B$166,DO16+DN17-DW16)))</f>
        <v>44.16553191489362</v>
      </c>
      <c r="DP17" s="17">
        <f>DO17*VLOOKUP('Données projet'!$B$14,Paramètres!$A$1:$I$89,3,0)*VLOOKUP('Données projet'!$B$14,Paramètres!$A$1:$I$89,5,0)</f>
        <v>50.295707744680861</v>
      </c>
      <c r="DQ17" s="13">
        <f t="shared" si="43"/>
        <v>14.690101249610226</v>
      </c>
      <c r="DR17" s="20">
        <f t="shared" si="16"/>
        <v>113.18361733172365</v>
      </c>
      <c r="DS17" s="59">
        <f t="shared" si="17"/>
        <v>315.21347910399686</v>
      </c>
      <c r="DT17" s="59">
        <f ca="1">AVERAGE(OFFSET($DS$3,0,0,'Données projet'!$E$14+1,1))-AVERAGE(OFFSET($H$3,0,0,'Données projet'!$E$14+1,1))</f>
        <v>651.35546372812314</v>
      </c>
      <c r="DU17" s="59">
        <f t="shared" si="44"/>
        <v>293.6561676213388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4.7435897435897427</v>
      </c>
      <c r="EJ17" s="12">
        <f>IF('Données projet'!$A$192&gt;35,EJ16+EI17-ER16,IF(A17&lt;'Données projet'!$A$192,$EG$205^A17,IF(A17='Données projet'!$A$192,'Données projet'!$B$192,EJ16+EI17-ER16)))</f>
        <v>33.717948717948715</v>
      </c>
      <c r="EK17" s="17">
        <f>EJ17*VLOOKUP('Données projet'!$B$15,Paramètres!$A$1:$I$89,3,0)*VLOOKUP('Données projet'!$B$15,Paramètres!$A$1:$I$89,5,0)</f>
        <v>35.242000000000004</v>
      </c>
      <c r="EL17" s="13">
        <f t="shared" si="45"/>
        <v>10.72839522230381</v>
      </c>
      <c r="EM17" s="20">
        <f t="shared" si="19"/>
        <v>80.065105012179131</v>
      </c>
      <c r="EN17" s="59">
        <f t="shared" si="20"/>
        <v>282.09496678445231</v>
      </c>
      <c r="EO17" s="59">
        <f ca="1">AVERAGE(OFFSET($EN$3,0,0,'Données projet'!$E$15+1,1))-AVERAGE(OFFSET($H$3,0,0,'Données projet'!$E$15+1,1))</f>
        <v>290.69667785754848</v>
      </c>
      <c r="EP17" s="59">
        <f t="shared" si="46"/>
        <v>256.28124185489082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4.0942857142857143</v>
      </c>
      <c r="N18" s="13">
        <f>IF('Données projet'!$A$36&gt;35,N17+M18-V17,IF(A18&lt;'Données projet'!$A$36,$K$205^A18,IF(A18='Données projet'!$A$36,'Données projet'!$B$36,N17+M18-V17)))</f>
        <v>61.414285714285739</v>
      </c>
      <c r="O18" s="13">
        <f>N18*VLOOKUP('Données projet'!$B$9,Paramètres!$A$1:$I$89,3,0)*VLOOKUP('Données projet'!$B$9,Paramètres!$A$1:$I$89,5,0)</f>
        <v>62.274085714285746</v>
      </c>
      <c r="P18" s="13">
        <f t="shared" si="33"/>
        <v>17.741978484825932</v>
      </c>
      <c r="Q18" s="20">
        <f t="shared" si="2"/>
        <v>139.36131181345283</v>
      </c>
      <c r="R18" s="59">
        <f t="shared" si="0"/>
        <v>343.85806174633387</v>
      </c>
      <c r="S18" s="59">
        <f ca="1">AVERAGE(OFFSET($R$3,0,0,'Données projet'!$E$9+1,1))-AVERAGE(OFFSET($H$3,0,0,'Données projet'!$E$9+1,1))</f>
        <v>752.45542076695506</v>
      </c>
      <c r="T18" s="59">
        <f t="shared" si="34"/>
        <v>329.70629768420724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65</v>
      </c>
      <c r="AG18" s="12">
        <f>VLOOKUP(A18,'Données projet'!$A$61:$I$81,9,0)</f>
        <v>4.333333333333333</v>
      </c>
      <c r="AH18" s="12">
        <f t="array" ref="AH18">INDEX(AG:AG,MIN(IF(ISNUMBER(AG18:AG214),ROW(AG18:AG214),"")))</f>
        <v>4.333333333333333</v>
      </c>
      <c r="AI18" s="13">
        <f>IF('Données projet'!$A$62&gt;35,AI17+AH18-AQ17,IF(A18&lt;'Données projet'!$A$62,$AF$205^A18,IF(A18='Données projet'!$A$62,'Données projet'!$B$62,AI17+AH18-AQ17)))</f>
        <v>65</v>
      </c>
      <c r="AJ18" s="13">
        <f>AI18*VLOOKUP('Données projet'!$B$10,Paramètres!$A$1:$I$89,3,0)*VLOOKUP('Données projet'!$B$10,Paramètres!$A$1:$I$89,5,0)</f>
        <v>56.784000000000013</v>
      </c>
      <c r="AK18" s="13">
        <f t="shared" si="35"/>
        <v>16.352574732529362</v>
      </c>
      <c r="AL18" s="20">
        <f t="shared" si="4"/>
        <v>127.37953432582198</v>
      </c>
      <c r="AM18" s="59">
        <f t="shared" si="5"/>
        <v>331.87628425870304</v>
      </c>
      <c r="AN18" s="59">
        <f ca="1">AVERAGE(OFFSET($AM$3,0,0,'Données projet'!$E$10+1,1))-AVERAGE(OFFSET($H$3,0,0,'Données projet'!$E$10+1,1))</f>
        <v>408.246209980743</v>
      </c>
      <c r="AO18" s="59">
        <f t="shared" si="36"/>
        <v>394.10236303013903</v>
      </c>
      <c r="AP18" s="15">
        <f>IF(ISNA(VLOOKUP(A18,'Données projet'!$A$61:$I$81,3,0)),0,VLOOKUP(A18,'Données projet'!$A$61:$I$81,3,0))</f>
        <v>1</v>
      </c>
      <c r="AQ18" s="15">
        <f>IF(ISNA(VLOOKUP(A18,'Données projet'!$A$61:$I$81,4,0)),0,VLOOKUP(A18,'Données projet'!$A$61:$I$81,4,0))</f>
        <v>32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0.13250000000000001</v>
      </c>
      <c r="AT18" s="16">
        <f>IF(ISNA(VLOOKUP(A18,'Données projet'!$A$61:$I$81,7,0)),0%,VLOOKUP(A18,'Données projet'!$A$61:$I$81,7,0))</f>
        <v>0.25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4.0786105117164171</v>
      </c>
      <c r="AW18" s="21">
        <f>EXP(-LN(2)/2)*AW17+(1-EXP(-LN(2)/2))/(LN(2)/2)*AQ18*AT18*VLOOKUP('Données projet'!$B$10,Paramètres!$A$1:$I$89,3,0)*0.475*44/12</f>
        <v>6.5941209007941382</v>
      </c>
      <c r="AX18" s="21">
        <f t="shared" si="6"/>
        <v>10.672731412510554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4.0942857142857143</v>
      </c>
      <c r="BD18" s="12">
        <f>IF('Données projet'!$A$88&gt;35,BD17+BC18-BL17,IF(A18&lt;'Données projet'!$A$88,$BA$205^A18,IF(A18='Données projet'!$A$88,'Données projet'!$B$88,BD17+BC18-BL17)))</f>
        <v>61.414285714285739</v>
      </c>
      <c r="BE18" s="13">
        <f>BD18*VLOOKUP('Données projet'!$B$11,Paramètres!$A$1:$I$89,3,0)*VLOOKUP('Données projet'!$B$11,Paramètres!$A$1:$I$89,5,0)</f>
        <v>58.441834285714307</v>
      </c>
      <c r="BF18" s="13">
        <f t="shared" si="37"/>
        <v>16.773714568834297</v>
      </c>
      <c r="BG18" s="20">
        <f t="shared" si="7"/>
        <v>131.0004142550055</v>
      </c>
      <c r="BH18" s="59">
        <f t="shared" si="8"/>
        <v>335.49716418788654</v>
      </c>
      <c r="BI18" s="59">
        <f ca="1">AVERAGE(OFFSET($BH$3,0,0,'Données projet'!$E$11+1,1))-AVERAGE(OFFSET($H$3,0,0,'Données projet'!$E$11+1,1))</f>
        <v>711.91538686535682</v>
      </c>
      <c r="BJ18" s="59">
        <f t="shared" si="38"/>
        <v>313.24593837351722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4.0942857142857143</v>
      </c>
      <c r="BY18" s="12">
        <f>IF('Données projet'!$A$114&gt;35,BY17+BX18-CG17,IF(A18&lt;'Données projet'!$A$114,$BV$205^A18,IF(A18='Données projet'!$A$114,'Données projet'!$B$114,BY17+BX18-CG17)))</f>
        <v>61.414285714285739</v>
      </c>
      <c r="BZ18" s="13">
        <f>BY18*VLOOKUP('Données projet'!$B$12,Paramètres!$A$1:$I$89,3,0)*VLOOKUP('Données projet'!$B$12,Paramètres!$A$1:$I$89,5,0)</f>
        <v>55.567645714285739</v>
      </c>
      <c r="CA18" s="13">
        <f t="shared" si="39"/>
        <v>16.042674851771864</v>
      </c>
      <c r="CB18" s="20">
        <f t="shared" si="10"/>
        <v>124.72130831921697</v>
      </c>
      <c r="CC18" s="59">
        <f t="shared" si="11"/>
        <v>329.21805825209799</v>
      </c>
      <c r="CD18" s="59">
        <f ca="1">AVERAGE(OFFSET($CC$3,0,0,'Données projet'!$E$12+1,1))-AVERAGE(OFFSET($H$3,0,0,'Données projet'!$E$12+1,1))</f>
        <v>681.47578137804555</v>
      </c>
      <c r="CE18" s="59">
        <f t="shared" si="40"/>
        <v>300.88511065995885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20.512820512820511</v>
      </c>
      <c r="CR18" s="12">
        <f>VLOOKUP(A18,'Données projet'!$A$139:$I$159,9,0)</f>
        <v>1.3675213675213673</v>
      </c>
      <c r="CS18" s="12">
        <f t="array" ref="CS18">INDEX(CR:CR,MIN(IF(ISNUMBER(CR18:CR214),ROW(CR18:CR214),"")))</f>
        <v>1.3675213675213673</v>
      </c>
      <c r="CT18" s="12">
        <f>IF('Données projet'!$A$140&gt;35,CT17+CS18-DB17,IF(A18&lt;'Données projet'!$A$140,$CQ$205^A18,IF(A18='Données projet'!$A$140,'Données projet'!$B$140,CT17+CS18-DB17)))</f>
        <v>20.512820512820511</v>
      </c>
      <c r="CU18" s="17">
        <f>CT18*VLOOKUP('Données projet'!$B$13,Paramètres!$A$1:$I$89,3,0)*VLOOKUP('Données projet'!$B$13,Paramètres!$A$1:$I$89,5,0)</f>
        <v>16.64</v>
      </c>
      <c r="CV18" s="13">
        <f t="shared" si="41"/>
        <v>5.5279377033728423</v>
      </c>
      <c r="CW18" s="20">
        <f t="shared" si="13"/>
        <v>38.609158166707701</v>
      </c>
      <c r="CX18" s="59">
        <f t="shared" si="14"/>
        <v>243.10590809958876</v>
      </c>
      <c r="CY18" s="59">
        <f ca="1">AVERAGE(OFFSET($CX$3,0,0,'Données projet'!$E$13+1,1))-AVERAGE(OFFSET($H$3,0,0,'Données projet'!$E$13+1,1))</f>
        <v>186.54446846714993</v>
      </c>
      <c r="CZ18" s="59">
        <f t="shared" si="42"/>
        <v>154.43773051601286</v>
      </c>
      <c r="DA18" s="15">
        <f>IF(ISNA(VLOOKUP(A18,'Données projet'!$A$139:$I$159,3,0)),0,VLOOKUP(A18,'Données projet'!$A$139:$I$159,3,0))</f>
        <v>1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0.1075</v>
      </c>
      <c r="DE18" s="16">
        <f>IF(ISNA(VLOOKUP(A18,'Données projet'!$A$139:$I$159,7,0)),0%,VLOOKUP(A18,'Données projet'!$A$139:$I$159,7,0))</f>
        <v>0.25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3.15468085106383</v>
      </c>
      <c r="DO18" s="12">
        <f>IF('Données projet'!$A$166&gt;35,DO17+DN18-DW17,IF(A18&lt;'Données projet'!$A$166,$DL$205^A18,IF(A18='Données projet'!$A$166,'Données projet'!$B$166,DO17+DN18-DW17)))</f>
        <v>47.32021276595745</v>
      </c>
      <c r="DP18" s="17">
        <f>DO18*VLOOKUP('Données projet'!$B$14,Paramètres!$A$1:$I$89,3,0)*VLOOKUP('Données projet'!$B$14,Paramètres!$A$1:$I$89,5,0)</f>
        <v>53.888258297872341</v>
      </c>
      <c r="DQ18" s="13">
        <f t="shared" si="43"/>
        <v>15.613500924064946</v>
      </c>
      <c r="DR18" s="20">
        <f t="shared" si="16"/>
        <v>121.04889731154078</v>
      </c>
      <c r="DS18" s="59">
        <f t="shared" si="17"/>
        <v>325.54564724442184</v>
      </c>
      <c r="DT18" s="59">
        <f ca="1">AVERAGE(OFFSET($DS$3,0,0,'Données projet'!$E$14+1,1))-AVERAGE(OFFSET($H$3,0,0,'Données projet'!$E$14+1,1))</f>
        <v>651.35546372812314</v>
      </c>
      <c r="DU18" s="59">
        <f t="shared" si="44"/>
        <v>293.6561676213388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>
        <f>VLOOKUP(A18,'Données projet'!$A$191:$I$211,2,0)</f>
        <v>38.46153846153846</v>
      </c>
      <c r="EH18" s="12">
        <f>VLOOKUP(A18,'Données projet'!$A$191:$I$211,9,0)</f>
        <v>4.7435897435897427</v>
      </c>
      <c r="EI18" s="12">
        <f t="array" ref="EI18">INDEX(EH:EH,MIN(IF(ISNUMBER(EH18:EH214),ROW(EH18:EH214),"")))</f>
        <v>4.7435897435897427</v>
      </c>
      <c r="EJ18" s="12">
        <f>IF('Données projet'!$A$192&gt;35,EJ17+EI18-ER17,IF(A18&lt;'Données projet'!$A$192,$EG$205^A18,IF(A18='Données projet'!$A$192,'Données projet'!$B$192,EJ17+EI18-ER17)))</f>
        <v>38.46153846153846</v>
      </c>
      <c r="EK18" s="17">
        <f>EJ18*VLOOKUP('Données projet'!$B$15,Paramètres!$A$1:$I$89,3,0)*VLOOKUP('Données projet'!$B$15,Paramètres!$A$1:$I$89,5,0)</f>
        <v>40.200000000000003</v>
      </c>
      <c r="EL18" s="13">
        <f t="shared" si="45"/>
        <v>12.051641531440687</v>
      </c>
      <c r="EM18" s="20">
        <f t="shared" si="19"/>
        <v>91.004942333925854</v>
      </c>
      <c r="EN18" s="59">
        <f t="shared" si="20"/>
        <v>295.50169226680691</v>
      </c>
      <c r="EO18" s="59">
        <f ca="1">AVERAGE(OFFSET($EN$3,0,0,'Données projet'!$E$15+1,1))-AVERAGE(OFFSET($H$3,0,0,'Données projet'!$E$15+1,1))</f>
        <v>290.69667785754848</v>
      </c>
      <c r="EP18" s="59">
        <f t="shared" si="46"/>
        <v>256.28124185489082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0.215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4.0942857142857143</v>
      </c>
      <c r="N19" s="13">
        <f>IF('Données projet'!$A$36&gt;35,N18+M19-V18,IF(A19&lt;'Données projet'!$A$36,$K$205^A19,IF(A19='Données projet'!$A$36,'Données projet'!$B$36,N18+M19-V18)))</f>
        <v>65.508571428571457</v>
      </c>
      <c r="O19" s="13">
        <f>N19*VLOOKUP('Données projet'!$B$9,Paramètres!$A$1:$I$89,3,0)*VLOOKUP('Données projet'!$B$9,Paramètres!$A$1:$I$89,5,0)</f>
        <v>66.425691428571454</v>
      </c>
      <c r="P19" s="13">
        <f t="shared" si="33"/>
        <v>18.783141422895284</v>
      </c>
      <c r="Q19" s="20">
        <f t="shared" si="2"/>
        <v>148.40538388297122</v>
      </c>
      <c r="R19" s="59">
        <f t="shared" si="0"/>
        <v>355.34742980508531</v>
      </c>
      <c r="S19" s="59">
        <f ca="1">AVERAGE(OFFSET($R$3,0,0,'Données projet'!$E$9+1,1))-AVERAGE(OFFSET($H$3,0,0,'Données projet'!$E$9+1,1))</f>
        <v>752.45542076695506</v>
      </c>
      <c r="T19" s="59">
        <f t="shared" si="34"/>
        <v>329.70629768420724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13.8</v>
      </c>
      <c r="AI19" s="13">
        <f>IF('Données projet'!$A$62&gt;35,AI18+AH19-AQ18,IF(A19&lt;'Données projet'!$A$62,$AF$205^A19,IF(A19='Données projet'!$A$62,'Données projet'!$B$62,AI18+AH19-AQ18)))</f>
        <v>46.8</v>
      </c>
      <c r="AJ19" s="13">
        <f>AI19*VLOOKUP('Données projet'!$B$10,Paramètres!$A$1:$I$89,3,0)*VLOOKUP('Données projet'!$B$10,Paramètres!$A$1:$I$89,5,0)</f>
        <v>40.884480000000003</v>
      </c>
      <c r="AK19" s="13">
        <f t="shared" si="35"/>
        <v>12.23277918777527</v>
      </c>
      <c r="AL19" s="20">
        <f t="shared" si="4"/>
        <v>92.512559752041952</v>
      </c>
      <c r="AM19" s="59">
        <f t="shared" si="5"/>
        <v>299.45460567415603</v>
      </c>
      <c r="AN19" s="59">
        <f ca="1">AVERAGE(OFFSET($AM$3,0,0,'Données projet'!$E$10+1,1))-AVERAGE(OFFSET($H$3,0,0,'Données projet'!$E$10+1,1))</f>
        <v>408.246209980743</v>
      </c>
      <c r="AO19" s="59">
        <f t="shared" si="36"/>
        <v>394.10236303013903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3.9670806927887265</v>
      </c>
      <c r="AW19" s="21">
        <f>EXP(-LN(2)/2)*AW18+(1-EXP(-LN(2)/2))/(LN(2)/2)*AQ19*AT19*VLOOKUP('Données projet'!$B$10,Paramètres!$A$1:$I$89,3,0)*0.475*44/12</f>
        <v>4.6627476049154808</v>
      </c>
      <c r="AX19" s="21">
        <f t="shared" si="6"/>
        <v>8.6298282977042078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4.0942857142857143</v>
      </c>
      <c r="BD19" s="12">
        <f>IF('Données projet'!$A$88&gt;35,BD18+BC19-BL18,IF(A19&lt;'Données projet'!$A$88,$BA$205^A19,IF(A19='Données projet'!$A$88,'Données projet'!$B$88,BD18+BC19-BL18)))</f>
        <v>65.508571428571457</v>
      </c>
      <c r="BE19" s="13">
        <f>BD19*VLOOKUP('Données projet'!$B$11,Paramètres!$A$1:$I$89,3,0)*VLOOKUP('Données projet'!$B$11,Paramètres!$A$1:$I$89,5,0)</f>
        <v>62.337956571428599</v>
      </c>
      <c r="BF19" s="13">
        <f t="shared" si="37"/>
        <v>17.758056307144972</v>
      </c>
      <c r="BG19" s="20">
        <f t="shared" si="7"/>
        <v>139.50055576351562</v>
      </c>
      <c r="BH19" s="59">
        <f t="shared" si="8"/>
        <v>346.44260168562971</v>
      </c>
      <c r="BI19" s="59">
        <f ca="1">AVERAGE(OFFSET($BH$3,0,0,'Données projet'!$E$11+1,1))-AVERAGE(OFFSET($H$3,0,0,'Données projet'!$E$11+1,1))</f>
        <v>711.91538686535682</v>
      </c>
      <c r="BJ19" s="59">
        <f t="shared" si="38"/>
        <v>313.24593837351722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4.0942857142857143</v>
      </c>
      <c r="BY19" s="12">
        <f>IF('Données projet'!$A$114&gt;35,BY18+BX19-CG18,IF(A19&lt;'Données projet'!$A$114,$BV$205^A19,IF(A19='Données projet'!$A$114,'Données projet'!$B$114,BY18+BX19-CG18)))</f>
        <v>65.508571428571457</v>
      </c>
      <c r="BZ19" s="13">
        <f>BY19*VLOOKUP('Données projet'!$B$12,Paramètres!$A$1:$I$89,3,0)*VLOOKUP('Données projet'!$B$12,Paramètres!$A$1:$I$89,5,0)</f>
        <v>59.272155428571445</v>
      </c>
      <c r="CA19" s="13">
        <f t="shared" si="39"/>
        <v>16.984116557241595</v>
      </c>
      <c r="CB19" s="20">
        <f t="shared" si="10"/>
        <v>132.81300704195772</v>
      </c>
      <c r="CC19" s="59">
        <f t="shared" si="11"/>
        <v>339.75505296407175</v>
      </c>
      <c r="CD19" s="59">
        <f ca="1">AVERAGE(OFFSET($CC$3,0,0,'Données projet'!$E$12+1,1))-AVERAGE(OFFSET($H$3,0,0,'Données projet'!$E$12+1,1))</f>
        <v>681.47578137804555</v>
      </c>
      <c r="CE19" s="59">
        <f t="shared" si="40"/>
        <v>300.88511065995885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2.8205128205128203</v>
      </c>
      <c r="CT19" s="12">
        <f>IF('Données projet'!$A$140&gt;35,CT18+CS19-DB18,IF(A19&lt;'Données projet'!$A$140,$CQ$205^A19,IF(A19='Données projet'!$A$140,'Données projet'!$B$140,CT18+CS19-DB18)))</f>
        <v>23.333333333333332</v>
      </c>
      <c r="CU19" s="17">
        <f>CT19*VLOOKUP('Données projet'!$B$13,Paramètres!$A$1:$I$89,3,0)*VLOOKUP('Données projet'!$B$13,Paramètres!$A$1:$I$89,5,0)</f>
        <v>18.928000000000001</v>
      </c>
      <c r="CV19" s="13">
        <f t="shared" si="41"/>
        <v>6.1944364515705423</v>
      </c>
      <c r="CW19" s="20">
        <f t="shared" si="13"/>
        <v>43.754910153152025</v>
      </c>
      <c r="CX19" s="59">
        <f t="shared" si="14"/>
        <v>250.69695607526609</v>
      </c>
      <c r="CY19" s="59">
        <f ca="1">AVERAGE(OFFSET($CX$3,0,0,'Données projet'!$E$13+1,1))-AVERAGE(OFFSET($H$3,0,0,'Données projet'!$E$13+1,1))</f>
        <v>186.54446846714993</v>
      </c>
      <c r="CZ19" s="59">
        <f t="shared" si="42"/>
        <v>154.43773051601286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3.15468085106383</v>
      </c>
      <c r="DO19" s="12">
        <f>IF('Données projet'!$A$166&gt;35,DO18+DN19-DW18,IF(A19&lt;'Données projet'!$A$166,$DL$205^A19,IF(A19='Données projet'!$A$166,'Données projet'!$B$166,DO18+DN19-DW18)))</f>
        <v>50.47489361702128</v>
      </c>
      <c r="DP19" s="17">
        <f>DO19*VLOOKUP('Données projet'!$B$14,Paramètres!$A$1:$I$89,3,0)*VLOOKUP('Données projet'!$B$14,Paramètres!$A$1:$I$89,5,0)</f>
        <v>57.480808851063834</v>
      </c>
      <c r="DQ19" s="13">
        <f t="shared" si="43"/>
        <v>16.529757164007481</v>
      </c>
      <c r="DR19" s="20">
        <f t="shared" si="16"/>
        <v>128.90173580958253</v>
      </c>
      <c r="DS19" s="59">
        <f t="shared" si="17"/>
        <v>335.84378173169659</v>
      </c>
      <c r="DT19" s="59">
        <f ca="1">AVERAGE(OFFSET($DS$3,0,0,'Données projet'!$E$14+1,1))-AVERAGE(OFFSET($H$3,0,0,'Données projet'!$E$14+1,1))</f>
        <v>651.35546372812314</v>
      </c>
      <c r="DU19" s="59">
        <f t="shared" si="44"/>
        <v>293.6561676213388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6.1538461538461533</v>
      </c>
      <c r="EJ19" s="12">
        <f>IF('Données projet'!$A$192&gt;35,EJ18+EI19-ER18,IF(A19&lt;'Données projet'!$A$192,$EG$205^A19,IF(A19='Données projet'!$A$192,'Données projet'!$B$192,EJ18+EI19-ER18)))</f>
        <v>44.615384615384613</v>
      </c>
      <c r="EK19" s="17">
        <f>EJ19*VLOOKUP('Données projet'!$B$15,Paramètres!$A$1:$I$89,3,0)*VLOOKUP('Données projet'!$B$15,Paramètres!$A$1:$I$89,5,0)</f>
        <v>46.632000000000005</v>
      </c>
      <c r="EL19" s="13">
        <f t="shared" si="45"/>
        <v>13.740460394752377</v>
      </c>
      <c r="EM19" s="20">
        <f t="shared" si="19"/>
        <v>105.14870185419373</v>
      </c>
      <c r="EN19" s="59">
        <f t="shared" si="20"/>
        <v>312.09074777630781</v>
      </c>
      <c r="EO19" s="59">
        <f ca="1">AVERAGE(OFFSET($EN$3,0,0,'Données projet'!$E$15+1,1))-AVERAGE(OFFSET($H$3,0,0,'Données projet'!$E$15+1,1))</f>
        <v>290.69667785754848</v>
      </c>
      <c r="EP19" s="59">
        <f t="shared" si="46"/>
        <v>256.28124185489082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4.0942857142857143</v>
      </c>
      <c r="N20" s="13">
        <f>IF('Données projet'!$A$36&gt;35,N19+M20-V19,IF(A20&lt;'Données projet'!$A$36,$K$205^A20,IF(A20='Données projet'!$A$36,'Données projet'!$B$36,N19+M20-V19)))</f>
        <v>69.602857142857175</v>
      </c>
      <c r="O20" s="13">
        <f>N20*VLOOKUP('Données projet'!$B$9,Paramètres!$A$1:$I$89,3,0)*VLOOKUP('Données projet'!$B$9,Paramètres!$A$1:$I$89,5,0)</f>
        <v>70.577297142857176</v>
      </c>
      <c r="P20" s="13">
        <f t="shared" si="33"/>
        <v>19.816752197053003</v>
      </c>
      <c r="Q20" s="20">
        <f t="shared" si="2"/>
        <v>157.43630260034357</v>
      </c>
      <c r="R20" s="59">
        <f t="shared" si="0"/>
        <v>366.80242691621629</v>
      </c>
      <c r="S20" s="59">
        <f ca="1">AVERAGE(OFFSET($R$3,0,0,'Données projet'!$E$9+1,1))-AVERAGE(OFFSET($H$3,0,0,'Données projet'!$E$9+1,1))</f>
        <v>752.45542076695506</v>
      </c>
      <c r="T20" s="59">
        <f t="shared" si="34"/>
        <v>329.70629768420724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13.8</v>
      </c>
      <c r="AI20" s="13">
        <f>IF('Données projet'!$A$62&gt;35,AI19+AH20-AQ19,IF(A20&lt;'Données projet'!$A$62,$AF$205^A20,IF(A20='Données projet'!$A$62,'Données projet'!$B$62,AI19+AH20-AQ19)))</f>
        <v>60.599999999999994</v>
      </c>
      <c r="AJ20" s="13">
        <f>AI20*VLOOKUP('Données projet'!$B$10,Paramètres!$A$1:$I$89,3,0)*VLOOKUP('Données projet'!$B$10,Paramètres!$A$1:$I$89,5,0)</f>
        <v>52.940159999999999</v>
      </c>
      <c r="AK20" s="13">
        <f t="shared" si="35"/>
        <v>15.37052534377243</v>
      </c>
      <c r="AL20" s="20">
        <f t="shared" si="4"/>
        <v>118.97444364040366</v>
      </c>
      <c r="AM20" s="59">
        <f t="shared" si="5"/>
        <v>328.3405679562764</v>
      </c>
      <c r="AN20" s="59">
        <f ca="1">AVERAGE(OFFSET($AM$3,0,0,'Données projet'!$E$10+1,1))-AVERAGE(OFFSET($H$3,0,0,'Données projet'!$E$10+1,1))</f>
        <v>408.246209980743</v>
      </c>
      <c r="AO20" s="59">
        <f t="shared" si="36"/>
        <v>394.10236303013903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3.858600662624712</v>
      </c>
      <c r="AW20" s="21">
        <f>EXP(-LN(2)/2)*AW19+(1-EXP(-LN(2)/2))/(LN(2)/2)*AQ20*AT20*VLOOKUP('Données projet'!$B$10,Paramètres!$A$1:$I$89,3,0)*0.475*44/12</f>
        <v>3.2970604503970695</v>
      </c>
      <c r="AX20" s="21">
        <f t="shared" si="6"/>
        <v>7.1556611130217815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4.0942857142857143</v>
      </c>
      <c r="BD20" s="12">
        <f>IF('Données projet'!$A$88&gt;35,BD19+BC20-BL19,IF(A20&lt;'Données projet'!$A$88,$BA$205^A20,IF(A20='Données projet'!$A$88,'Données projet'!$B$88,BD19+BC20-BL19)))</f>
        <v>69.602857142857175</v>
      </c>
      <c r="BE20" s="13">
        <f>BD20*VLOOKUP('Données projet'!$B$11,Paramètres!$A$1:$I$89,3,0)*VLOOKUP('Données projet'!$B$11,Paramètres!$A$1:$I$89,5,0)</f>
        <v>66.23407885714289</v>
      </c>
      <c r="BF20" s="13">
        <f t="shared" si="37"/>
        <v>18.735258038948551</v>
      </c>
      <c r="BG20" s="20">
        <f t="shared" si="7"/>
        <v>147.98826176069258</v>
      </c>
      <c r="BH20" s="59">
        <f t="shared" si="8"/>
        <v>357.35438607656533</v>
      </c>
      <c r="BI20" s="59">
        <f ca="1">AVERAGE(OFFSET($BH$3,0,0,'Données projet'!$E$11+1,1))-AVERAGE(OFFSET($H$3,0,0,'Données projet'!$E$11+1,1))</f>
        <v>711.91538686535682</v>
      </c>
      <c r="BJ20" s="59">
        <f t="shared" si="38"/>
        <v>313.24593837351722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4.0942857142857143</v>
      </c>
      <c r="BY20" s="12">
        <f>IF('Données projet'!$A$114&gt;35,BY19+BX20-CG19,IF(A20&lt;'Données projet'!$A$114,$BV$205^A20,IF(A20='Données projet'!$A$114,'Données projet'!$B$114,BY19+BX20-CG19)))</f>
        <v>69.602857142857175</v>
      </c>
      <c r="BZ20" s="13">
        <f>BY20*VLOOKUP('Données projet'!$B$12,Paramètres!$A$1:$I$89,3,0)*VLOOKUP('Données projet'!$B$12,Paramètres!$A$1:$I$89,5,0)</f>
        <v>62.976665142857165</v>
      </c>
      <c r="CA20" s="13">
        <f t="shared" si="39"/>
        <v>17.918729435240664</v>
      </c>
      <c r="CB20" s="20">
        <f t="shared" si="10"/>
        <v>140.89281222352039</v>
      </c>
      <c r="CC20" s="59">
        <f t="shared" si="11"/>
        <v>350.25893653939312</v>
      </c>
      <c r="CD20" s="59">
        <f ca="1">AVERAGE(OFFSET($CC$3,0,0,'Données projet'!$E$12+1,1))-AVERAGE(OFFSET($H$3,0,0,'Données projet'!$E$12+1,1))</f>
        <v>681.47578137804555</v>
      </c>
      <c r="CE20" s="59">
        <f t="shared" si="40"/>
        <v>300.88511065995885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2.8205128205128203</v>
      </c>
      <c r="CT20" s="12">
        <f>IF('Données projet'!$A$140&gt;35,CT19+CS20-DB19,IF(A20&lt;'Données projet'!$A$140,$CQ$205^A20,IF(A20='Données projet'!$A$140,'Données projet'!$B$140,CT19+CS20-DB19)))</f>
        <v>26.153846153846153</v>
      </c>
      <c r="CU20" s="17">
        <f>CT20*VLOOKUP('Données projet'!$B$13,Paramètres!$A$1:$I$89,3,0)*VLOOKUP('Données projet'!$B$13,Paramètres!$A$1:$I$89,5,0)</f>
        <v>21.216000000000001</v>
      </c>
      <c r="CV20" s="13">
        <f t="shared" si="41"/>
        <v>6.8515990331828363</v>
      </c>
      <c r="CW20" s="20">
        <f t="shared" si="13"/>
        <v>48.884401649460102</v>
      </c>
      <c r="CX20" s="59">
        <f t="shared" si="14"/>
        <v>258.25052596533283</v>
      </c>
      <c r="CY20" s="59">
        <f ca="1">AVERAGE(OFFSET($CX$3,0,0,'Données projet'!$E$13+1,1))-AVERAGE(OFFSET($H$3,0,0,'Données projet'!$E$13+1,1))</f>
        <v>186.54446846714993</v>
      </c>
      <c r="CZ20" s="59">
        <f t="shared" si="42"/>
        <v>154.43773051601286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3.15468085106383</v>
      </c>
      <c r="DO20" s="12">
        <f>IF('Données projet'!$A$166&gt;35,DO19+DN20-DW19,IF(A20&lt;'Données projet'!$A$166,$DL$205^A20,IF(A20='Données projet'!$A$166,'Données projet'!$B$166,DO19+DN20-DW19)))</f>
        <v>53.62957446808511</v>
      </c>
      <c r="DP20" s="17">
        <f>DO20*VLOOKUP('Données projet'!$B$14,Paramètres!$A$1:$I$89,3,0)*VLOOKUP('Données projet'!$B$14,Paramètres!$A$1:$I$89,5,0)</f>
        <v>61.073359404255321</v>
      </c>
      <c r="DQ20" s="13">
        <f t="shared" si="43"/>
        <v>17.439367261395297</v>
      </c>
      <c r="DR20" s="20">
        <f t="shared" si="16"/>
        <v>136.7429989426748</v>
      </c>
      <c r="DS20" s="59">
        <f t="shared" si="17"/>
        <v>346.10912325854753</v>
      </c>
      <c r="DT20" s="59">
        <f ca="1">AVERAGE(OFFSET($DS$3,0,0,'Données projet'!$E$14+1,1))-AVERAGE(OFFSET($H$3,0,0,'Données projet'!$E$14+1,1))</f>
        <v>651.35546372812314</v>
      </c>
      <c r="DU20" s="59">
        <f t="shared" si="44"/>
        <v>293.6561676213388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6.1538461538461533</v>
      </c>
      <c r="EJ20" s="12">
        <f>IF('Données projet'!$A$192&gt;35,EJ19+EI20-ER19,IF(A20&lt;'Données projet'!$A$192,$EG$205^A20,IF(A20='Données projet'!$A$192,'Données projet'!$B$192,EJ19+EI20-ER19)))</f>
        <v>50.769230769230766</v>
      </c>
      <c r="EK20" s="17">
        <f>EJ20*VLOOKUP('Données projet'!$B$15,Paramètres!$A$1:$I$89,3,0)*VLOOKUP('Données projet'!$B$15,Paramètres!$A$1:$I$89,5,0)</f>
        <v>53.064000000000007</v>
      </c>
      <c r="EL20" s="13">
        <f t="shared" si="45"/>
        <v>15.402291234172077</v>
      </c>
      <c r="EM20" s="20">
        <f t="shared" si="19"/>
        <v>119.24545723284972</v>
      </c>
      <c r="EN20" s="59">
        <f t="shared" si="20"/>
        <v>328.61158154872243</v>
      </c>
      <c r="EO20" s="59">
        <f ca="1">AVERAGE(OFFSET($EN$3,0,0,'Données projet'!$E$15+1,1))-AVERAGE(OFFSET($H$3,0,0,'Données projet'!$E$15+1,1))</f>
        <v>290.69667785754848</v>
      </c>
      <c r="EP20" s="59">
        <f t="shared" si="46"/>
        <v>256.28124185489082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4.0942857142857143</v>
      </c>
      <c r="N21" s="13">
        <f>IF('Données projet'!$A$36&gt;35,N20+M21-V20,IF(A21&lt;'Données projet'!$A$36,$K$205^A21,IF(A21='Données projet'!$A$36,'Données projet'!$B$36,N20+M21-V20)))</f>
        <v>73.697142857142893</v>
      </c>
      <c r="O21" s="13">
        <f>N21*VLOOKUP('Données projet'!$B$9,Paramètres!$A$1:$I$89,3,0)*VLOOKUP('Données projet'!$B$9,Paramètres!$A$1:$I$89,5,0)</f>
        <v>74.728902857142899</v>
      </c>
      <c r="P21" s="13">
        <f t="shared" si="33"/>
        <v>20.843305655503205</v>
      </c>
      <c r="Q21" s="20">
        <f t="shared" si="2"/>
        <v>166.45492982619194</v>
      </c>
      <c r="R21" s="59">
        <f t="shared" si="0"/>
        <v>378.22428301819502</v>
      </c>
      <c r="S21" s="59">
        <f ca="1">AVERAGE(OFFSET($R$3,0,0,'Données projet'!$E$9+1,1))-AVERAGE(OFFSET($H$3,0,0,'Données projet'!$E$9+1,1))</f>
        <v>752.45542076695506</v>
      </c>
      <c r="T21" s="59">
        <f t="shared" si="34"/>
        <v>329.70629768420724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13.8</v>
      </c>
      <c r="AI21" s="13">
        <f>IF('Données projet'!$A$62&gt;35,AI20+AH21-AQ20,IF(A21&lt;'Données projet'!$A$62,$AF$205^A21,IF(A21='Données projet'!$A$62,'Données projet'!$B$62,AI20+AH21-AQ20)))</f>
        <v>74.399999999999991</v>
      </c>
      <c r="AJ21" s="13">
        <f>AI21*VLOOKUP('Données projet'!$B$10,Paramètres!$A$1:$I$89,3,0)*VLOOKUP('Données projet'!$B$10,Paramètres!$A$1:$I$89,5,0)</f>
        <v>64.995840000000001</v>
      </c>
      <c r="AK21" s="13">
        <f t="shared" si="35"/>
        <v>18.425434860828894</v>
      </c>
      <c r="AL21" s="20">
        <f t="shared" si="4"/>
        <v>145.29205371594367</v>
      </c>
      <c r="AM21" s="59">
        <f t="shared" si="5"/>
        <v>357.06140690794678</v>
      </c>
      <c r="AN21" s="59">
        <f ca="1">AVERAGE(OFFSET($AM$3,0,0,'Données projet'!$E$10+1,1))-AVERAGE(OFFSET($H$3,0,0,'Données projet'!$E$10+1,1))</f>
        <v>408.246209980743</v>
      </c>
      <c r="AO21" s="59">
        <f t="shared" si="36"/>
        <v>394.10236303013903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3.7530870245902492</v>
      </c>
      <c r="AW21" s="21">
        <f>EXP(-LN(2)/2)*AW20+(1-EXP(-LN(2)/2))/(LN(2)/2)*AQ21*AT21*VLOOKUP('Données projet'!$B$10,Paramètres!$A$1:$I$89,3,0)*0.475*44/12</f>
        <v>2.3313738024577408</v>
      </c>
      <c r="AX21" s="21">
        <f t="shared" si="6"/>
        <v>6.0844608270479901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4.0942857142857143</v>
      </c>
      <c r="BD21" s="12">
        <f>IF('Données projet'!$A$88&gt;35,BD20+BC21-BL20,IF(A21&lt;'Données projet'!$A$88,$BA$205^A21,IF(A21='Données projet'!$A$88,'Données projet'!$B$88,BD20+BC21-BL20)))</f>
        <v>73.697142857142893</v>
      </c>
      <c r="BE21" s="13">
        <f>BD21*VLOOKUP('Données projet'!$B$11,Paramètres!$A$1:$I$89,3,0)*VLOOKUP('Données projet'!$B$11,Paramètres!$A$1:$I$89,5,0)</f>
        <v>70.130201142857175</v>
      </c>
      <c r="BF21" s="13">
        <f t="shared" si="37"/>
        <v>19.705787606235543</v>
      </c>
      <c r="BG21" s="20">
        <f t="shared" si="7"/>
        <v>156.46434707133648</v>
      </c>
      <c r="BH21" s="59">
        <f t="shared" si="8"/>
        <v>368.23370026333959</v>
      </c>
      <c r="BI21" s="59">
        <f ca="1">AVERAGE(OFFSET($BH$3,0,0,'Données projet'!$E$11+1,1))-AVERAGE(OFFSET($H$3,0,0,'Données projet'!$E$11+1,1))</f>
        <v>711.91538686535682</v>
      </c>
      <c r="BJ21" s="59">
        <f t="shared" si="38"/>
        <v>313.24593837351722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4.0942857142857143</v>
      </c>
      <c r="BY21" s="12">
        <f>IF('Données projet'!$A$114&gt;35,BY20+BX21-CG20,IF(A21&lt;'Données projet'!$A$114,$BV$205^A21,IF(A21='Données projet'!$A$114,'Données projet'!$B$114,BY20+BX21-CG20)))</f>
        <v>73.697142857142893</v>
      </c>
      <c r="BZ21" s="13">
        <f>BY21*VLOOKUP('Données projet'!$B$12,Paramètres!$A$1:$I$89,3,0)*VLOOKUP('Données projet'!$B$12,Paramètres!$A$1:$I$89,5,0)</f>
        <v>66.681174857142892</v>
      </c>
      <c r="CA21" s="13">
        <f t="shared" si="39"/>
        <v>18.846960938055496</v>
      </c>
      <c r="CB21" s="20">
        <f t="shared" si="10"/>
        <v>148.96150317663719</v>
      </c>
      <c r="CC21" s="59">
        <f t="shared" si="11"/>
        <v>360.73085636864027</v>
      </c>
      <c r="CD21" s="59">
        <f ca="1">AVERAGE(OFFSET($CC$3,0,0,'Données projet'!$E$12+1,1))-AVERAGE(OFFSET($H$3,0,0,'Données projet'!$E$12+1,1))</f>
        <v>681.47578137804555</v>
      </c>
      <c r="CE21" s="59">
        <f t="shared" si="40"/>
        <v>300.88511065995885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2.8205128205128203</v>
      </c>
      <c r="CT21" s="12">
        <f>IF('Données projet'!$A$140&gt;35,CT20+CS21-DB20,IF(A21&lt;'Données projet'!$A$140,$CQ$205^A21,IF(A21='Données projet'!$A$140,'Données projet'!$B$140,CT20+CS21-DB20)))</f>
        <v>28.974358974358974</v>
      </c>
      <c r="CU21" s="17">
        <f>CT21*VLOOKUP('Données projet'!$B$13,Paramètres!$A$1:$I$89,3,0)*VLOOKUP('Données projet'!$B$13,Paramètres!$A$1:$I$89,5,0)</f>
        <v>23.504000000000001</v>
      </c>
      <c r="CV21" s="13">
        <f t="shared" si="41"/>
        <v>7.5005470608564417</v>
      </c>
      <c r="CW21" s="20">
        <f t="shared" si="13"/>
        <v>53.999586130991638</v>
      </c>
      <c r="CX21" s="59">
        <f t="shared" si="14"/>
        <v>265.76893932299475</v>
      </c>
      <c r="CY21" s="59">
        <f ca="1">AVERAGE(OFFSET($CX$3,0,0,'Données projet'!$E$13+1,1))-AVERAGE(OFFSET($H$3,0,0,'Données projet'!$E$13+1,1))</f>
        <v>186.54446846714993</v>
      </c>
      <c r="CZ21" s="59">
        <f t="shared" si="42"/>
        <v>154.43773051601286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3.15468085106383</v>
      </c>
      <c r="DO21" s="12">
        <f>IF('Données projet'!$A$166&gt;35,DO20+DN21-DW20,IF(A21&lt;'Données projet'!$A$166,$DL$205^A21,IF(A21='Données projet'!$A$166,'Données projet'!$B$166,DO20+DN21-DW20)))</f>
        <v>56.78425531914894</v>
      </c>
      <c r="DP21" s="17">
        <f>DO21*VLOOKUP('Données projet'!$B$14,Paramètres!$A$1:$I$89,3,0)*VLOOKUP('Données projet'!$B$14,Paramètres!$A$1:$I$89,5,0)</f>
        <v>64.665909957446814</v>
      </c>
      <c r="DQ21" s="13">
        <f t="shared" si="43"/>
        <v>18.342766698263212</v>
      </c>
      <c r="DR21" s="20">
        <f t="shared" si="16"/>
        <v>144.5734451753616</v>
      </c>
      <c r="DS21" s="59">
        <f t="shared" si="17"/>
        <v>356.34279836736471</v>
      </c>
      <c r="DT21" s="59">
        <f ca="1">AVERAGE(OFFSET($DS$3,0,0,'Données projet'!$E$14+1,1))-AVERAGE(OFFSET($H$3,0,0,'Données projet'!$E$14+1,1))</f>
        <v>651.35546372812314</v>
      </c>
      <c r="DU21" s="59">
        <f t="shared" si="44"/>
        <v>293.6561676213388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6.1538461538461533</v>
      </c>
      <c r="EJ21" s="12">
        <f>IF('Données projet'!$A$192&gt;35,EJ20+EI21-ER20,IF(A21&lt;'Données projet'!$A$192,$EG$205^A21,IF(A21='Données projet'!$A$192,'Données projet'!$B$192,EJ20+EI21-ER20)))</f>
        <v>56.92307692307692</v>
      </c>
      <c r="EK21" s="17">
        <f>EJ21*VLOOKUP('Données projet'!$B$15,Paramètres!$A$1:$I$89,3,0)*VLOOKUP('Données projet'!$B$15,Paramètres!$A$1:$I$89,5,0)</f>
        <v>59.496000000000009</v>
      </c>
      <c r="EL21" s="13">
        <f t="shared" si="45"/>
        <v>17.040779507379909</v>
      </c>
      <c r="EM21" s="20">
        <f t="shared" si="19"/>
        <v>133.30155764202001</v>
      </c>
      <c r="EN21" s="59">
        <f t="shared" si="20"/>
        <v>345.07091083402315</v>
      </c>
      <c r="EO21" s="59">
        <f ca="1">AVERAGE(OFFSET($EN$3,0,0,'Données projet'!$E$15+1,1))-AVERAGE(OFFSET($H$3,0,0,'Données projet'!$E$15+1,1))</f>
        <v>290.69667785754848</v>
      </c>
      <c r="EP21" s="59">
        <f t="shared" si="46"/>
        <v>256.28124185489082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4.0942857142857143</v>
      </c>
      <c r="N22" s="13">
        <f>IF('Données projet'!$A$36&gt;35,N21+M22-V21,IF(A22&lt;'Données projet'!$A$36,$K$205^A22,IF(A22='Données projet'!$A$36,'Données projet'!$B$36,N21+M22-V21)))</f>
        <v>77.791428571428611</v>
      </c>
      <c r="O22" s="13">
        <f>N22*VLOOKUP('Données projet'!$B$9,Paramètres!$A$1:$I$89,3,0)*VLOOKUP('Données projet'!$B$9,Paramètres!$A$1:$I$89,5,0)</f>
        <v>78.880508571428621</v>
      </c>
      <c r="P22" s="13">
        <f t="shared" si="33"/>
        <v>21.863238557926771</v>
      </c>
      <c r="Q22" s="20">
        <f t="shared" si="2"/>
        <v>175.462026250294</v>
      </c>
      <c r="R22" s="59">
        <f t="shared" si="0"/>
        <v>389.6141204933175</v>
      </c>
      <c r="S22" s="59">
        <f ca="1">AVERAGE(OFFSET($R$3,0,0,'Données projet'!$E$9+1,1))-AVERAGE(OFFSET($H$3,0,0,'Données projet'!$E$9+1,1))</f>
        <v>752.45542076695506</v>
      </c>
      <c r="T22" s="59">
        <f t="shared" si="34"/>
        <v>329.70629768420724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13.8</v>
      </c>
      <c r="AI22" s="13">
        <f>IF('Données projet'!$A$62&gt;35,AI21+AH22-AQ21,IF(A22&lt;'Données projet'!$A$62,$AF$205^A22,IF(A22='Données projet'!$A$62,'Données projet'!$B$62,AI21+AH22-AQ21)))</f>
        <v>88.199999999999989</v>
      </c>
      <c r="AJ22" s="13">
        <f>AI22*VLOOKUP('Données projet'!$B$10,Paramètres!$A$1:$I$89,3,0)*VLOOKUP('Données projet'!$B$10,Paramètres!$A$1:$I$89,5,0)</f>
        <v>77.051519999999996</v>
      </c>
      <c r="AK22" s="13">
        <f t="shared" si="35"/>
        <v>21.414697423431697</v>
      </c>
      <c r="AL22" s="20">
        <f t="shared" si="4"/>
        <v>171.49532867914351</v>
      </c>
      <c r="AM22" s="59">
        <f t="shared" si="5"/>
        <v>385.64742292216704</v>
      </c>
      <c r="AN22" s="59">
        <f ca="1">AVERAGE(OFFSET($AM$3,0,0,'Données projet'!$E$10+1,1))-AVERAGE(OFFSET($H$3,0,0,'Données projet'!$E$10+1,1))</f>
        <v>408.246209980743</v>
      </c>
      <c r="AO22" s="59">
        <f t="shared" si="36"/>
        <v>394.10236303013903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3.6504586625365603</v>
      </c>
      <c r="AW22" s="21">
        <f>EXP(-LN(2)/2)*AW21+(1-EXP(-LN(2)/2))/(LN(2)/2)*AQ22*AT22*VLOOKUP('Données projet'!$B$10,Paramètres!$A$1:$I$89,3,0)*0.475*44/12</f>
        <v>1.6485302251985352</v>
      </c>
      <c r="AX22" s="21">
        <f t="shared" si="6"/>
        <v>5.2989888877350957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4.0942857142857143</v>
      </c>
      <c r="BD22" s="12">
        <f>IF('Données projet'!$A$88&gt;35,BD21+BC22-BL21,IF(A22&lt;'Données projet'!$A$88,$BA$205^A22,IF(A22='Données projet'!$A$88,'Données projet'!$B$88,BD21+BC22-BL21)))</f>
        <v>77.791428571428611</v>
      </c>
      <c r="BE22" s="13">
        <f>BD22*VLOOKUP('Données projet'!$B$11,Paramètres!$A$1:$I$89,3,0)*VLOOKUP('Données projet'!$B$11,Paramètres!$A$1:$I$89,5,0)</f>
        <v>74.026323428571473</v>
      </c>
      <c r="BF22" s="13">
        <f t="shared" si="37"/>
        <v>20.670057932639512</v>
      </c>
      <c r="BG22" s="20">
        <f t="shared" si="7"/>
        <v>164.92953087077578</v>
      </c>
      <c r="BH22" s="59">
        <f t="shared" si="8"/>
        <v>379.0816251137993</v>
      </c>
      <c r="BI22" s="59">
        <f ca="1">AVERAGE(OFFSET($BH$3,0,0,'Données projet'!$E$11+1,1))-AVERAGE(OFFSET($H$3,0,0,'Données projet'!$E$11+1,1))</f>
        <v>711.91538686535682</v>
      </c>
      <c r="BJ22" s="59">
        <f t="shared" si="38"/>
        <v>313.24593837351722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4.0942857142857143</v>
      </c>
      <c r="BY22" s="12">
        <f>IF('Données projet'!$A$114&gt;35,BY21+BX22-CG21,IF(A22&lt;'Données projet'!$A$114,$BV$205^A22,IF(A22='Données projet'!$A$114,'Données projet'!$B$114,BY21+BX22-CG21)))</f>
        <v>77.791428571428611</v>
      </c>
      <c r="BZ22" s="13">
        <f>BY22*VLOOKUP('Données projet'!$B$12,Paramètres!$A$1:$I$89,3,0)*VLOOKUP('Données projet'!$B$12,Paramètres!$A$1:$I$89,5,0)</f>
        <v>70.385684571428612</v>
      </c>
      <c r="CA22" s="13">
        <f t="shared" si="39"/>
        <v>19.769205993092573</v>
      </c>
      <c r="CB22" s="20">
        <f t="shared" si="10"/>
        <v>157.01976773320771</v>
      </c>
      <c r="CC22" s="59">
        <f t="shared" si="11"/>
        <v>371.17186197623124</v>
      </c>
      <c r="CD22" s="59">
        <f ca="1">AVERAGE(OFFSET($CC$3,0,0,'Données projet'!$E$12+1,1))-AVERAGE(OFFSET($H$3,0,0,'Données projet'!$E$12+1,1))</f>
        <v>681.47578137804555</v>
      </c>
      <c r="CE22" s="59">
        <f t="shared" si="40"/>
        <v>300.88511065995885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2.8205128205128203</v>
      </c>
      <c r="CT22" s="12">
        <f>IF('Données projet'!$A$140&gt;35,CT21+CS22-DB21,IF(A22&lt;'Données projet'!$A$140,$CQ$205^A22,IF(A22='Données projet'!$A$140,'Données projet'!$B$140,CT21+CS22-DB21)))</f>
        <v>31.794871794871796</v>
      </c>
      <c r="CU22" s="17">
        <f>CT22*VLOOKUP('Données projet'!$B$13,Paramètres!$A$1:$I$89,3,0)*VLOOKUP('Données projet'!$B$13,Paramètres!$A$1:$I$89,5,0)</f>
        <v>25.792000000000005</v>
      </c>
      <c r="CV22" s="13">
        <f t="shared" si="41"/>
        <v>8.1421711792342339</v>
      </c>
      <c r="CW22" s="20">
        <f t="shared" si="13"/>
        <v>59.102014803832958</v>
      </c>
      <c r="CX22" s="59">
        <f t="shared" si="14"/>
        <v>273.25410904685646</v>
      </c>
      <c r="CY22" s="59">
        <f ca="1">AVERAGE(OFFSET($CX$3,0,0,'Données projet'!$E$13+1,1))-AVERAGE(OFFSET($H$3,0,0,'Données projet'!$E$13+1,1))</f>
        <v>186.54446846714993</v>
      </c>
      <c r="CZ22" s="59">
        <f t="shared" si="42"/>
        <v>154.43773051601286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3.15468085106383</v>
      </c>
      <c r="DO22" s="12">
        <f>IF('Données projet'!$A$166&gt;35,DO21+DN22-DW21,IF(A22&lt;'Données projet'!$A$166,$DL$205^A22,IF(A22='Données projet'!$A$166,'Données projet'!$B$166,DO21+DN22-DW21)))</f>
        <v>59.93893617021277</v>
      </c>
      <c r="DP22" s="17">
        <f>DO22*VLOOKUP('Données projet'!$B$14,Paramètres!$A$1:$I$89,3,0)*VLOOKUP('Données projet'!$B$14,Paramètres!$A$1:$I$89,5,0)</f>
        <v>68.258460510638301</v>
      </c>
      <c r="DQ22" s="13">
        <f t="shared" si="43"/>
        <v>19.240339836912554</v>
      </c>
      <c r="DR22" s="20">
        <f t="shared" si="16"/>
        <v>152.39374393865108</v>
      </c>
      <c r="DS22" s="59">
        <f t="shared" si="17"/>
        <v>366.54583818167464</v>
      </c>
      <c r="DT22" s="59">
        <f ca="1">AVERAGE(OFFSET($DS$3,0,0,'Données projet'!$E$14+1,1))-AVERAGE(OFFSET($H$3,0,0,'Données projet'!$E$14+1,1))</f>
        <v>651.35546372812314</v>
      </c>
      <c r="DU22" s="59">
        <f t="shared" si="44"/>
        <v>293.6561676213388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6.1538461538461533</v>
      </c>
      <c r="EJ22" s="12">
        <f>IF('Données projet'!$A$192&gt;35,EJ21+EI22-ER21,IF(A22&lt;'Données projet'!$A$192,$EG$205^A22,IF(A22='Données projet'!$A$192,'Données projet'!$B$192,EJ21+EI22-ER21)))</f>
        <v>63.076923076923073</v>
      </c>
      <c r="EK22" s="17">
        <f>EJ22*VLOOKUP('Données projet'!$B$15,Paramètres!$A$1:$I$89,3,0)*VLOOKUP('Données projet'!$B$15,Paramètres!$A$1:$I$89,5,0)</f>
        <v>65.928000000000011</v>
      </c>
      <c r="EL22" s="13">
        <f t="shared" si="45"/>
        <v>18.658736410003279</v>
      </c>
      <c r="EM22" s="20">
        <f t="shared" si="19"/>
        <v>147.32189924742238</v>
      </c>
      <c r="EN22" s="59">
        <f t="shared" si="20"/>
        <v>361.47399349044588</v>
      </c>
      <c r="EO22" s="59">
        <f ca="1">AVERAGE(OFFSET($EN$3,0,0,'Données projet'!$E$15+1,1))-AVERAGE(OFFSET($H$3,0,0,'Données projet'!$E$15+1,1))</f>
        <v>290.69667785754848</v>
      </c>
      <c r="EP22" s="59">
        <f t="shared" si="46"/>
        <v>256.28124185489082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4.0942857142857143</v>
      </c>
      <c r="N23" s="13">
        <f>IF('Données projet'!$A$36&gt;35,N22+M23-V22,IF(A23&lt;'Données projet'!$A$36,$K$205^A23,IF(A23='Données projet'!$A$36,'Données projet'!$B$36,N22+M23-V22)))</f>
        <v>81.885714285714329</v>
      </c>
      <c r="O23" s="13">
        <f>N23*VLOOKUP('Données projet'!$B$9,Paramètres!$A$1:$I$89,3,0)*VLOOKUP('Données projet'!$B$9,Paramètres!$A$1:$I$89,5,0)</f>
        <v>83.032114285714343</v>
      </c>
      <c r="P23" s="13">
        <f t="shared" si="33"/>
        <v>22.876939092662138</v>
      </c>
      <c r="Q23" s="20">
        <f t="shared" si="2"/>
        <v>184.45826796733903</v>
      </c>
      <c r="R23" s="59">
        <f t="shared" si="0"/>
        <v>400.97297085423475</v>
      </c>
      <c r="S23" s="59">
        <f ca="1">AVERAGE(OFFSET($R$3,0,0,'Données projet'!$E$9+1,1))-AVERAGE(OFFSET($H$3,0,0,'Données projet'!$E$9+1,1))</f>
        <v>752.45542076695506</v>
      </c>
      <c r="T23" s="59">
        <f t="shared" si="34"/>
        <v>329.70629768420724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102</v>
      </c>
      <c r="AG23" s="12">
        <f>VLOOKUP(A23,'Données projet'!$A$61:$I$81,9,0)</f>
        <v>13.8</v>
      </c>
      <c r="AH23" s="12">
        <f t="array" ref="AH23">INDEX(AG:AG,MIN(IF(ISNUMBER(AG23:AG219),ROW(AG23:AG219),"")))</f>
        <v>13.8</v>
      </c>
      <c r="AI23" s="13">
        <f>IF('Données projet'!$A$62&gt;35,AI22+AH23-AQ22,IF(A23&lt;'Données projet'!$A$62,$AF$205^A23,IF(A23='Données projet'!$A$62,'Données projet'!$B$62,AI22+AH23-AQ22)))</f>
        <v>101.99999999999999</v>
      </c>
      <c r="AJ23" s="13">
        <f>AI23*VLOOKUP('Données projet'!$B$10,Paramètres!$A$1:$I$89,3,0)*VLOOKUP('Données projet'!$B$10,Paramètres!$A$1:$I$89,5,0)</f>
        <v>89.107200000000006</v>
      </c>
      <c r="AK23" s="13">
        <f t="shared" si="35"/>
        <v>24.349778356363352</v>
      </c>
      <c r="AL23" s="20">
        <f t="shared" si="4"/>
        <v>197.6042373039995</v>
      </c>
      <c r="AM23" s="59">
        <f t="shared" si="5"/>
        <v>414.11894019089522</v>
      </c>
      <c r="AN23" s="59">
        <f ca="1">AVERAGE(OFFSET($AM$3,0,0,'Données projet'!$E$10+1,1))-AVERAGE(OFFSET($H$3,0,0,'Données projet'!$E$10+1,1))</f>
        <v>408.246209980743</v>
      </c>
      <c r="AO23" s="59">
        <f t="shared" si="36"/>
        <v>394.10236303013903</v>
      </c>
      <c r="AP23" s="15">
        <f>IF(ISNA(VLOOKUP(A23,'Données projet'!$A$61:$I$81,3,0)),0,VLOOKUP(A23,'Données projet'!$A$61:$I$81,3,0))</f>
        <v>2</v>
      </c>
      <c r="AQ23" s="15">
        <f>IF(ISNA(VLOOKUP(A23,'Données projet'!$A$61:$I$81,4,0)),0,VLOOKUP(A23,'Données projet'!$A$61:$I$81,4,0))</f>
        <v>35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0.13250000000000001</v>
      </c>
      <c r="AT23" s="16">
        <f>IF(ISNA(VLOOKUP(A23,'Données projet'!$A$61:$I$81,7,0)),0%,VLOOKUP(A23,'Données projet'!$A$61:$I$81,7,0))</f>
        <v>0.25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8.0116169256300509</v>
      </c>
      <c r="AW23" s="21">
        <f>EXP(-LN(2)/2)*AW22+(1-EXP(-LN(2)/2))/(LN(2)/2)*AQ23*AT23*VLOOKUP('Données projet'!$B$10,Paramètres!$A$1:$I$89,3,0)*0.475*44/12</f>
        <v>8.3780066364724597</v>
      </c>
      <c r="AX23" s="21">
        <f t="shared" si="6"/>
        <v>16.389623562102511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4.0942857142857143</v>
      </c>
      <c r="BD23" s="12">
        <f>IF('Données projet'!$A$88&gt;35,BD22+BC23-BL22,IF(A23&lt;'Données projet'!$A$88,$BA$205^A23,IF(A23='Données projet'!$A$88,'Données projet'!$B$88,BD22+BC23-BL22)))</f>
        <v>81.885714285714329</v>
      </c>
      <c r="BE23" s="13">
        <f>BD23*VLOOKUP('Données projet'!$B$11,Paramètres!$A$1:$I$89,3,0)*VLOOKUP('Données projet'!$B$11,Paramètres!$A$1:$I$89,5,0)</f>
        <v>77.922445714285757</v>
      </c>
      <c r="BF23" s="13">
        <f t="shared" si="37"/>
        <v>21.628436021220121</v>
      </c>
      <c r="BG23" s="20">
        <f t="shared" si="7"/>
        <v>173.38445235600605</v>
      </c>
      <c r="BH23" s="59">
        <f t="shared" si="8"/>
        <v>389.89915524290177</v>
      </c>
      <c r="BI23" s="59">
        <f ca="1">AVERAGE(OFFSET($BH$3,0,0,'Données projet'!$E$11+1,1))-AVERAGE(OFFSET($H$3,0,0,'Données projet'!$E$11+1,1))</f>
        <v>711.91538686535682</v>
      </c>
      <c r="BJ23" s="59">
        <f t="shared" si="38"/>
        <v>313.24593837351722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4.0942857142857143</v>
      </c>
      <c r="BY23" s="12">
        <f>IF('Données projet'!$A$114&gt;35,BY22+BX23-CG22,IF(A23&lt;'Données projet'!$A$114,$BV$205^A23,IF(A23='Données projet'!$A$114,'Données projet'!$B$114,BY22+BX23-CG22)))</f>
        <v>81.885714285714329</v>
      </c>
      <c r="BZ23" s="13">
        <f>BY23*VLOOKUP('Données projet'!$B$12,Paramètres!$A$1:$I$89,3,0)*VLOOKUP('Données projet'!$B$12,Paramètres!$A$1:$I$89,5,0)</f>
        <v>74.090194285714318</v>
      </c>
      <c r="CA23" s="13">
        <f t="shared" si="39"/>
        <v>20.685815608516002</v>
      </c>
      <c r="CB23" s="20">
        <f t="shared" si="10"/>
        <v>165.06821723245113</v>
      </c>
      <c r="CC23" s="59">
        <f t="shared" si="11"/>
        <v>381.58292011934685</v>
      </c>
      <c r="CD23" s="59">
        <f ca="1">AVERAGE(OFFSET($CC$3,0,0,'Données projet'!$E$12+1,1))-AVERAGE(OFFSET($H$3,0,0,'Données projet'!$E$12+1,1))</f>
        <v>681.47578137804555</v>
      </c>
      <c r="CE23" s="59">
        <f t="shared" si="40"/>
        <v>300.88511065995885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34.615384615384613</v>
      </c>
      <c r="CR23" s="12">
        <f>VLOOKUP(A23,'Données projet'!$A$139:$I$159,9,0)</f>
        <v>2.8205128205128203</v>
      </c>
      <c r="CS23" s="12">
        <f t="array" ref="CS23">INDEX(CR:CR,MIN(IF(ISNUMBER(CR23:CR219),ROW(CR23:CR219),"")))</f>
        <v>2.8205128205128203</v>
      </c>
      <c r="CT23" s="12">
        <f>IF('Données projet'!$A$140&gt;35,CT22+CS23-DB22,IF(A23&lt;'Données projet'!$A$140,$CQ$205^A23,IF(A23='Données projet'!$A$140,'Données projet'!$B$140,CT22+CS23-DB22)))</f>
        <v>34.615384615384613</v>
      </c>
      <c r="CU23" s="17">
        <f>CT23*VLOOKUP('Données projet'!$B$13,Paramètres!$A$1:$I$89,3,0)*VLOOKUP('Données projet'!$B$13,Paramètres!$A$1:$I$89,5,0)</f>
        <v>28.080000000000002</v>
      </c>
      <c r="CV23" s="13">
        <f t="shared" si="41"/>
        <v>8.7771949685951878</v>
      </c>
      <c r="CW23" s="20">
        <f t="shared" si="13"/>
        <v>64.192947903636622</v>
      </c>
      <c r="CX23" s="59">
        <f t="shared" si="14"/>
        <v>280.70765079053234</v>
      </c>
      <c r="CY23" s="59">
        <f ca="1">AVERAGE(OFFSET($CX$3,0,0,'Données projet'!$E$13+1,1))-AVERAGE(OFFSET($H$3,0,0,'Données projet'!$E$13+1,1))</f>
        <v>186.54446846714993</v>
      </c>
      <c r="CZ23" s="59">
        <f t="shared" si="42"/>
        <v>154.43773051601286</v>
      </c>
      <c r="DA23" s="15">
        <f>IF(ISNA(VLOOKUP(A23,'Données projet'!$A$139:$I$159,3,0)),0,VLOOKUP(A23,'Données projet'!$A$139:$I$159,3,0))</f>
        <v>2</v>
      </c>
      <c r="DB23" s="15">
        <f>IF(ISNA(VLOOKUP(A23,'Données projet'!$A$139:$I$159,4,0)),0,VLOOKUP(A23,'Données projet'!$A$139:$I$159,4,0))</f>
        <v>5.7692307692307692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0.1075</v>
      </c>
      <c r="DE23" s="16">
        <f>IF(ISNA(VLOOKUP(A23,'Données projet'!$A$139:$I$159,7,0)),0%,VLOOKUP(A23,'Données projet'!$A$139:$I$159,7,0))</f>
        <v>0.25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0.55397232565218346</v>
      </c>
      <c r="DH23" s="21">
        <f>EXP(-LN(2)/2)*DH22+(1-EXP(-LN(2)/2))/(LN(2)/2)*DB23*DE23*VLOOKUP('Données projet'!$B$13,Paramètres!$A$1:$I$89,3,0)*0.475*44/12</f>
        <v>1.1039264900883043</v>
      </c>
      <c r="DI23" s="22">
        <f t="shared" si="15"/>
        <v>1.6578988157404879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3.15468085106383</v>
      </c>
      <c r="DO23" s="12">
        <f>IF('Données projet'!$A$166&gt;35,DO22+DN23-DW22,IF(A23&lt;'Données projet'!$A$166,$DL$205^A23,IF(A23='Données projet'!$A$166,'Données projet'!$B$166,DO22+DN23-DW22)))</f>
        <v>63.0936170212766</v>
      </c>
      <c r="DP23" s="17">
        <f>DO23*VLOOKUP('Données projet'!$B$14,Paramètres!$A$1:$I$89,3,0)*VLOOKUP('Données projet'!$B$14,Paramètres!$A$1:$I$89,5,0)</f>
        <v>71.851011063829787</v>
      </c>
      <c r="DQ23" s="13">
        <f t="shared" si="43"/>
        <v>20.13242829533068</v>
      </c>
      <c r="DR23" s="20">
        <f t="shared" si="16"/>
        <v>160.20449021720449</v>
      </c>
      <c r="DS23" s="59">
        <f t="shared" si="17"/>
        <v>376.71919310410021</v>
      </c>
      <c r="DT23" s="59">
        <f ca="1">AVERAGE(OFFSET($DS$3,0,0,'Données projet'!$E$14+1,1))-AVERAGE(OFFSET($H$3,0,0,'Données projet'!$E$14+1,1))</f>
        <v>651.35546372812314</v>
      </c>
      <c r="DU23" s="59">
        <f t="shared" si="44"/>
        <v>293.6561676213388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69.230769230769226</v>
      </c>
      <c r="EH23" s="12">
        <f>VLOOKUP(A23,'Données projet'!$A$191:$I$211,9,0)</f>
        <v>6.1538461538461533</v>
      </c>
      <c r="EI23" s="12">
        <f t="array" ref="EI23">INDEX(EH:EH,MIN(IF(ISNUMBER(EH23:EH219),ROW(EH23:EH219),"")))</f>
        <v>6.1538461538461533</v>
      </c>
      <c r="EJ23" s="12">
        <f>IF('Données projet'!$A$192&gt;35,EJ22+EI23-ER22,IF(A23&lt;'Données projet'!$A$192,$EG$205^A23,IF(A23='Données projet'!$A$192,'Données projet'!$B$192,EJ22+EI23-ER22)))</f>
        <v>69.230769230769226</v>
      </c>
      <c r="EK23" s="17">
        <f>EJ23*VLOOKUP('Données projet'!$B$15,Paramètres!$A$1:$I$89,3,0)*VLOOKUP('Données projet'!$B$15,Paramètres!$A$1:$I$89,5,0)</f>
        <v>72.36</v>
      </c>
      <c r="EL23" s="13">
        <f t="shared" si="45"/>
        <v>20.258392951825481</v>
      </c>
      <c r="EM23" s="20">
        <f t="shared" si="19"/>
        <v>161.31036772442937</v>
      </c>
      <c r="EN23" s="59">
        <f t="shared" si="20"/>
        <v>377.82507061132509</v>
      </c>
      <c r="EO23" s="59">
        <f ca="1">AVERAGE(OFFSET($EN$3,0,0,'Données projet'!$E$15+1,1))-AVERAGE(OFFSET($H$3,0,0,'Données projet'!$E$15+1,1))</f>
        <v>290.69667785754848</v>
      </c>
      <c r="EP23" s="59">
        <f t="shared" si="46"/>
        <v>256.28124185489082</v>
      </c>
      <c r="EQ23" s="15">
        <f>IF(ISNA(VLOOKUP(A23,'Données projet'!$A$191:$I$211,3,0)),0,VLOOKUP(A23,'Données projet'!$A$191:$I$211,3,0))</f>
        <v>1</v>
      </c>
      <c r="ER23" s="15">
        <f>IF(ISNA(VLOOKUP(A23,'Données projet'!$A$191:$I$211,4,0)),0,VLOOKUP(A23,'Données projet'!$A$191:$I$211,4,0))</f>
        <v>26.282051282051281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0.215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6.5032563186604611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6.5032563186604611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4.0942857142857143</v>
      </c>
      <c r="N24" s="13">
        <f>IF('Données projet'!$A$36&gt;35,N23+M24-V23,IF(A24&lt;'Données projet'!$A$36,$K$205^A24,IF(A24='Données projet'!$A$36,'Données projet'!$B$36,N23+M24-V23)))</f>
        <v>85.980000000000047</v>
      </c>
      <c r="O24" s="13">
        <f>N24*VLOOKUP('Données projet'!$B$9,Paramètres!$A$1:$I$89,3,0)*VLOOKUP('Données projet'!$B$9,Paramètres!$A$1:$I$89,5,0)</f>
        <v>87.183720000000051</v>
      </c>
      <c r="P24" s="13">
        <f t="shared" si="33"/>
        <v>23.884754436357664</v>
      </c>
      <c r="Q24" s="20">
        <f t="shared" si="2"/>
        <v>193.44425964332299</v>
      </c>
      <c r="R24" s="59">
        <f t="shared" si="0"/>
        <v>412.30178801919737</v>
      </c>
      <c r="S24" s="59">
        <f ca="1">AVERAGE(OFFSET($R$3,0,0,'Données projet'!$E$9+1,1))-AVERAGE(OFFSET($H$3,0,0,'Données projet'!$E$9+1,1))</f>
        <v>752.45542076695506</v>
      </c>
      <c r="T24" s="59">
        <f t="shared" si="34"/>
        <v>329.70629768420724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14.8</v>
      </c>
      <c r="AI24" s="13">
        <f>IF('Données projet'!$A$62&gt;35,AI23+AH24-AQ23,IF(A24&lt;'Données projet'!$A$62,$AF$205^A24,IF(A24='Données projet'!$A$62,'Données projet'!$B$62,AI23+AH24-AQ23)))</f>
        <v>81.799999999999983</v>
      </c>
      <c r="AJ24" s="13">
        <f>AI24*VLOOKUP('Données projet'!$B$10,Paramètres!$A$1:$I$89,3,0)*VLOOKUP('Données projet'!$B$10,Paramètres!$A$1:$I$89,5,0)</f>
        <v>71.46047999999999</v>
      </c>
      <c r="AK24" s="13">
        <f t="shared" si="35"/>
        <v>20.035709203981977</v>
      </c>
      <c r="AL24" s="20">
        <f t="shared" si="4"/>
        <v>159.35586286360191</v>
      </c>
      <c r="AM24" s="59">
        <f t="shared" si="5"/>
        <v>378.21339123947632</v>
      </c>
      <c r="AN24" s="59">
        <f ca="1">AVERAGE(OFFSET($AM$3,0,0,'Données projet'!$E$10+1,1))-AVERAGE(OFFSET($H$3,0,0,'Données projet'!$E$10+1,1))</f>
        <v>408.246209980743</v>
      </c>
      <c r="AO24" s="59">
        <f t="shared" si="36"/>
        <v>394.10236303013903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7.792538839486074</v>
      </c>
      <c r="AW24" s="21">
        <f>EXP(-LN(2)/2)*AW23+(1-EXP(-LN(2)/2))/(LN(2)/2)*AQ24*AT24*VLOOKUP('Données projet'!$B$10,Paramètres!$A$1:$I$89,3,0)*0.475*44/12</f>
        <v>5.9241453054755748</v>
      </c>
      <c r="AX24" s="21">
        <f t="shared" si="6"/>
        <v>13.716684144961649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4.0942857142857143</v>
      </c>
      <c r="BD24" s="12">
        <f>IF('Données projet'!$A$88&gt;35,BD23+BC24-BL23,IF(A24&lt;'Données projet'!$A$88,$BA$205^A24,IF(A24='Données projet'!$A$88,'Données projet'!$B$88,BD23+BC24-BL23)))</f>
        <v>85.980000000000047</v>
      </c>
      <c r="BE24" s="13">
        <f>BD24*VLOOKUP('Données projet'!$B$11,Paramètres!$A$1:$I$89,3,0)*VLOOKUP('Données projet'!$B$11,Paramètres!$A$1:$I$89,5,0)</f>
        <v>81.818568000000042</v>
      </c>
      <c r="BF24" s="13">
        <f t="shared" si="37"/>
        <v>22.581250101549351</v>
      </c>
      <c r="BG24" s="20">
        <f t="shared" si="7"/>
        <v>181.82968319353185</v>
      </c>
      <c r="BH24" s="59">
        <f t="shared" si="8"/>
        <v>400.68721156940626</v>
      </c>
      <c r="BI24" s="59">
        <f ca="1">AVERAGE(OFFSET($BH$3,0,0,'Données projet'!$E$11+1,1))-AVERAGE(OFFSET($H$3,0,0,'Données projet'!$E$11+1,1))</f>
        <v>711.91538686535682</v>
      </c>
      <c r="BJ24" s="59">
        <f t="shared" si="38"/>
        <v>313.24593837351722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4.0942857142857143</v>
      </c>
      <c r="BY24" s="12">
        <f>IF('Données projet'!$A$114&gt;35,BY23+BX24-CG23,IF(A24&lt;'Données projet'!$A$114,$BV$205^A24,IF(A24='Données projet'!$A$114,'Données projet'!$B$114,BY23+BX24-CG23)))</f>
        <v>85.980000000000047</v>
      </c>
      <c r="BZ24" s="13">
        <f>BY24*VLOOKUP('Données projet'!$B$12,Paramètres!$A$1:$I$89,3,0)*VLOOKUP('Données projet'!$B$12,Paramètres!$A$1:$I$89,5,0)</f>
        <v>77.794704000000038</v>
      </c>
      <c r="CA24" s="13">
        <f t="shared" si="39"/>
        <v>21.597103708846074</v>
      </c>
      <c r="CB24" s="20">
        <f t="shared" si="10"/>
        <v>173.10739842624028</v>
      </c>
      <c r="CC24" s="59">
        <f t="shared" si="11"/>
        <v>391.96492680211463</v>
      </c>
      <c r="CD24" s="59">
        <f ca="1">AVERAGE(OFFSET($CC$3,0,0,'Données projet'!$E$12+1,1))-AVERAGE(OFFSET($H$3,0,0,'Données projet'!$E$12+1,1))</f>
        <v>681.47578137804555</v>
      </c>
      <c r="CE24" s="59">
        <f t="shared" si="40"/>
        <v>300.88511065995885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2.9487179487179498</v>
      </c>
      <c r="CT24" s="12">
        <f>IF('Données projet'!$A$140&gt;35,CT23+CS24-DB23,IF(A24&lt;'Données projet'!$A$140,$CQ$205^A24,IF(A24='Données projet'!$A$140,'Données projet'!$B$140,CT23+CS24-DB23)))</f>
        <v>31.794871794871792</v>
      </c>
      <c r="CU24" s="17">
        <f>CT24*VLOOKUP('Données projet'!$B$13,Paramètres!$A$1:$I$89,3,0)*VLOOKUP('Données projet'!$B$13,Paramètres!$A$1:$I$89,5,0)</f>
        <v>25.791999999999998</v>
      </c>
      <c r="CV24" s="13">
        <f t="shared" si="41"/>
        <v>8.1421711792342304</v>
      </c>
      <c r="CW24" s="20">
        <f t="shared" si="13"/>
        <v>59.102014803832951</v>
      </c>
      <c r="CX24" s="59">
        <f t="shared" si="14"/>
        <v>277.95954317970734</v>
      </c>
      <c r="CY24" s="59">
        <f ca="1">AVERAGE(OFFSET($CX$3,0,0,'Données projet'!$E$13+1,1))-AVERAGE(OFFSET($H$3,0,0,'Données projet'!$E$13+1,1))</f>
        <v>186.54446846714993</v>
      </c>
      <c r="CZ24" s="59">
        <f t="shared" si="42"/>
        <v>154.43773051601286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0.53882392327508599</v>
      </c>
      <c r="DH24" s="21">
        <f>EXP(-LN(2)/2)*DH23+(1-EXP(-LN(2)/2))/(LN(2)/2)*DB24*DE24*VLOOKUP('Données projet'!$B$13,Paramètres!$A$1:$I$89,3,0)*0.475*44/12</f>
        <v>0.7805939070729041</v>
      </c>
      <c r="DI24" s="22">
        <f t="shared" si="15"/>
        <v>1.31941783034799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3.15468085106383</v>
      </c>
      <c r="DO24" s="12">
        <f>IF('Données projet'!$A$166&gt;35,DO23+DN24-DW23,IF(A24&lt;'Données projet'!$A$166,$DL$205^A24,IF(A24='Données projet'!$A$166,'Données projet'!$B$166,DO23+DN24-DW23)))</f>
        <v>66.24829787234043</v>
      </c>
      <c r="DP24" s="17">
        <f>DO24*VLOOKUP('Données projet'!$B$14,Paramètres!$A$1:$I$89,3,0)*VLOOKUP('Données projet'!$B$14,Paramètres!$A$1:$I$89,5,0)</f>
        <v>75.443561617021288</v>
      </c>
      <c r="DQ24" s="13">
        <f t="shared" si="43"/>
        <v>21.019337599923457</v>
      </c>
      <c r="DR24" s="20">
        <f t="shared" si="16"/>
        <v>168.00621613617875</v>
      </c>
      <c r="DS24" s="59">
        <f t="shared" si="17"/>
        <v>386.86374451205313</v>
      </c>
      <c r="DT24" s="59">
        <f ca="1">AVERAGE(OFFSET($DS$3,0,0,'Données projet'!$E$14+1,1))-AVERAGE(OFFSET($H$3,0,0,'Données projet'!$E$14+1,1))</f>
        <v>651.35546372812314</v>
      </c>
      <c r="DU24" s="59">
        <f t="shared" si="44"/>
        <v>293.6561676213388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5.8974358974358978</v>
      </c>
      <c r="EJ24" s="12">
        <f>IF('Données projet'!$A$192&gt;35,EJ23+EI24-ER23,IF(A24&lt;'Données projet'!$A$192,$EG$205^A24,IF(A24='Données projet'!$A$192,'Données projet'!$B$192,EJ23+EI24-ER23)))</f>
        <v>48.84615384615384</v>
      </c>
      <c r="EK24" s="17">
        <f>EJ24*VLOOKUP('Données projet'!$B$15,Paramètres!$A$1:$I$89,3,0)*VLOOKUP('Données projet'!$B$15,Paramètres!$A$1:$I$89,5,0)</f>
        <v>51.053999999999995</v>
      </c>
      <c r="EL24" s="13">
        <f t="shared" si="45"/>
        <v>14.885628400243496</v>
      </c>
      <c r="EM24" s="20">
        <f t="shared" si="19"/>
        <v>114.84485279709075</v>
      </c>
      <c r="EN24" s="59">
        <f t="shared" si="20"/>
        <v>333.70238117296515</v>
      </c>
      <c r="EO24" s="59">
        <f ca="1">AVERAGE(OFFSET($EN$3,0,0,'Données projet'!$E$15+1,1))-AVERAGE(OFFSET($H$3,0,0,'Données projet'!$E$15+1,1))</f>
        <v>290.69667785754848</v>
      </c>
      <c r="EP24" s="59">
        <f t="shared" si="46"/>
        <v>256.28124185489082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6.3254244326353044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6.3254244326353044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4.0942857142857143</v>
      </c>
      <c r="N25" s="13">
        <f>IF('Données projet'!$A$36&gt;35,N24+M25-V24,IF(A25&lt;'Données projet'!$A$36,$K$205^A25,IF(A25='Données projet'!$A$36,'Données projet'!$B$36,N24+M25-V24)))</f>
        <v>90.074285714285764</v>
      </c>
      <c r="O25" s="13">
        <f>N25*VLOOKUP('Données projet'!$B$9,Paramètres!$A$1:$I$89,3,0)*VLOOKUP('Données projet'!$B$9,Paramètres!$A$1:$I$89,5,0)</f>
        <v>91.335325714285773</v>
      </c>
      <c r="P25" s="13">
        <f t="shared" si="33"/>
        <v>24.886996832891736</v>
      </c>
      <c r="Q25" s="20">
        <f t="shared" si="2"/>
        <v>202.42054510300082</v>
      </c>
      <c r="R25" s="59">
        <f t="shared" si="0"/>
        <v>423.60145900646921</v>
      </c>
      <c r="S25" s="59">
        <f ca="1">AVERAGE(OFFSET($R$3,0,0,'Données projet'!$E$9+1,1))-AVERAGE(OFFSET($H$3,0,0,'Données projet'!$E$9+1,1))</f>
        <v>752.45542076695506</v>
      </c>
      <c r="T25" s="59">
        <f t="shared" si="34"/>
        <v>329.70629768420724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14.8</v>
      </c>
      <c r="AI25" s="13">
        <f>IF('Données projet'!$A$62&gt;35,AI24+AH25-AQ24,IF(A25&lt;'Données projet'!$A$62,$AF$205^A25,IF(A25='Données projet'!$A$62,'Données projet'!$B$62,AI24+AH25-AQ24)))</f>
        <v>96.59999999999998</v>
      </c>
      <c r="AJ25" s="13">
        <f>AI25*VLOOKUP('Données projet'!$B$10,Paramètres!$A$1:$I$89,3,0)*VLOOKUP('Données projet'!$B$10,Paramètres!$A$1:$I$89,5,0)</f>
        <v>84.389759999999995</v>
      </c>
      <c r="AK25" s="13">
        <f t="shared" si="35"/>
        <v>23.207143598424498</v>
      </c>
      <c r="AL25" s="20">
        <f t="shared" si="4"/>
        <v>187.39794043392263</v>
      </c>
      <c r="AM25" s="59">
        <f t="shared" si="5"/>
        <v>408.57885433739102</v>
      </c>
      <c r="AN25" s="59">
        <f ca="1">AVERAGE(OFFSET($AM$3,0,0,'Données projet'!$E$10+1,1))-AVERAGE(OFFSET($H$3,0,0,'Données projet'!$E$10+1,1))</f>
        <v>408.246209980743</v>
      </c>
      <c r="AO25" s="59">
        <f t="shared" si="36"/>
        <v>394.10236303013903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7.5794514551285195</v>
      </c>
      <c r="AW25" s="21">
        <f>EXP(-LN(2)/2)*AW24+(1-EXP(-LN(2)/2))/(LN(2)/2)*AQ25*AT25*VLOOKUP('Données projet'!$B$10,Paramètres!$A$1:$I$89,3,0)*0.475*44/12</f>
        <v>4.1890033182362307</v>
      </c>
      <c r="AX25" s="21">
        <f t="shared" si="6"/>
        <v>11.76845477336475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4.0942857142857143</v>
      </c>
      <c r="BD25" s="12">
        <f>IF('Données projet'!$A$88&gt;35,BD24+BC25-BL24,IF(A25&lt;'Données projet'!$A$88,$BA$205^A25,IF(A25='Données projet'!$A$88,'Données projet'!$B$88,BD24+BC25-BL24)))</f>
        <v>90.074285714285764</v>
      </c>
      <c r="BE25" s="13">
        <f>BD25*VLOOKUP('Données projet'!$B$11,Paramètres!$A$1:$I$89,3,0)*VLOOKUP('Données projet'!$B$11,Paramètres!$A$1:$I$89,5,0)</f>
        <v>85.71469028571434</v>
      </c>
      <c r="BF25" s="13">
        <f t="shared" si="37"/>
        <v>23.528795376876193</v>
      </c>
      <c r="BG25" s="20">
        <f t="shared" si="7"/>
        <v>190.26573752901183</v>
      </c>
      <c r="BH25" s="59">
        <f t="shared" si="8"/>
        <v>411.44665143248022</v>
      </c>
      <c r="BI25" s="59">
        <f ca="1">AVERAGE(OFFSET($BH$3,0,0,'Données projet'!$E$11+1,1))-AVERAGE(OFFSET($H$3,0,0,'Données projet'!$E$11+1,1))</f>
        <v>711.91538686535682</v>
      </c>
      <c r="BJ25" s="59">
        <f t="shared" si="38"/>
        <v>313.24593837351722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4.0942857142857143</v>
      </c>
      <c r="BY25" s="12">
        <f>IF('Données projet'!$A$114&gt;35,BY24+BX25-CG24,IF(A25&lt;'Données projet'!$A$114,$BV$205^A25,IF(A25='Données projet'!$A$114,'Données projet'!$B$114,BY24+BX25-CG24)))</f>
        <v>90.074285714285764</v>
      </c>
      <c r="BZ25" s="13">
        <f>BY25*VLOOKUP('Données projet'!$B$12,Paramètres!$A$1:$I$89,3,0)*VLOOKUP('Données projet'!$B$12,Paramètres!$A$1:$I$89,5,0)</f>
        <v>81.499213714285759</v>
      </c>
      <c r="CA25" s="13">
        <f t="shared" si="39"/>
        <v>22.503352631648468</v>
      </c>
      <c r="CB25" s="20">
        <f t="shared" si="10"/>
        <v>181.13780305250211</v>
      </c>
      <c r="CC25" s="59">
        <f t="shared" si="11"/>
        <v>402.3187169559705</v>
      </c>
      <c r="CD25" s="59">
        <f ca="1">AVERAGE(OFFSET($CC$3,0,0,'Données projet'!$E$12+1,1))-AVERAGE(OFFSET($H$3,0,0,'Données projet'!$E$12+1,1))</f>
        <v>681.47578137804555</v>
      </c>
      <c r="CE25" s="59">
        <f t="shared" si="40"/>
        <v>300.88511065995885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2.9487179487179498</v>
      </c>
      <c r="CT25" s="12">
        <f>IF('Données projet'!$A$140&gt;35,CT24+CS25-DB24,IF(A25&lt;'Données projet'!$A$140,$CQ$205^A25,IF(A25='Données projet'!$A$140,'Données projet'!$B$140,CT24+CS25-DB24)))</f>
        <v>34.743589743589745</v>
      </c>
      <c r="CU25" s="17">
        <f>CT25*VLOOKUP('Données projet'!$B$13,Paramètres!$A$1:$I$89,3,0)*VLOOKUP('Données projet'!$B$13,Paramètres!$A$1:$I$89,5,0)</f>
        <v>28.184000000000001</v>
      </c>
      <c r="CV25" s="13">
        <f t="shared" si="41"/>
        <v>8.8059129686929793</v>
      </c>
      <c r="CW25" s="20">
        <f t="shared" si="13"/>
        <v>64.424098420473612</v>
      </c>
      <c r="CX25" s="59">
        <f t="shared" si="14"/>
        <v>285.60501232394199</v>
      </c>
      <c r="CY25" s="59">
        <f ca="1">AVERAGE(OFFSET($CX$3,0,0,'Données projet'!$E$13+1,1))-AVERAGE(OFFSET($H$3,0,0,'Données projet'!$E$13+1,1))</f>
        <v>186.54446846714993</v>
      </c>
      <c r="CZ25" s="59">
        <f t="shared" si="42"/>
        <v>154.43773051601286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0.5240897547576101</v>
      </c>
      <c r="DH25" s="21">
        <f>EXP(-LN(2)/2)*DH24+(1-EXP(-LN(2)/2))/(LN(2)/2)*DB25*DE25*VLOOKUP('Données projet'!$B$13,Paramètres!$A$1:$I$89,3,0)*0.475*44/12</f>
        <v>0.55196324504415228</v>
      </c>
      <c r="DI25" s="22">
        <f t="shared" si="15"/>
        <v>1.0760529998017625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3.15468085106383</v>
      </c>
      <c r="DO25" s="12">
        <f>IF('Données projet'!$A$166&gt;35,DO24+DN25-DW24,IF(A25&lt;'Données projet'!$A$166,$DL$205^A25,IF(A25='Données projet'!$A$166,'Données projet'!$B$166,DO24+DN25-DW24)))</f>
        <v>69.40297872340426</v>
      </c>
      <c r="DP25" s="17">
        <f>DO25*VLOOKUP('Données projet'!$B$14,Paramètres!$A$1:$I$89,3,0)*VLOOKUP('Données projet'!$B$14,Paramètres!$A$1:$I$89,5,0)</f>
        <v>79.036112170212775</v>
      </c>
      <c r="DQ25" s="13">
        <f t="shared" si="43"/>
        <v>21.901342535156886</v>
      </c>
      <c r="DR25" s="20">
        <f t="shared" si="16"/>
        <v>175.79940027851879</v>
      </c>
      <c r="DS25" s="59">
        <f t="shared" si="17"/>
        <v>396.98031418198718</v>
      </c>
      <c r="DT25" s="59">
        <f ca="1">AVERAGE(OFFSET($DS$3,0,0,'Données projet'!$E$14+1,1))-AVERAGE(OFFSET($H$3,0,0,'Données projet'!$E$14+1,1))</f>
        <v>651.35546372812314</v>
      </c>
      <c r="DU25" s="59">
        <f t="shared" si="44"/>
        <v>293.6561676213388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5.8974358974358978</v>
      </c>
      <c r="EJ25" s="12">
        <f>IF('Données projet'!$A$192&gt;35,EJ24+EI25-ER24,IF(A25&lt;'Données projet'!$A$192,$EG$205^A25,IF(A25='Données projet'!$A$192,'Données projet'!$B$192,EJ24+EI25-ER24)))</f>
        <v>54.743589743589737</v>
      </c>
      <c r="EK25" s="17">
        <f>EJ25*VLOOKUP('Données projet'!$B$15,Paramètres!$A$1:$I$89,3,0)*VLOOKUP('Données projet'!$B$15,Paramètres!$A$1:$I$89,5,0)</f>
        <v>57.218000000000004</v>
      </c>
      <c r="EL25" s="13">
        <f t="shared" si="45"/>
        <v>16.462960458406368</v>
      </c>
      <c r="EM25" s="20">
        <f t="shared" si="19"/>
        <v>128.32767279839109</v>
      </c>
      <c r="EN25" s="59">
        <f t="shared" si="20"/>
        <v>349.50858670185949</v>
      </c>
      <c r="EO25" s="59">
        <f ca="1">AVERAGE(OFFSET($EN$3,0,0,'Données projet'!$E$15+1,1))-AVERAGE(OFFSET($H$3,0,0,'Données projet'!$E$15+1,1))</f>
        <v>290.69667785754848</v>
      </c>
      <c r="EP25" s="59">
        <f t="shared" si="46"/>
        <v>256.28124185489082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6.1524553688852777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6.1524553688852777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4.0942857142857143</v>
      </c>
      <c r="N26" s="13">
        <f>IF('Données projet'!$A$36&gt;35,N25+M26-V25,IF(A26&lt;'Données projet'!$A$36,$K$205^A26,IF(A26='Données projet'!$A$36,'Données projet'!$B$36,N25+M26-V25)))</f>
        <v>94.168571428571482</v>
      </c>
      <c r="O26" s="13">
        <f>N26*VLOOKUP('Données projet'!$B$9,Paramètres!$A$1:$I$89,3,0)*VLOOKUP('Données projet'!$B$9,Paramètres!$A$1:$I$89,5,0)</f>
        <v>95.486931428571495</v>
      </c>
      <c r="P26" s="13">
        <f t="shared" si="33"/>
        <v>25.883948535791781</v>
      </c>
      <c r="Q26" s="20">
        <f t="shared" si="2"/>
        <v>211.38761593793268</v>
      </c>
      <c r="R26" s="59">
        <f t="shared" si="0"/>
        <v>434.87281264747918</v>
      </c>
      <c r="S26" s="59">
        <f ca="1">AVERAGE(OFFSET($R$3,0,0,'Données projet'!$E$9+1,1))-AVERAGE(OFFSET($H$3,0,0,'Données projet'!$E$9+1,1))</f>
        <v>752.45542076695506</v>
      </c>
      <c r="T26" s="59">
        <f t="shared" si="34"/>
        <v>329.70629768420724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14.8</v>
      </c>
      <c r="AI26" s="13">
        <f>IF('Données projet'!$A$62&gt;35,AI25+AH26-AQ25,IF(A26&lt;'Données projet'!$A$62,$AF$205^A26,IF(A26='Données projet'!$A$62,'Données projet'!$B$62,AI25+AH26-AQ25)))</f>
        <v>111.39999999999998</v>
      </c>
      <c r="AJ26" s="13">
        <f>AI26*VLOOKUP('Données projet'!$B$10,Paramètres!$A$1:$I$89,3,0)*VLOOKUP('Données projet'!$B$10,Paramètres!$A$1:$I$89,5,0)</f>
        <v>97.319039999999987</v>
      </c>
      <c r="AK26" s="13">
        <f t="shared" si="35"/>
        <v>26.322289133542785</v>
      </c>
      <c r="AL26" s="20">
        <f t="shared" si="4"/>
        <v>215.34198157425362</v>
      </c>
      <c r="AM26" s="59">
        <f t="shared" si="5"/>
        <v>438.82717828380009</v>
      </c>
      <c r="AN26" s="59">
        <f ca="1">AVERAGE(OFFSET($AM$3,0,0,'Données projet'!$E$10+1,1))-AVERAGE(OFFSET($H$3,0,0,'Données projet'!$E$10+1,1))</f>
        <v>408.246209980743</v>
      </c>
      <c r="AO26" s="59">
        <f t="shared" si="36"/>
        <v>394.10236303013903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7.372190956502001</v>
      </c>
      <c r="AW26" s="21">
        <f>EXP(-LN(2)/2)*AW25+(1-EXP(-LN(2)/2))/(LN(2)/2)*AQ26*AT26*VLOOKUP('Données projet'!$B$10,Paramètres!$A$1:$I$89,3,0)*0.475*44/12</f>
        <v>2.9620726527377883</v>
      </c>
      <c r="AX26" s="21">
        <f t="shared" si="6"/>
        <v>10.334263609239789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4.0942857142857143</v>
      </c>
      <c r="BD26" s="12">
        <f>IF('Données projet'!$A$88&gt;35,BD25+BC26-BL25,IF(A26&lt;'Données projet'!$A$88,$BA$205^A26,IF(A26='Données projet'!$A$88,'Données projet'!$B$88,BD25+BC26-BL25)))</f>
        <v>94.168571428571482</v>
      </c>
      <c r="BE26" s="13">
        <f>BD26*VLOOKUP('Données projet'!$B$11,Paramètres!$A$1:$I$89,3,0)*VLOOKUP('Données projet'!$B$11,Paramètres!$A$1:$I$89,5,0)</f>
        <v>89.610812571428625</v>
      </c>
      <c r="BF26" s="13">
        <f t="shared" si="37"/>
        <v>24.471338696814321</v>
      </c>
      <c r="BG26" s="20">
        <f t="shared" si="7"/>
        <v>198.69308012552312</v>
      </c>
      <c r="BH26" s="59">
        <f t="shared" si="8"/>
        <v>422.1782768350696</v>
      </c>
      <c r="BI26" s="59">
        <f ca="1">AVERAGE(OFFSET($BH$3,0,0,'Données projet'!$E$11+1,1))-AVERAGE(OFFSET($H$3,0,0,'Données projet'!$E$11+1,1))</f>
        <v>711.91538686535682</v>
      </c>
      <c r="BJ26" s="59">
        <f t="shared" si="38"/>
        <v>313.24593837351722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4.0942857142857143</v>
      </c>
      <c r="BY26" s="12">
        <f>IF('Données projet'!$A$114&gt;35,BY25+BX26-CG25,IF(A26&lt;'Données projet'!$A$114,$BV$205^A26,IF(A26='Données projet'!$A$114,'Données projet'!$B$114,BY25+BX26-CG25)))</f>
        <v>94.168571428571482</v>
      </c>
      <c r="BZ26" s="13">
        <f>BY26*VLOOKUP('Données projet'!$B$12,Paramètres!$A$1:$I$89,3,0)*VLOOKUP('Données projet'!$B$12,Paramètres!$A$1:$I$89,5,0)</f>
        <v>85.203723428571479</v>
      </c>
      <c r="CA26" s="13">
        <f t="shared" si="39"/>
        <v>23.404817596574706</v>
      </c>
      <c r="CB26" s="20">
        <f t="shared" si="10"/>
        <v>189.15987561879626</v>
      </c>
      <c r="CC26" s="59">
        <f t="shared" si="11"/>
        <v>412.64507232834274</v>
      </c>
      <c r="CD26" s="59">
        <f ca="1">AVERAGE(OFFSET($CC$3,0,0,'Données projet'!$E$12+1,1))-AVERAGE(OFFSET($H$3,0,0,'Données projet'!$E$12+1,1))</f>
        <v>681.47578137804555</v>
      </c>
      <c r="CE26" s="59">
        <f t="shared" si="40"/>
        <v>300.88511065995885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2.9487179487179498</v>
      </c>
      <c r="CT26" s="12">
        <f>IF('Données projet'!$A$140&gt;35,CT25+CS26-DB25,IF(A26&lt;'Données projet'!$A$140,$CQ$205^A26,IF(A26='Données projet'!$A$140,'Données projet'!$B$140,CT25+CS26-DB25)))</f>
        <v>37.692307692307693</v>
      </c>
      <c r="CU26" s="17">
        <f>CT26*VLOOKUP('Données projet'!$B$13,Paramètres!$A$1:$I$89,3,0)*VLOOKUP('Données projet'!$B$13,Paramètres!$A$1:$I$89,5,0)</f>
        <v>30.576000000000004</v>
      </c>
      <c r="CV26" s="13">
        <f t="shared" si="41"/>
        <v>9.4631216842413863</v>
      </c>
      <c r="CW26" s="20">
        <f t="shared" si="13"/>
        <v>69.734803600053766</v>
      </c>
      <c r="CX26" s="59">
        <f t="shared" si="14"/>
        <v>293.22000030960027</v>
      </c>
      <c r="CY26" s="59">
        <f ca="1">AVERAGE(OFFSET($CX$3,0,0,'Données projet'!$E$13+1,1))-AVERAGE(OFFSET($H$3,0,0,'Données projet'!$E$13+1,1))</f>
        <v>186.54446846714993</v>
      </c>
      <c r="CZ26" s="59">
        <f t="shared" si="42"/>
        <v>154.43773051601286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0.50975849285308084</v>
      </c>
      <c r="DH26" s="21">
        <f>EXP(-LN(2)/2)*DH25+(1-EXP(-LN(2)/2))/(LN(2)/2)*DB26*DE26*VLOOKUP('Données projet'!$B$13,Paramètres!$A$1:$I$89,3,0)*0.475*44/12</f>
        <v>0.39029695353645211</v>
      </c>
      <c r="DI26" s="22">
        <f t="shared" si="15"/>
        <v>0.90005544638953294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3.15468085106383</v>
      </c>
      <c r="DO26" s="12">
        <f>IF('Données projet'!$A$166&gt;35,DO25+DN26-DW25,IF(A26&lt;'Données projet'!$A$166,$DL$205^A26,IF(A26='Données projet'!$A$166,'Données projet'!$B$166,DO25+DN26-DW25)))</f>
        <v>72.55765957446809</v>
      </c>
      <c r="DP26" s="17">
        <f>DO26*VLOOKUP('Données projet'!$B$14,Paramètres!$A$1:$I$89,3,0)*VLOOKUP('Données projet'!$B$14,Paramètres!$A$1:$I$89,5,0)</f>
        <v>82.628662723404261</v>
      </c>
      <c r="DQ26" s="13">
        <f t="shared" si="43"/>
        <v>22.778691493041766</v>
      </c>
      <c r="DR26" s="20">
        <f t="shared" si="16"/>
        <v>183.58447526031014</v>
      </c>
      <c r="DS26" s="59">
        <f t="shared" si="17"/>
        <v>407.06967196985664</v>
      </c>
      <c r="DT26" s="59">
        <f ca="1">AVERAGE(OFFSET($DS$3,0,0,'Données projet'!$E$14+1,1))-AVERAGE(OFFSET($H$3,0,0,'Données projet'!$E$14+1,1))</f>
        <v>651.35546372812314</v>
      </c>
      <c r="DU26" s="59">
        <f t="shared" si="44"/>
        <v>293.6561676213388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5.8974358974358978</v>
      </c>
      <c r="EJ26" s="12">
        <f>IF('Données projet'!$A$192&gt;35,EJ25+EI26-ER25,IF(A26&lt;'Données projet'!$A$192,$EG$205^A26,IF(A26='Données projet'!$A$192,'Données projet'!$B$192,EJ25+EI26-ER25)))</f>
        <v>60.641025641025635</v>
      </c>
      <c r="EK26" s="17">
        <f>EJ26*VLOOKUP('Données projet'!$B$15,Paramètres!$A$1:$I$89,3,0)*VLOOKUP('Données projet'!$B$15,Paramètres!$A$1:$I$89,5,0)</f>
        <v>63.381999999999998</v>
      </c>
      <c r="EL26" s="13">
        <f t="shared" si="45"/>
        <v>18.020596756944578</v>
      </c>
      <c r="EM26" s="20">
        <f t="shared" si="19"/>
        <v>141.77618935167845</v>
      </c>
      <c r="EN26" s="59">
        <f t="shared" si="20"/>
        <v>365.26138606122493</v>
      </c>
      <c r="EO26" s="59">
        <f ca="1">AVERAGE(OFFSET($EN$3,0,0,'Données projet'!$E$15+1,1))-AVERAGE(OFFSET($H$3,0,0,'Données projet'!$E$15+1,1))</f>
        <v>290.69667785754848</v>
      </c>
      <c r="EP26" s="59">
        <f t="shared" si="46"/>
        <v>256.28124185489082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5.9842161532795437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5.9842161532795437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4.0942857142857143</v>
      </c>
      <c r="N27" s="13">
        <f>IF('Données projet'!$A$36&gt;35,N26+M27-V26,IF(A27&lt;'Données projet'!$A$36,$K$205^A27,IF(A27='Données projet'!$A$36,'Données projet'!$B$36,N26+M27-V26)))</f>
        <v>98.2628571428572</v>
      </c>
      <c r="O27" s="13">
        <f>N27*VLOOKUP('Données projet'!$B$9,Paramètres!$A$1:$I$89,3,0)*VLOOKUP('Données projet'!$B$9,Paramètres!$A$1:$I$89,5,0)</f>
        <v>99.638537142857203</v>
      </c>
      <c r="P27" s="13">
        <f t="shared" si="33"/>
        <v>26.875865866848134</v>
      </c>
      <c r="Q27" s="20">
        <f t="shared" si="2"/>
        <v>220.34591857523677</v>
      </c>
      <c r="R27" s="59">
        <f t="shared" si="0"/>
        <v>446.11662675885657</v>
      </c>
      <c r="S27" s="59">
        <f ca="1">AVERAGE(OFFSET($R$3,0,0,'Données projet'!$E$9+1,1))-AVERAGE(OFFSET($H$3,0,0,'Données projet'!$E$9+1,1))</f>
        <v>752.45542076695506</v>
      </c>
      <c r="T27" s="59">
        <f t="shared" si="34"/>
        <v>329.70629768420724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14.8</v>
      </c>
      <c r="AI27" s="13">
        <f>IF('Données projet'!$A$62&gt;35,AI26+AH27-AQ26,IF(A27&lt;'Données projet'!$A$62,$AF$205^A27,IF(A27='Données projet'!$A$62,'Données projet'!$B$62,AI26+AH27-AQ26)))</f>
        <v>126.19999999999997</v>
      </c>
      <c r="AJ27" s="13">
        <f>AI27*VLOOKUP('Données projet'!$B$10,Paramètres!$A$1:$I$89,3,0)*VLOOKUP('Données projet'!$B$10,Paramètres!$A$1:$I$89,5,0)</f>
        <v>110.24831999999999</v>
      </c>
      <c r="AK27" s="13">
        <f t="shared" si="35"/>
        <v>29.389483021072536</v>
      </c>
      <c r="AL27" s="20">
        <f t="shared" si="4"/>
        <v>243.20250692836802</v>
      </c>
      <c r="AM27" s="59">
        <f t="shared" si="5"/>
        <v>468.97321511198783</v>
      </c>
      <c r="AN27" s="59">
        <f ca="1">AVERAGE(OFFSET($AM$3,0,0,'Données projet'!$E$10+1,1))-AVERAGE(OFFSET($H$3,0,0,'Données projet'!$E$10+1,1))</f>
        <v>408.246209980743</v>
      </c>
      <c r="AO27" s="59">
        <f t="shared" si="36"/>
        <v>394.10236303013903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7.1705980071097803</v>
      </c>
      <c r="AW27" s="21">
        <f>EXP(-LN(2)/2)*AW26+(1-EXP(-LN(2)/2))/(LN(2)/2)*AQ27*AT27*VLOOKUP('Données projet'!$B$10,Paramètres!$A$1:$I$89,3,0)*0.475*44/12</f>
        <v>2.0945016591181158</v>
      </c>
      <c r="AX27" s="21">
        <f t="shared" si="6"/>
        <v>9.265099666227897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4.0942857142857143</v>
      </c>
      <c r="BD27" s="12">
        <f>IF('Données projet'!$A$88&gt;35,BD26+BC27-BL26,IF(A27&lt;'Données projet'!$A$88,$BA$205^A27,IF(A27='Données projet'!$A$88,'Données projet'!$B$88,BD26+BC27-BL26)))</f>
        <v>98.2628571428572</v>
      </c>
      <c r="BE27" s="13">
        <f>BD27*VLOOKUP('Données projet'!$B$11,Paramètres!$A$1:$I$89,3,0)*VLOOKUP('Données projet'!$B$11,Paramètres!$A$1:$I$89,5,0)</f>
        <v>93.506934857142909</v>
      </c>
      <c r="BF27" s="13">
        <f t="shared" si="37"/>
        <v>25.409122394458233</v>
      </c>
      <c r="BG27" s="20">
        <f t="shared" si="7"/>
        <v>207.11213304653862</v>
      </c>
      <c r="BH27" s="59">
        <f t="shared" si="8"/>
        <v>432.88284123015842</v>
      </c>
      <c r="BI27" s="59">
        <f ca="1">AVERAGE(OFFSET($BH$3,0,0,'Données projet'!$E$11+1,1))-AVERAGE(OFFSET($H$3,0,0,'Données projet'!$E$11+1,1))</f>
        <v>711.91538686535682</v>
      </c>
      <c r="BJ27" s="59">
        <f t="shared" si="38"/>
        <v>313.24593837351722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4.0942857142857143</v>
      </c>
      <c r="BY27" s="12">
        <f>IF('Données projet'!$A$114&gt;35,BY26+BX27-CG26,IF(A27&lt;'Données projet'!$A$114,$BV$205^A27,IF(A27='Données projet'!$A$114,'Données projet'!$B$114,BY26+BX27-CG26)))</f>
        <v>98.2628571428572</v>
      </c>
      <c r="BZ27" s="13">
        <f>BY27*VLOOKUP('Données projet'!$B$12,Paramètres!$A$1:$I$89,3,0)*VLOOKUP('Données projet'!$B$12,Paramètres!$A$1:$I$89,5,0)</f>
        <v>88.908233142857185</v>
      </c>
      <c r="CA27" s="13">
        <f t="shared" si="39"/>
        <v>24.301730375247274</v>
      </c>
      <c r="CB27" s="20">
        <f t="shared" si="10"/>
        <v>197.17401979403192</v>
      </c>
      <c r="CC27" s="59">
        <f t="shared" si="11"/>
        <v>422.94472797765172</v>
      </c>
      <c r="CD27" s="59">
        <f ca="1">AVERAGE(OFFSET($CC$3,0,0,'Données projet'!$E$12+1,1))-AVERAGE(OFFSET($H$3,0,0,'Données projet'!$E$12+1,1))</f>
        <v>681.47578137804555</v>
      </c>
      <c r="CE27" s="59">
        <f t="shared" si="40"/>
        <v>300.88511065995885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2.9487179487179498</v>
      </c>
      <c r="CT27" s="12">
        <f>IF('Données projet'!$A$140&gt;35,CT26+CS27-DB26,IF(A27&lt;'Données projet'!$A$140,$CQ$205^A27,IF(A27='Données projet'!$A$140,'Données projet'!$B$140,CT26+CS27-DB26)))</f>
        <v>40.641025641025642</v>
      </c>
      <c r="CU27" s="17">
        <f>CT27*VLOOKUP('Données projet'!$B$13,Paramètres!$A$1:$I$89,3,0)*VLOOKUP('Données projet'!$B$13,Paramètres!$A$1:$I$89,5,0)</f>
        <v>32.968000000000004</v>
      </c>
      <c r="CV27" s="13">
        <f t="shared" si="41"/>
        <v>10.114366524983168</v>
      </c>
      <c r="CW27" s="20">
        <f t="shared" si="13"/>
        <v>75.035121697679017</v>
      </c>
      <c r="CX27" s="59">
        <f t="shared" si="14"/>
        <v>300.80582988129879</v>
      </c>
      <c r="CY27" s="59">
        <f ca="1">AVERAGE(OFFSET($CX$3,0,0,'Données projet'!$E$13+1,1))-AVERAGE(OFFSET($H$3,0,0,'Données projet'!$E$13+1,1))</f>
        <v>186.54446846714993</v>
      </c>
      <c r="CZ27" s="59">
        <f t="shared" si="42"/>
        <v>154.43773051601286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0.49581912005897927</v>
      </c>
      <c r="DH27" s="21">
        <f>EXP(-LN(2)/2)*DH26+(1-EXP(-LN(2)/2))/(LN(2)/2)*DB27*DE27*VLOOKUP('Données projet'!$B$13,Paramètres!$A$1:$I$89,3,0)*0.475*44/12</f>
        <v>0.27598162252207614</v>
      </c>
      <c r="DI27" s="22">
        <f t="shared" si="15"/>
        <v>0.77180074258105535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3.15468085106383</v>
      </c>
      <c r="DO27" s="12">
        <f>IF('Données projet'!$A$166&gt;35,DO26+DN27-DW26,IF(A27&lt;'Données projet'!$A$166,$DL$205^A27,IF(A27='Données projet'!$A$166,'Données projet'!$B$166,DO26+DN27-DW26)))</f>
        <v>75.71234042553192</v>
      </c>
      <c r="DP27" s="17">
        <f>DO27*VLOOKUP('Données projet'!$B$14,Paramètres!$A$1:$I$89,3,0)*VLOOKUP('Données projet'!$B$14,Paramètres!$A$1:$I$89,5,0)</f>
        <v>86.221213276595748</v>
      </c>
      <c r="DQ27" s="13">
        <f t="shared" si="43"/>
        <v>23.651610044841956</v>
      </c>
      <c r="DR27" s="20">
        <f t="shared" si="16"/>
        <v>191.36183395150397</v>
      </c>
      <c r="DS27" s="59">
        <f t="shared" si="17"/>
        <v>417.1325421351238</v>
      </c>
      <c r="DT27" s="59">
        <f ca="1">AVERAGE(OFFSET($DS$3,0,0,'Données projet'!$E$14+1,1))-AVERAGE(OFFSET($H$3,0,0,'Données projet'!$E$14+1,1))</f>
        <v>651.35546372812314</v>
      </c>
      <c r="DU27" s="59">
        <f t="shared" si="44"/>
        <v>293.6561676213388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5.8974358974358978</v>
      </c>
      <c r="EJ27" s="12">
        <f>IF('Données projet'!$A$192&gt;35,EJ26+EI27-ER26,IF(A27&lt;'Données projet'!$A$192,$EG$205^A27,IF(A27='Données projet'!$A$192,'Données projet'!$B$192,EJ26+EI27-ER26)))</f>
        <v>66.538461538461533</v>
      </c>
      <c r="EK27" s="17">
        <f>EJ27*VLOOKUP('Données projet'!$B$15,Paramètres!$A$1:$I$89,3,0)*VLOOKUP('Données projet'!$B$15,Paramètres!$A$1:$I$89,5,0)</f>
        <v>69.545999999999992</v>
      </c>
      <c r="EL27" s="13">
        <f t="shared" si="45"/>
        <v>19.560670709947196</v>
      </c>
      <c r="EM27" s="20">
        <f t="shared" si="19"/>
        <v>155.19411815315803</v>
      </c>
      <c r="EN27" s="59">
        <f t="shared" si="20"/>
        <v>380.96482633677783</v>
      </c>
      <c r="EO27" s="59">
        <f ca="1">AVERAGE(OFFSET($EN$3,0,0,'Données projet'!$E$15+1,1))-AVERAGE(OFFSET($H$3,0,0,'Données projet'!$E$15+1,1))</f>
        <v>290.69667785754848</v>
      </c>
      <c r="EP27" s="59">
        <f t="shared" si="46"/>
        <v>256.28124185489082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5.8205774478718642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5.8205774478718642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4.0942857142857143</v>
      </c>
      <c r="N28" s="13">
        <f>IF('Données projet'!$A$36&gt;35,N27+M28-V27,IF(A28&lt;'Données projet'!$A$36,$K$205^A28,IF(A28='Données projet'!$A$36,'Données projet'!$B$36,N27+M28-V27)))</f>
        <v>102.35714285714292</v>
      </c>
      <c r="O28" s="13">
        <f>N28*VLOOKUP('Données projet'!$B$9,Paramètres!$A$1:$I$89,3,0)*VLOOKUP('Données projet'!$B$9,Paramètres!$A$1:$I$89,5,0)</f>
        <v>103.79014285714292</v>
      </c>
      <c r="P28" s="13">
        <f t="shared" si="33"/>
        <v>27.862982579231517</v>
      </c>
      <c r="Q28" s="20">
        <f t="shared" si="2"/>
        <v>229.29586013501878</v>
      </c>
      <c r="R28" s="59">
        <f t="shared" si="0"/>
        <v>457.33363410135087</v>
      </c>
      <c r="S28" s="59">
        <f ca="1">AVERAGE(OFFSET($R$3,0,0,'Données projet'!$E$9+1,1))-AVERAGE(OFFSET($H$3,0,0,'Données projet'!$E$9+1,1))</f>
        <v>752.45542076695506</v>
      </c>
      <c r="T28" s="59">
        <f t="shared" si="34"/>
        <v>329.70629768420724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141</v>
      </c>
      <c r="AG28" s="12">
        <f>VLOOKUP(A28,'Données projet'!$A$61:$I$81,9,0)</f>
        <v>14.8</v>
      </c>
      <c r="AH28" s="12">
        <f t="array" ref="AH28">INDEX(AG:AG,MIN(IF(ISNUMBER(AG28:AG224),ROW(AG28:AG224),"")))</f>
        <v>14.8</v>
      </c>
      <c r="AI28" s="13">
        <f>IF('Données projet'!$A$62&gt;35,AI27+AH28-AQ27,IF(A28&lt;'Données projet'!$A$62,$AF$205^A28,IF(A28='Données projet'!$A$62,'Données projet'!$B$62,AI27+AH28-AQ27)))</f>
        <v>140.99999999999997</v>
      </c>
      <c r="AJ28" s="13">
        <f>AI28*VLOOKUP('Données projet'!$B$10,Paramètres!$A$1:$I$89,3,0)*VLOOKUP('Données projet'!$B$10,Paramètres!$A$1:$I$89,5,0)</f>
        <v>123.1776</v>
      </c>
      <c r="AK28" s="13">
        <f t="shared" si="35"/>
        <v>32.414991240570416</v>
      </c>
      <c r="AL28" s="20">
        <f t="shared" si="4"/>
        <v>270.99042974399345</v>
      </c>
      <c r="AM28" s="59">
        <f t="shared" si="5"/>
        <v>499.02820371032556</v>
      </c>
      <c r="AN28" s="59">
        <f ca="1">AVERAGE(OFFSET($AM$3,0,0,'Données projet'!$E$10+1,1))-AVERAGE(OFFSET($H$3,0,0,'Données projet'!$E$10+1,1))</f>
        <v>408.246209980743</v>
      </c>
      <c r="AO28" s="59">
        <f t="shared" si="36"/>
        <v>394.10236303013903</v>
      </c>
      <c r="AP28" s="15">
        <f>IF(ISNA(VLOOKUP(A28,'Données projet'!$A$61:$I$81,3,0)),0,VLOOKUP(A28,'Données projet'!$A$61:$I$81,3,0))</f>
        <v>3</v>
      </c>
      <c r="AQ28" s="15">
        <f>IF(ISNA(VLOOKUP(A28,'Données projet'!$A$61:$I$81,4,0)),0,VLOOKUP(A28,'Données projet'!$A$61:$I$81,4,0))</f>
        <v>35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0.13250000000000001</v>
      </c>
      <c r="AT28" s="16">
        <f>IF(ISNA(VLOOKUP(A28,'Données projet'!$A$61:$I$81,7,0)),0%,VLOOKUP(A28,'Données projet'!$A$61:$I$81,7,0))</f>
        <v>0.25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11.435497874709831</v>
      </c>
      <c r="AW28" s="21">
        <f>EXP(-LN(2)/2)*AW27+(1-EXP(-LN(2)/2))/(LN(2)/2)*AQ28*AT28*VLOOKUP('Données projet'!$B$10,Paramètres!$A$1:$I$89,3,0)*0.475*44/12</f>
        <v>8.6933560616124836</v>
      </c>
      <c r="AX28" s="21">
        <f t="shared" si="6"/>
        <v>20.128853936322315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4.0942857142857143</v>
      </c>
      <c r="BD28" s="12">
        <f>IF('Données projet'!$A$88&gt;35,BD27+BC28-BL27,IF(A28&lt;'Données projet'!$A$88,$BA$205^A28,IF(A28='Données projet'!$A$88,'Données projet'!$B$88,BD27+BC28-BL27)))</f>
        <v>102.35714285714292</v>
      </c>
      <c r="BE28" s="13">
        <f>BD28*VLOOKUP('Données projet'!$B$11,Paramètres!$A$1:$I$89,3,0)*VLOOKUP('Données projet'!$B$11,Paramètres!$A$1:$I$89,5,0)</f>
        <v>97.403057142857193</v>
      </c>
      <c r="BF28" s="13">
        <f t="shared" si="37"/>
        <v>26.342367465959477</v>
      </c>
      <c r="BG28" s="20">
        <f t="shared" si="7"/>
        <v>215.52328119368903</v>
      </c>
      <c r="BH28" s="59">
        <f t="shared" si="8"/>
        <v>443.56105516002117</v>
      </c>
      <c r="BI28" s="59">
        <f ca="1">AVERAGE(OFFSET($BH$3,0,0,'Données projet'!$E$11+1,1))-AVERAGE(OFFSET($H$3,0,0,'Données projet'!$E$11+1,1))</f>
        <v>711.91538686535682</v>
      </c>
      <c r="BJ28" s="59">
        <f t="shared" si="38"/>
        <v>313.24593837351722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4.0942857142857143</v>
      </c>
      <c r="BY28" s="12">
        <f>IF('Données projet'!$A$114&gt;35,BY27+BX28-CG27,IF(A28&lt;'Données projet'!$A$114,$BV$205^A28,IF(A28='Données projet'!$A$114,'Données projet'!$B$114,BY27+BX28-CG27)))</f>
        <v>102.35714285714292</v>
      </c>
      <c r="BZ28" s="13">
        <f>BY28*VLOOKUP('Données projet'!$B$12,Paramètres!$A$1:$I$89,3,0)*VLOOKUP('Données projet'!$B$12,Paramètres!$A$1:$I$89,5,0)</f>
        <v>92.612742857142905</v>
      </c>
      <c r="CA28" s="13">
        <f t="shared" si="39"/>
        <v>25.194302332262133</v>
      </c>
      <c r="CB28" s="20">
        <f t="shared" si="10"/>
        <v>205.18060370488044</v>
      </c>
      <c r="CC28" s="59">
        <f t="shared" si="11"/>
        <v>433.21837767121258</v>
      </c>
      <c r="CD28" s="59">
        <f ca="1">AVERAGE(OFFSET($CC$3,0,0,'Données projet'!$E$12+1,1))-AVERAGE(OFFSET($H$3,0,0,'Données projet'!$E$12+1,1))</f>
        <v>681.47578137804555</v>
      </c>
      <c r="CE28" s="59">
        <f t="shared" si="40"/>
        <v>300.88511065995885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43.589743589743591</v>
      </c>
      <c r="CR28" s="12">
        <f>VLOOKUP(A28,'Données projet'!$A$139:$I$159,9,0)</f>
        <v>2.9487179487179498</v>
      </c>
      <c r="CS28" s="12">
        <f t="array" ref="CS28">INDEX(CR:CR,MIN(IF(ISNUMBER(CR28:CR224),ROW(CR28:CR224),"")))</f>
        <v>2.9487179487179498</v>
      </c>
      <c r="CT28" s="12">
        <f>IF('Données projet'!$A$140&gt;35,CT27+CS28-DB27,IF(A28&lt;'Données projet'!$A$140,$CQ$205^A28,IF(A28='Données projet'!$A$140,'Données projet'!$B$140,CT27+CS28-DB27)))</f>
        <v>43.589743589743591</v>
      </c>
      <c r="CU28" s="17">
        <f>CT28*VLOOKUP('Données projet'!$B$13,Paramètres!$A$1:$I$89,3,0)*VLOOKUP('Données projet'!$B$13,Paramètres!$A$1:$I$89,5,0)</f>
        <v>35.360000000000007</v>
      </c>
      <c r="CV28" s="13">
        <f t="shared" si="41"/>
        <v>10.760129410861797</v>
      </c>
      <c r="CW28" s="20">
        <f t="shared" si="13"/>
        <v>80.325892057250982</v>
      </c>
      <c r="CX28" s="59">
        <f t="shared" si="14"/>
        <v>308.36366602358311</v>
      </c>
      <c r="CY28" s="59">
        <f ca="1">AVERAGE(OFFSET($CX$3,0,0,'Données projet'!$E$13+1,1))-AVERAGE(OFFSET($H$3,0,0,'Données projet'!$E$13+1,1))</f>
        <v>186.54446846714993</v>
      </c>
      <c r="CZ28" s="59">
        <f t="shared" si="42"/>
        <v>154.43773051601286</v>
      </c>
      <c r="DA28" s="15">
        <f>IF(ISNA(VLOOKUP(A28,'Données projet'!$A$139:$I$159,3,0)),0,VLOOKUP(A28,'Données projet'!$A$139:$I$159,3,0))</f>
        <v>3</v>
      </c>
      <c r="DB28" s="15">
        <f>IF(ISNA(VLOOKUP(A28,'Données projet'!$A$139:$I$159,4,0)),0,VLOOKUP(A28,'Données projet'!$A$139:$I$159,4,0))</f>
        <v>5.1282051282051277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0.1075</v>
      </c>
      <c r="DE28" s="16">
        <f>IF(ISNA(VLOOKUP(A28,'Données projet'!$A$139:$I$159,7,0)),0%,VLOOKUP(A28,'Données projet'!$A$139:$I$159,7,0))</f>
        <v>0.25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0.97468076517113511</v>
      </c>
      <c r="DH28" s="21">
        <f>EXP(-LN(2)/2)*DH27+(1-EXP(-LN(2)/2))/(LN(2)/2)*DB28*DE28*VLOOKUP('Données projet'!$B$13,Paramètres!$A$1:$I$89,3,0)*0.475*44/12</f>
        <v>1.1764164679578297</v>
      </c>
      <c r="DI28" s="22">
        <f t="shared" si="15"/>
        <v>2.1510972331289651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3.15468085106383</v>
      </c>
      <c r="DO28" s="12">
        <f>IF('Données projet'!$A$166&gt;35,DO27+DN28-DW27,IF(A28&lt;'Données projet'!$A$166,$DL$205^A28,IF(A28='Données projet'!$A$166,'Données projet'!$B$166,DO27+DN28-DW27)))</f>
        <v>78.86702127659575</v>
      </c>
      <c r="DP28" s="17">
        <f>DO28*VLOOKUP('Données projet'!$B$14,Paramètres!$A$1:$I$89,3,0)*VLOOKUP('Données projet'!$B$14,Paramètres!$A$1:$I$89,5,0)</f>
        <v>89.813763829787248</v>
      </c>
      <c r="DQ28" s="13">
        <f t="shared" si="43"/>
        <v>24.520303900723889</v>
      </c>
      <c r="DR28" s="20">
        <f t="shared" si="16"/>
        <v>199.13183463064021</v>
      </c>
      <c r="DS28" s="59">
        <f t="shared" si="17"/>
        <v>427.16960859697235</v>
      </c>
      <c r="DT28" s="59">
        <f ca="1">AVERAGE(OFFSET($DS$3,0,0,'Données projet'!$E$14+1,1))-AVERAGE(OFFSET($H$3,0,0,'Données projet'!$E$14+1,1))</f>
        <v>651.35546372812314</v>
      </c>
      <c r="DU28" s="59">
        <f t="shared" si="44"/>
        <v>293.6561676213388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72.435897435897431</v>
      </c>
      <c r="EH28" s="12">
        <f>VLOOKUP(A28,'Données projet'!$A$191:$I$211,9,0)</f>
        <v>5.8974358974358978</v>
      </c>
      <c r="EI28" s="12">
        <f t="array" ref="EI28">INDEX(EH:EH,MIN(IF(ISNUMBER(EH28:EH224),ROW(EH28:EH224),"")))</f>
        <v>5.8974358974358978</v>
      </c>
      <c r="EJ28" s="12">
        <f>IF('Données projet'!$A$192&gt;35,EJ27+EI28-ER27,IF(A28&lt;'Données projet'!$A$192,$EG$205^A28,IF(A28='Données projet'!$A$192,'Données projet'!$B$192,EJ27+EI28-ER27)))</f>
        <v>72.435897435897431</v>
      </c>
      <c r="EK28" s="17">
        <f>EJ28*VLOOKUP('Données projet'!$B$15,Paramètres!$A$1:$I$89,3,0)*VLOOKUP('Données projet'!$B$15,Paramètres!$A$1:$I$89,5,0)</f>
        <v>75.710000000000008</v>
      </c>
      <c r="EL28" s="13">
        <f t="shared" si="45"/>
        <v>21.084915904131307</v>
      </c>
      <c r="EM28" s="20">
        <f t="shared" si="19"/>
        <v>168.58447853302872</v>
      </c>
      <c r="EN28" s="59">
        <f t="shared" si="20"/>
        <v>396.6222524993608</v>
      </c>
      <c r="EO28" s="59">
        <f ca="1">AVERAGE(OFFSET($EN$3,0,0,'Données projet'!$E$15+1,1))-AVERAGE(OFFSET($H$3,0,0,'Données projet'!$E$15+1,1))</f>
        <v>290.69667785754848</v>
      </c>
      <c r="EP28" s="59">
        <f t="shared" si="46"/>
        <v>256.28124185489082</v>
      </c>
      <c r="EQ28" s="15">
        <f>IF(ISNA(VLOOKUP(A28,'Données projet'!$A$191:$I$211,3,0)),0,VLOOKUP(A28,'Données projet'!$A$191:$I$211,3,0))</f>
        <v>2</v>
      </c>
      <c r="ER28" s="15">
        <f>IF(ISNA(VLOOKUP(A28,'Données projet'!$A$191:$I$211,4,0)),0,VLOOKUP(A28,'Données projet'!$A$191:$I$211,4,0))</f>
        <v>14.743589743589743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0.215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9.3095816302296903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9.3095816302296903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4.0942857142857143</v>
      </c>
      <c r="N29" s="13">
        <f>IF('Données projet'!$A$36&gt;35,N28+M29-V28,IF(A29&lt;'Données projet'!$A$36,$K$205^A29,IF(A29='Données projet'!$A$36,'Données projet'!$B$36,N28+M29-V28)))</f>
        <v>106.45142857142864</v>
      </c>
      <c r="O29" s="13">
        <f>N29*VLOOKUP('Données projet'!$B$9,Paramètres!$A$1:$I$89,3,0)*VLOOKUP('Données projet'!$B$9,Paramètres!$A$1:$I$89,5,0)</f>
        <v>107.94174857142863</v>
      </c>
      <c r="P29" s="13">
        <f t="shared" si="33"/>
        <v>28.845512667364968</v>
      </c>
      <c r="Q29" s="20">
        <f t="shared" si="2"/>
        <v>238.23781332423221</v>
      </c>
      <c r="R29" s="59">
        <f t="shared" si="0"/>
        <v>468.52452737342242</v>
      </c>
      <c r="S29" s="59">
        <f ca="1">AVERAGE(OFFSET($R$3,0,0,'Données projet'!$E$9+1,1))-AVERAGE(OFFSET($H$3,0,0,'Données projet'!$E$9+1,1))</f>
        <v>752.45542076695506</v>
      </c>
      <c r="T29" s="59">
        <f t="shared" si="34"/>
        <v>329.70629768420724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14.2</v>
      </c>
      <c r="AI29" s="13">
        <f>IF('Données projet'!$A$62&gt;35,AI28+AH29-AQ28,IF(A29&lt;'Données projet'!$A$62,$AF$205^A29,IF(A29='Données projet'!$A$62,'Données projet'!$B$62,AI28+AH29-AQ28)))</f>
        <v>120.19999999999996</v>
      </c>
      <c r="AJ29" s="13">
        <f>AI29*VLOOKUP('Données projet'!$B$10,Paramètres!$A$1:$I$89,3,0)*VLOOKUP('Données projet'!$B$10,Paramètres!$A$1:$I$89,5,0)</f>
        <v>105.00671999999997</v>
      </c>
      <c r="AK29" s="13">
        <f t="shared" si="35"/>
        <v>28.151366980410856</v>
      </c>
      <c r="AL29" s="20">
        <f t="shared" si="4"/>
        <v>231.91700149088217</v>
      </c>
      <c r="AM29" s="59">
        <f t="shared" si="5"/>
        <v>462.20371554007238</v>
      </c>
      <c r="AN29" s="59">
        <f ca="1">AVERAGE(OFFSET($AM$3,0,0,'Données projet'!$E$10+1,1))-AVERAGE(OFFSET($H$3,0,0,'Données projet'!$E$10+1,1))</f>
        <v>408.246209980743</v>
      </c>
      <c r="AO29" s="59">
        <f t="shared" si="36"/>
        <v>394.10236303013903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11.122793583959194</v>
      </c>
      <c r="AW29" s="21">
        <f>EXP(-LN(2)/2)*AW28+(1-EXP(-LN(2)/2))/(LN(2)/2)*AQ29*AT29*VLOOKUP('Données projet'!$B$10,Paramètres!$A$1:$I$89,3,0)*0.475*44/12</f>
        <v>6.1471310224353655</v>
      </c>
      <c r="AX29" s="21">
        <f t="shared" si="6"/>
        <v>17.269924606394561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4.0942857142857143</v>
      </c>
      <c r="BD29" s="12">
        <f>IF('Données projet'!$A$88&gt;35,BD28+BC29-BL28,IF(A29&lt;'Données projet'!$A$88,$BA$205^A29,IF(A29='Données projet'!$A$88,'Données projet'!$B$88,BD28+BC29-BL28)))</f>
        <v>106.45142857142864</v>
      </c>
      <c r="BE29" s="13">
        <f>BD29*VLOOKUP('Données projet'!$B$11,Paramètres!$A$1:$I$89,3,0)*VLOOKUP('Données projet'!$B$11,Paramètres!$A$1:$I$89,5,0)</f>
        <v>101.29917942857151</v>
      </c>
      <c r="BF29" s="13">
        <f t="shared" si="37"/>
        <v>27.271276227050439</v>
      </c>
      <c r="BG29" s="20">
        <f t="shared" si="7"/>
        <v>223.92687693354154</v>
      </c>
      <c r="BH29" s="59">
        <f t="shared" si="8"/>
        <v>454.21359098273172</v>
      </c>
      <c r="BI29" s="59">
        <f ca="1">AVERAGE(OFFSET($BH$3,0,0,'Données projet'!$E$11+1,1))-AVERAGE(OFFSET($H$3,0,0,'Données projet'!$E$11+1,1))</f>
        <v>711.91538686535682</v>
      </c>
      <c r="BJ29" s="59">
        <f t="shared" si="38"/>
        <v>313.24593837351722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4.0942857142857143</v>
      </c>
      <c r="BY29" s="12">
        <f>IF('Données projet'!$A$114&gt;35,BY28+BX29-CG28,IF(A29&lt;'Données projet'!$A$114,$BV$205^A29,IF(A29='Données projet'!$A$114,'Données projet'!$B$114,BY28+BX29-CG28)))</f>
        <v>106.45142857142864</v>
      </c>
      <c r="BZ29" s="13">
        <f>BY29*VLOOKUP('Données projet'!$B$12,Paramètres!$A$1:$I$89,3,0)*VLOOKUP('Données projet'!$B$12,Paramètres!$A$1:$I$89,5,0)</f>
        <v>96.317252571428625</v>
      </c>
      <c r="CA29" s="13">
        <f t="shared" si="39"/>
        <v>26.082726965934707</v>
      </c>
      <c r="CB29" s="20">
        <f t="shared" si="10"/>
        <v>213.1799643609078</v>
      </c>
      <c r="CC29" s="59">
        <f t="shared" si="11"/>
        <v>443.46667841009798</v>
      </c>
      <c r="CD29" s="59">
        <f ca="1">AVERAGE(OFFSET($CC$3,0,0,'Données projet'!$E$12+1,1))-AVERAGE(OFFSET($H$3,0,0,'Données projet'!$E$12+1,1))</f>
        <v>681.47578137804555</v>
      </c>
      <c r="CE29" s="59">
        <f t="shared" si="40"/>
        <v>300.88511065995885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3.0769230769230744</v>
      </c>
      <c r="CT29" s="12">
        <f>IF('Données projet'!$A$140&gt;35,CT28+CS29-DB28,IF(A29&lt;'Données projet'!$A$140,$CQ$205^A29,IF(A29='Données projet'!$A$140,'Données projet'!$B$140,CT28+CS29-DB28)))</f>
        <v>41.538461538461533</v>
      </c>
      <c r="CU29" s="17">
        <f>CT29*VLOOKUP('Données projet'!$B$13,Paramètres!$A$1:$I$89,3,0)*VLOOKUP('Données projet'!$B$13,Paramètres!$A$1:$I$89,5,0)</f>
        <v>33.695999999999998</v>
      </c>
      <c r="CV29" s="13">
        <f t="shared" si="41"/>
        <v>10.311463159807191</v>
      </c>
      <c r="CW29" s="20">
        <f t="shared" si="13"/>
        <v>76.646331669997508</v>
      </c>
      <c r="CX29" s="59">
        <f t="shared" si="14"/>
        <v>306.9330457191877</v>
      </c>
      <c r="CY29" s="59">
        <f ca="1">AVERAGE(OFFSET($CX$3,0,0,'Données projet'!$E$13+1,1))-AVERAGE(OFFSET($H$3,0,0,'Données projet'!$E$13+1,1))</f>
        <v>186.54446846714993</v>
      </c>
      <c r="CZ29" s="59">
        <f t="shared" si="42"/>
        <v>154.43773051601286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0.94802806839129661</v>
      </c>
      <c r="DH29" s="21">
        <f>EXP(-LN(2)/2)*DH28+(1-EXP(-LN(2)/2))/(LN(2)/2)*DB29*DE29*VLOOKUP('Données projet'!$B$13,Paramètres!$A$1:$I$89,3,0)*0.475*44/12</f>
        <v>0.83185206199250827</v>
      </c>
      <c r="DI29" s="22">
        <f t="shared" si="15"/>
        <v>1.779880130383805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3.15468085106383</v>
      </c>
      <c r="DO29" s="12">
        <f>IF('Données projet'!$A$166&gt;35,DO28+DN29-DW28,IF(A29&lt;'Données projet'!$A$166,$DL$205^A29,IF(A29='Données projet'!$A$166,'Données projet'!$B$166,DO28+DN29-DW28)))</f>
        <v>82.02170212765958</v>
      </c>
      <c r="DP29" s="17">
        <f>DO29*VLOOKUP('Données projet'!$B$14,Paramètres!$A$1:$I$89,3,0)*VLOOKUP('Données projet'!$B$14,Paramètres!$A$1:$I$89,5,0)</f>
        <v>93.406314382978721</v>
      </c>
      <c r="DQ29" s="13">
        <f t="shared" si="43"/>
        <v>25.384961382532573</v>
      </c>
      <c r="DR29" s="20">
        <f t="shared" si="16"/>
        <v>206.89480529159883</v>
      </c>
      <c r="DS29" s="59">
        <f t="shared" si="17"/>
        <v>437.18151934078901</v>
      </c>
      <c r="DT29" s="59">
        <f ca="1">AVERAGE(OFFSET($DS$3,0,0,'Données projet'!$E$14+1,1))-AVERAGE(OFFSET($H$3,0,0,'Données projet'!$E$14+1,1))</f>
        <v>651.35546372812314</v>
      </c>
      <c r="DU29" s="59">
        <f t="shared" si="44"/>
        <v>293.6561676213388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5.7692307692307692</v>
      </c>
      <c r="EJ29" s="12">
        <f>IF('Données projet'!$A$192&gt;35,EJ28+EI29-ER28,IF(A29&lt;'Données projet'!$A$192,$EG$205^A29,IF(A29='Données projet'!$A$192,'Données projet'!$B$192,EJ28+EI29-ER28)))</f>
        <v>63.46153846153846</v>
      </c>
      <c r="EK29" s="17">
        <f>EJ29*VLOOKUP('Données projet'!$B$15,Paramètres!$A$1:$I$89,3,0)*VLOOKUP('Données projet'!$B$15,Paramètres!$A$1:$I$89,5,0)</f>
        <v>66.330000000000013</v>
      </c>
      <c r="EL29" s="13">
        <f t="shared" si="45"/>
        <v>18.759230445983899</v>
      </c>
      <c r="EM29" s="20">
        <f t="shared" si="19"/>
        <v>148.19707636008866</v>
      </c>
      <c r="EN29" s="59">
        <f t="shared" si="20"/>
        <v>378.48379040927887</v>
      </c>
      <c r="EO29" s="59">
        <f ca="1">AVERAGE(OFFSET($EN$3,0,0,'Données projet'!$E$15+1,1))-AVERAGE(OFFSET($H$3,0,0,'Données projet'!$E$15+1,1))</f>
        <v>290.69667785754848</v>
      </c>
      <c r="EP29" s="59">
        <f t="shared" si="46"/>
        <v>256.28124185489082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9.0550106309814389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9.0550106309814389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4.0942857142857143</v>
      </c>
      <c r="N30" s="13">
        <f>IF('Données projet'!$A$36&gt;35,N29+M30-V29,IF(A30&lt;'Données projet'!$A$36,$K$205^A30,IF(A30='Données projet'!$A$36,'Données projet'!$B$36,N29+M30-V29)))</f>
        <v>110.54571428571435</v>
      </c>
      <c r="O30" s="13">
        <f>N30*VLOOKUP('Données projet'!$B$9,Paramètres!$A$1:$I$89,3,0)*VLOOKUP('Données projet'!$B$9,Paramètres!$A$1:$I$89,5,0)</f>
        <v>112.09335428571437</v>
      </c>
      <c r="P30" s="13">
        <f t="shared" si="33"/>
        <v>29.823652732348606</v>
      </c>
      <c r="Q30" s="20">
        <f t="shared" si="2"/>
        <v>247.17212055645965</v>
      </c>
      <c r="R30" s="59">
        <f t="shared" si="0"/>
        <v>479.68996342902312</v>
      </c>
      <c r="S30" s="59">
        <f ca="1">AVERAGE(OFFSET($R$3,0,0,'Données projet'!$E$9+1,1))-AVERAGE(OFFSET($H$3,0,0,'Données projet'!$E$9+1,1))</f>
        <v>752.45542076695506</v>
      </c>
      <c r="T30" s="59">
        <f t="shared" si="34"/>
        <v>329.70629768420724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14.2</v>
      </c>
      <c r="AI30" s="13">
        <f>IF('Données projet'!$A$62&gt;35,AI29+AH30-AQ29,IF(A30&lt;'Données projet'!$A$62,$AF$205^A30,IF(A30='Données projet'!$A$62,'Données projet'!$B$62,AI29+AH30-AQ29)))</f>
        <v>134.39999999999995</v>
      </c>
      <c r="AJ30" s="13">
        <f>AI30*VLOOKUP('Données projet'!$B$10,Paramètres!$A$1:$I$89,3,0)*VLOOKUP('Données projet'!$B$10,Paramètres!$A$1:$I$89,5,0)</f>
        <v>117.41183999999997</v>
      </c>
      <c r="AK30" s="13">
        <f t="shared" si="35"/>
        <v>31.070589593507044</v>
      </c>
      <c r="AL30" s="20">
        <f t="shared" si="4"/>
        <v>258.60689820869135</v>
      </c>
      <c r="AM30" s="59">
        <f t="shared" si="5"/>
        <v>491.12474108125485</v>
      </c>
      <c r="AN30" s="59">
        <f ca="1">AVERAGE(OFFSET($AM$3,0,0,'Données projet'!$E$10+1,1))-AVERAGE(OFFSET($H$3,0,0,'Données projet'!$E$10+1,1))</f>
        <v>408.246209980743</v>
      </c>
      <c r="AO30" s="59">
        <f t="shared" si="36"/>
        <v>394.10236303013903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10.818640208483536</v>
      </c>
      <c r="AW30" s="21">
        <f>EXP(-LN(2)/2)*AW29+(1-EXP(-LN(2)/2))/(LN(2)/2)*AQ30*AT30*VLOOKUP('Données projet'!$B$10,Paramètres!$A$1:$I$89,3,0)*0.475*44/12</f>
        <v>4.3466780308062427</v>
      </c>
      <c r="AX30" s="21">
        <f t="shared" si="6"/>
        <v>15.165318239289778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4.0942857142857143</v>
      </c>
      <c r="BD30" s="12">
        <f>IF('Données projet'!$A$88&gt;35,BD29+BC30-BL29,IF(A30&lt;'Données projet'!$A$88,$BA$205^A30,IF(A30='Données projet'!$A$88,'Données projet'!$B$88,BD29+BC30-BL29)))</f>
        <v>110.54571428571435</v>
      </c>
      <c r="BE30" s="13">
        <f>BD30*VLOOKUP('Données projet'!$B$11,Paramètres!$A$1:$I$89,3,0)*VLOOKUP('Données projet'!$B$11,Paramètres!$A$1:$I$89,5,0)</f>
        <v>105.19530171428579</v>
      </c>
      <c r="BF30" s="13">
        <f t="shared" si="37"/>
        <v>28.196034549376744</v>
      </c>
      <c r="BG30" s="20">
        <f t="shared" si="7"/>
        <v>232.32324399254557</v>
      </c>
      <c r="BH30" s="59">
        <f t="shared" si="8"/>
        <v>464.84108686510911</v>
      </c>
      <c r="BI30" s="59">
        <f ca="1">AVERAGE(OFFSET($BH$3,0,0,'Données projet'!$E$11+1,1))-AVERAGE(OFFSET($H$3,0,0,'Données projet'!$E$11+1,1))</f>
        <v>711.91538686535682</v>
      </c>
      <c r="BJ30" s="59">
        <f t="shared" si="38"/>
        <v>313.24593837351722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4.0942857142857143</v>
      </c>
      <c r="BY30" s="12">
        <f>IF('Données projet'!$A$114&gt;35,BY29+BX30-CG29,IF(A30&lt;'Données projet'!$A$114,$BV$205^A30,IF(A30='Données projet'!$A$114,'Données projet'!$B$114,BY29+BX30-CG29)))</f>
        <v>110.54571428571435</v>
      </c>
      <c r="BZ30" s="13">
        <f>BY30*VLOOKUP('Données projet'!$B$12,Paramètres!$A$1:$I$89,3,0)*VLOOKUP('Données projet'!$B$12,Paramètres!$A$1:$I$89,5,0)</f>
        <v>100.02176228571433</v>
      </c>
      <c r="CA30" s="13">
        <f t="shared" si="39"/>
        <v>26.967182047167292</v>
      </c>
      <c r="CB30" s="20">
        <f t="shared" si="10"/>
        <v>221.17241137976885</v>
      </c>
      <c r="CC30" s="59">
        <f t="shared" si="11"/>
        <v>453.69025425233235</v>
      </c>
      <c r="CD30" s="59">
        <f ca="1">AVERAGE(OFFSET($CC$3,0,0,'Données projet'!$E$12+1,1))-AVERAGE(OFFSET($H$3,0,0,'Données projet'!$E$12+1,1))</f>
        <v>681.47578137804555</v>
      </c>
      <c r="CE30" s="59">
        <f t="shared" si="40"/>
        <v>300.88511065995885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3.0769230769230744</v>
      </c>
      <c r="CT30" s="12">
        <f>IF('Données projet'!$A$140&gt;35,CT29+CS30-DB29,IF(A30&lt;'Données projet'!$A$140,$CQ$205^A30,IF(A30='Données projet'!$A$140,'Données projet'!$B$140,CT29+CS30-DB29)))</f>
        <v>44.615384615384606</v>
      </c>
      <c r="CU30" s="17">
        <f>CT30*VLOOKUP('Données projet'!$B$13,Paramètres!$A$1:$I$89,3,0)*VLOOKUP('Données projet'!$B$13,Paramètres!$A$1:$I$89,5,0)</f>
        <v>36.191999999999993</v>
      </c>
      <c r="CV30" s="13">
        <f t="shared" si="41"/>
        <v>10.983535130004645</v>
      </c>
      <c r="CW30" s="20">
        <f t="shared" si="13"/>
        <v>82.164057018091412</v>
      </c>
      <c r="CX30" s="59">
        <f t="shared" si="14"/>
        <v>314.6818998906549</v>
      </c>
      <c r="CY30" s="59">
        <f ca="1">AVERAGE(OFFSET($CX$3,0,0,'Données projet'!$E$13+1,1))-AVERAGE(OFFSET($H$3,0,0,'Données projet'!$E$13+1,1))</f>
        <v>186.54446846714993</v>
      </c>
      <c r="CZ30" s="59">
        <f t="shared" si="42"/>
        <v>154.43773051601286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0.9221041910065072</v>
      </c>
      <c r="DH30" s="21">
        <f>EXP(-LN(2)/2)*DH29+(1-EXP(-LN(2)/2))/(LN(2)/2)*DB30*DE30*VLOOKUP('Données projet'!$B$13,Paramètres!$A$1:$I$89,3,0)*0.475*44/12</f>
        <v>0.58820823397891497</v>
      </c>
      <c r="DI30" s="22">
        <f t="shared" si="15"/>
        <v>1.5103124249854223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3.15468085106383</v>
      </c>
      <c r="DO30" s="12">
        <f>IF('Données projet'!$A$166&gt;35,DO29+DN30-DW29,IF(A30&lt;'Données projet'!$A$166,$DL$205^A30,IF(A30='Données projet'!$A$166,'Données projet'!$B$166,DO29+DN30-DW29)))</f>
        <v>85.17638297872341</v>
      </c>
      <c r="DP30" s="17">
        <f>DO30*VLOOKUP('Données projet'!$B$14,Paramètres!$A$1:$I$89,3,0)*VLOOKUP('Données projet'!$B$14,Paramètres!$A$1:$I$89,5,0)</f>
        <v>96.998864936170222</v>
      </c>
      <c r="DQ30" s="13">
        <f t="shared" si="43"/>
        <v>26.245755505439931</v>
      </c>
      <c r="DR30" s="20">
        <f t="shared" si="16"/>
        <v>214.65104726913765</v>
      </c>
      <c r="DS30" s="59">
        <f t="shared" si="17"/>
        <v>447.16889014170113</v>
      </c>
      <c r="DT30" s="59">
        <f ca="1">AVERAGE(OFFSET($DS$3,0,0,'Données projet'!$E$14+1,1))-AVERAGE(OFFSET($H$3,0,0,'Données projet'!$E$14+1,1))</f>
        <v>651.35546372812314</v>
      </c>
      <c r="DU30" s="59">
        <f t="shared" si="44"/>
        <v>293.6561676213388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5.7692307692307692</v>
      </c>
      <c r="EJ30" s="12">
        <f>IF('Données projet'!$A$192&gt;35,EJ29+EI30-ER29,IF(A30&lt;'Données projet'!$A$192,$EG$205^A30,IF(A30='Données projet'!$A$192,'Données projet'!$B$192,EJ29+EI30-ER29)))</f>
        <v>69.230769230769226</v>
      </c>
      <c r="EK30" s="17">
        <f>EJ30*VLOOKUP('Données projet'!$B$15,Paramètres!$A$1:$I$89,3,0)*VLOOKUP('Données projet'!$B$15,Paramètres!$A$1:$I$89,5,0)</f>
        <v>72.36</v>
      </c>
      <c r="EL30" s="13">
        <f t="shared" si="45"/>
        <v>20.258392951825481</v>
      </c>
      <c r="EM30" s="20">
        <f t="shared" si="19"/>
        <v>161.31036772442937</v>
      </c>
      <c r="EN30" s="59">
        <f t="shared" si="20"/>
        <v>393.8282105969929</v>
      </c>
      <c r="EO30" s="59">
        <f ca="1">AVERAGE(OFFSET($EN$3,0,0,'Données projet'!$E$15+1,1))-AVERAGE(OFFSET($H$3,0,0,'Données projet'!$E$15+1,1))</f>
        <v>290.69667785754848</v>
      </c>
      <c r="EP30" s="59">
        <f t="shared" si="46"/>
        <v>256.28124185489082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8.8074008890949376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8.8074008890949376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4.0942857142857143</v>
      </c>
      <c r="N31" s="13">
        <f>IF('Données projet'!$A$36&gt;35,N30+M31-V30,IF(A31&lt;'Données projet'!$A$36,$K$205^A31,IF(A31='Données projet'!$A$36,'Données projet'!$B$36,N30+M31-V30)))</f>
        <v>114.64000000000007</v>
      </c>
      <c r="O31" s="13">
        <f>N31*VLOOKUP('Données projet'!$B$9,Paramètres!$A$1:$I$89,3,0)*VLOOKUP('Données projet'!$B$9,Paramètres!$A$1:$I$89,5,0)</f>
        <v>116.24496000000008</v>
      </c>
      <c r="P31" s="13">
        <f t="shared" si="33"/>
        <v>30.797583987099902</v>
      </c>
      <c r="Q31" s="20">
        <f t="shared" si="2"/>
        <v>256.09909744419912</v>
      </c>
      <c r="R31" s="59">
        <f t="shared" si="0"/>
        <v>490.83056686618318</v>
      </c>
      <c r="S31" s="59">
        <f ca="1">AVERAGE(OFFSET($R$3,0,0,'Données projet'!$E$9+1,1))-AVERAGE(OFFSET($H$3,0,0,'Données projet'!$E$9+1,1))</f>
        <v>752.45542076695506</v>
      </c>
      <c r="T31" s="59">
        <f t="shared" si="34"/>
        <v>329.70629768420724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14.2</v>
      </c>
      <c r="AI31" s="13">
        <f>IF('Données projet'!$A$62&gt;35,AI30+AH31-AQ30,IF(A31&lt;'Données projet'!$A$62,$AF$205^A31,IF(A31='Données projet'!$A$62,'Données projet'!$B$62,AI30+AH31-AQ30)))</f>
        <v>148.59999999999994</v>
      </c>
      <c r="AJ31" s="13">
        <f>AI31*VLOOKUP('Données projet'!$B$10,Paramètres!$A$1:$I$89,3,0)*VLOOKUP('Données projet'!$B$10,Paramètres!$A$1:$I$89,5,0)</f>
        <v>129.81695999999997</v>
      </c>
      <c r="AK31" s="13">
        <f t="shared" si="35"/>
        <v>33.954060694815986</v>
      </c>
      <c r="AL31" s="20">
        <f t="shared" si="4"/>
        <v>285.23452771013774</v>
      </c>
      <c r="AM31" s="59">
        <f t="shared" si="5"/>
        <v>519.96599713212186</v>
      </c>
      <c r="AN31" s="59">
        <f ca="1">AVERAGE(OFFSET($AM$3,0,0,'Données projet'!$E$10+1,1))-AVERAGE(OFFSET($H$3,0,0,'Données projet'!$E$10+1,1))</f>
        <v>408.246209980743</v>
      </c>
      <c r="AO31" s="59">
        <f t="shared" si="36"/>
        <v>394.10236303013903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10.522803923054992</v>
      </c>
      <c r="AW31" s="21">
        <f>EXP(-LN(2)/2)*AW30+(1-EXP(-LN(2)/2))/(LN(2)/2)*AQ31*AT31*VLOOKUP('Données projet'!$B$10,Paramètres!$A$1:$I$89,3,0)*0.475*44/12</f>
        <v>3.0735655112176832</v>
      </c>
      <c r="AX31" s="21">
        <f t="shared" si="6"/>
        <v>13.596369434272676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4.0942857142857143</v>
      </c>
      <c r="BD31" s="12">
        <f>IF('Données projet'!$A$88&gt;35,BD30+BC31-BL30,IF(A31&lt;'Données projet'!$A$88,$BA$205^A31,IF(A31='Données projet'!$A$88,'Données projet'!$B$88,BD30+BC31-BL30)))</f>
        <v>114.64000000000007</v>
      </c>
      <c r="BE31" s="13">
        <f>BD31*VLOOKUP('Données projet'!$B$11,Paramètres!$A$1:$I$89,3,0)*VLOOKUP('Données projet'!$B$11,Paramètres!$A$1:$I$89,5,0)</f>
        <v>109.09142400000007</v>
      </c>
      <c r="BF31" s="13">
        <f t="shared" si="37"/>
        <v>29.116813756207414</v>
      </c>
      <c r="BG31" s="20">
        <f t="shared" si="7"/>
        <v>240.71268075872808</v>
      </c>
      <c r="BH31" s="59">
        <f t="shared" si="8"/>
        <v>475.4441501807122</v>
      </c>
      <c r="BI31" s="59">
        <f ca="1">AVERAGE(OFFSET($BH$3,0,0,'Données projet'!$E$11+1,1))-AVERAGE(OFFSET($H$3,0,0,'Données projet'!$E$11+1,1))</f>
        <v>711.91538686535682</v>
      </c>
      <c r="BJ31" s="59">
        <f t="shared" si="38"/>
        <v>313.24593837351722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4.0942857142857143</v>
      </c>
      <c r="BY31" s="12">
        <f>IF('Données projet'!$A$114&gt;35,BY30+BX31-CG30,IF(A31&lt;'Données projet'!$A$114,$BV$205^A31,IF(A31='Données projet'!$A$114,'Données projet'!$B$114,BY30+BX31-CG30)))</f>
        <v>114.64000000000007</v>
      </c>
      <c r="BZ31" s="13">
        <f>BY31*VLOOKUP('Données projet'!$B$12,Paramètres!$A$1:$I$89,3,0)*VLOOKUP('Données projet'!$B$12,Paramètres!$A$1:$I$89,5,0)</f>
        <v>103.72627200000005</v>
      </c>
      <c r="CA31" s="13">
        <f t="shared" si="39"/>
        <v>27.847831432539717</v>
      </c>
      <c r="CB31" s="20">
        <f t="shared" si="10"/>
        <v>229.15823014500677</v>
      </c>
      <c r="CC31" s="59">
        <f t="shared" si="11"/>
        <v>463.88969956699088</v>
      </c>
      <c r="CD31" s="59">
        <f ca="1">AVERAGE(OFFSET($CC$3,0,0,'Données projet'!$E$12+1,1))-AVERAGE(OFFSET($H$3,0,0,'Données projet'!$E$12+1,1))</f>
        <v>681.47578137804555</v>
      </c>
      <c r="CE31" s="59">
        <f t="shared" si="40"/>
        <v>300.88511065995885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3.0769230769230744</v>
      </c>
      <c r="CT31" s="12">
        <f>IF('Données projet'!$A$140&gt;35,CT30+CS31-DB30,IF(A31&lt;'Données projet'!$A$140,$CQ$205^A31,IF(A31='Données projet'!$A$140,'Données projet'!$B$140,CT30+CS31-DB30)))</f>
        <v>47.692307692307679</v>
      </c>
      <c r="CU31" s="17">
        <f>CT31*VLOOKUP('Données projet'!$B$13,Paramètres!$A$1:$I$89,3,0)*VLOOKUP('Données projet'!$B$13,Paramètres!$A$1:$I$89,5,0)</f>
        <v>38.687999999999988</v>
      </c>
      <c r="CV31" s="13">
        <f t="shared" si="41"/>
        <v>11.650229083154349</v>
      </c>
      <c r="CW31" s="20">
        <f t="shared" si="13"/>
        <v>87.672415653160456</v>
      </c>
      <c r="CX31" s="59">
        <f t="shared" si="14"/>
        <v>322.40388507514456</v>
      </c>
      <c r="CY31" s="59">
        <f ca="1">AVERAGE(OFFSET($CX$3,0,0,'Données projet'!$E$13+1,1))-AVERAGE(OFFSET($H$3,0,0,'Données projet'!$E$13+1,1))</f>
        <v>186.54446846714993</v>
      </c>
      <c r="CZ31" s="59">
        <f t="shared" si="42"/>
        <v>154.43773051601286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0.89688920341208234</v>
      </c>
      <c r="DH31" s="21">
        <f>EXP(-LN(2)/2)*DH30+(1-EXP(-LN(2)/2))/(LN(2)/2)*DB31*DE31*VLOOKUP('Données projet'!$B$13,Paramètres!$A$1:$I$89,3,0)*0.475*44/12</f>
        <v>0.41592603099625419</v>
      </c>
      <c r="DI31" s="22">
        <f t="shared" si="15"/>
        <v>1.3128152344083366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3.15468085106383</v>
      </c>
      <c r="DO31" s="12">
        <f>IF('Données projet'!$A$166&gt;35,DO30+DN31-DW30,IF(A31&lt;'Données projet'!$A$166,$DL$205^A31,IF(A31='Données projet'!$A$166,'Données projet'!$B$166,DO30+DN31-DW30)))</f>
        <v>88.33106382978724</v>
      </c>
      <c r="DP31" s="17">
        <f>DO31*VLOOKUP('Données projet'!$B$14,Paramètres!$A$1:$I$89,3,0)*VLOOKUP('Données projet'!$B$14,Paramètres!$A$1:$I$89,5,0)</f>
        <v>100.59141548936172</v>
      </c>
      <c r="DQ31" s="13">
        <f t="shared" si="43"/>
        <v>27.102845742531592</v>
      </c>
      <c r="DR31" s="20">
        <f t="shared" si="16"/>
        <v>222.40083831221418</v>
      </c>
      <c r="DS31" s="59">
        <f t="shared" si="17"/>
        <v>457.13230773419826</v>
      </c>
      <c r="DT31" s="59">
        <f ca="1">AVERAGE(OFFSET($DS$3,0,0,'Données projet'!$E$14+1,1))-AVERAGE(OFFSET($H$3,0,0,'Données projet'!$E$14+1,1))</f>
        <v>651.35546372812314</v>
      </c>
      <c r="DU31" s="59">
        <f t="shared" si="44"/>
        <v>293.6561676213388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5.7692307692307692</v>
      </c>
      <c r="EJ31" s="12">
        <f>IF('Données projet'!$A$192&gt;35,EJ30+EI31-ER30,IF(A31&lt;'Données projet'!$A$192,$EG$205^A31,IF(A31='Données projet'!$A$192,'Données projet'!$B$192,EJ30+EI31-ER30)))</f>
        <v>75</v>
      </c>
      <c r="EK31" s="17">
        <f>EJ31*VLOOKUP('Données projet'!$B$15,Paramètres!$A$1:$I$89,3,0)*VLOOKUP('Données projet'!$B$15,Paramètres!$A$1:$I$89,5,0)</f>
        <v>78.39</v>
      </c>
      <c r="EL31" s="13">
        <f t="shared" si="45"/>
        <v>21.743066192079873</v>
      </c>
      <c r="EM31" s="20">
        <f t="shared" si="19"/>
        <v>174.3984236178724</v>
      </c>
      <c r="EN31" s="59">
        <f t="shared" si="20"/>
        <v>409.12989303985648</v>
      </c>
      <c r="EO31" s="59">
        <f ca="1">AVERAGE(OFFSET($EN$3,0,0,'Données projet'!$E$15+1,1))-AVERAGE(OFFSET($H$3,0,0,'Données projet'!$E$15+1,1))</f>
        <v>290.69667785754848</v>
      </c>
      <c r="EP31" s="59">
        <f t="shared" si="46"/>
        <v>256.28124185489082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8.5665620486215541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8.5665620486215541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4.0942857142857143</v>
      </c>
      <c r="N32" s="13">
        <f>IF('Données projet'!$A$36&gt;35,N31+M32-V31,IF(A32&lt;'Données projet'!$A$36,$K$205^A32,IF(A32='Données projet'!$A$36,'Données projet'!$B$36,N31+M32-V31)))</f>
        <v>118.73428571428579</v>
      </c>
      <c r="O32" s="13">
        <f>N32*VLOOKUP('Données projet'!$B$9,Paramètres!$A$1:$I$89,3,0)*VLOOKUP('Données projet'!$B$9,Paramètres!$A$1:$I$89,5,0)</f>
        <v>120.39656571428579</v>
      </c>
      <c r="P32" s="13">
        <f t="shared" si="33"/>
        <v>31.767473966995706</v>
      </c>
      <c r="Q32" s="20">
        <f t="shared" si="2"/>
        <v>265.01903577823191</v>
      </c>
      <c r="R32" s="59">
        <f t="shared" si="0"/>
        <v>501.94693310100774</v>
      </c>
      <c r="S32" s="59">
        <f ca="1">AVERAGE(OFFSET($R$3,0,0,'Données projet'!$E$9+1,1))-AVERAGE(OFFSET($H$3,0,0,'Données projet'!$E$9+1,1))</f>
        <v>752.45542076695506</v>
      </c>
      <c r="T32" s="59">
        <f t="shared" si="34"/>
        <v>329.70629768420724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14.2</v>
      </c>
      <c r="AI32" s="13">
        <f>IF('Données projet'!$A$62&gt;35,AI31+AH32-AQ31,IF(A32&lt;'Données projet'!$A$62,$AF$205^A32,IF(A32='Données projet'!$A$62,'Données projet'!$B$62,AI31+AH32-AQ31)))</f>
        <v>162.79999999999993</v>
      </c>
      <c r="AJ32" s="13">
        <f>AI32*VLOOKUP('Données projet'!$B$10,Paramètres!$A$1:$I$89,3,0)*VLOOKUP('Données projet'!$B$10,Paramètres!$A$1:$I$89,5,0)</f>
        <v>142.22207999999995</v>
      </c>
      <c r="AK32" s="13">
        <f t="shared" si="35"/>
        <v>36.805585341198615</v>
      </c>
      <c r="AL32" s="20">
        <f t="shared" si="4"/>
        <v>311.80651713592084</v>
      </c>
      <c r="AM32" s="59">
        <f t="shared" si="5"/>
        <v>548.73441445869662</v>
      </c>
      <c r="AN32" s="59">
        <f ca="1">AVERAGE(OFFSET($AM$3,0,0,'Données projet'!$E$10+1,1))-AVERAGE(OFFSET($H$3,0,0,'Données projet'!$E$10+1,1))</f>
        <v>408.246209980743</v>
      </c>
      <c r="AO32" s="59">
        <f t="shared" si="36"/>
        <v>394.10236303013903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10.235057296408845</v>
      </c>
      <c r="AW32" s="21">
        <f>EXP(-LN(2)/2)*AW31+(1-EXP(-LN(2)/2))/(LN(2)/2)*AQ32*AT32*VLOOKUP('Données projet'!$B$10,Paramètres!$A$1:$I$89,3,0)*0.475*44/12</f>
        <v>2.1733390154031214</v>
      </c>
      <c r="AX32" s="21">
        <f t="shared" si="6"/>
        <v>12.408396311811966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4.0942857142857143</v>
      </c>
      <c r="BD32" s="12">
        <f>IF('Données projet'!$A$88&gt;35,BD31+BC32-BL31,IF(A32&lt;'Données projet'!$A$88,$BA$205^A32,IF(A32='Données projet'!$A$88,'Données projet'!$B$88,BD31+BC32-BL31)))</f>
        <v>118.73428571428579</v>
      </c>
      <c r="BE32" s="13">
        <f>BD32*VLOOKUP('Données projet'!$B$11,Paramètres!$A$1:$I$89,3,0)*VLOOKUP('Données projet'!$B$11,Paramètres!$A$1:$I$89,5,0)</f>
        <v>112.98754628571437</v>
      </c>
      <c r="BF32" s="13">
        <f t="shared" si="37"/>
        <v>30.03377223971917</v>
      </c>
      <c r="BG32" s="20">
        <f t="shared" si="7"/>
        <v>249.0954630984634</v>
      </c>
      <c r="BH32" s="59">
        <f t="shared" si="8"/>
        <v>486.0233604212392</v>
      </c>
      <c r="BI32" s="59">
        <f ca="1">AVERAGE(OFFSET($BH$3,0,0,'Données projet'!$E$11+1,1))-AVERAGE(OFFSET($H$3,0,0,'Données projet'!$E$11+1,1))</f>
        <v>711.91538686535682</v>
      </c>
      <c r="BJ32" s="59">
        <f t="shared" si="38"/>
        <v>313.24593837351722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4.0942857142857143</v>
      </c>
      <c r="BY32" s="12">
        <f>IF('Données projet'!$A$114&gt;35,BY31+BX32-CG31,IF(A32&lt;'Données projet'!$A$114,$BV$205^A32,IF(A32='Données projet'!$A$114,'Données projet'!$B$114,BY31+BX32-CG31)))</f>
        <v>118.73428571428579</v>
      </c>
      <c r="BZ32" s="13">
        <f>BY32*VLOOKUP('Données projet'!$B$12,Paramètres!$A$1:$I$89,3,0)*VLOOKUP('Données projet'!$B$12,Paramètres!$A$1:$I$89,5,0)</f>
        <v>107.43078171428577</v>
      </c>
      <c r="CA32" s="13">
        <f t="shared" si="39"/>
        <v>28.724826611108305</v>
      </c>
      <c r="CB32" s="20">
        <f t="shared" si="10"/>
        <v>237.13768450006134</v>
      </c>
      <c r="CC32" s="59">
        <f t="shared" si="11"/>
        <v>474.0655818228372</v>
      </c>
      <c r="CD32" s="59">
        <f ca="1">AVERAGE(OFFSET($CC$3,0,0,'Données projet'!$E$12+1,1))-AVERAGE(OFFSET($H$3,0,0,'Données projet'!$E$12+1,1))</f>
        <v>681.47578137804555</v>
      </c>
      <c r="CE32" s="59">
        <f t="shared" si="40"/>
        <v>300.88511065995885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3.0769230769230744</v>
      </c>
      <c r="CT32" s="12">
        <f>IF('Données projet'!$A$140&gt;35,CT31+CS32-DB31,IF(A32&lt;'Données projet'!$A$140,$CQ$205^A32,IF(A32='Données projet'!$A$140,'Données projet'!$B$140,CT31+CS32-DB31)))</f>
        <v>50.769230769230752</v>
      </c>
      <c r="CU32" s="17">
        <f>CT32*VLOOKUP('Données projet'!$B$13,Paramètres!$A$1:$I$89,3,0)*VLOOKUP('Données projet'!$B$13,Paramètres!$A$1:$I$89,5,0)</f>
        <v>41.18399999999999</v>
      </c>
      <c r="CV32" s="13">
        <f t="shared" si="41"/>
        <v>12.311931477761835</v>
      </c>
      <c r="CW32" s="20">
        <f t="shared" si="13"/>
        <v>93.172080657101844</v>
      </c>
      <c r="CX32" s="59">
        <f t="shared" si="14"/>
        <v>330.09997797987768</v>
      </c>
      <c r="CY32" s="59">
        <f ca="1">AVERAGE(OFFSET($CX$3,0,0,'Données projet'!$E$13+1,1))-AVERAGE(OFFSET($H$3,0,0,'Données projet'!$E$13+1,1))</f>
        <v>186.54446846714993</v>
      </c>
      <c r="CZ32" s="59">
        <f t="shared" si="42"/>
        <v>154.43773051601286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0.87236372097942561</v>
      </c>
      <c r="DH32" s="21">
        <f>EXP(-LN(2)/2)*DH31+(1-EXP(-LN(2)/2))/(LN(2)/2)*DB32*DE32*VLOOKUP('Données projet'!$B$13,Paramètres!$A$1:$I$89,3,0)*0.475*44/12</f>
        <v>0.29410411698945754</v>
      </c>
      <c r="DI32" s="22">
        <f t="shared" si="15"/>
        <v>1.1664678379688831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3.15468085106383</v>
      </c>
      <c r="DO32" s="12">
        <f>IF('Données projet'!$A$166&gt;35,DO31+DN32-DW31,IF(A32&lt;'Données projet'!$A$166,$DL$205^A32,IF(A32='Données projet'!$A$166,'Données projet'!$B$166,DO31+DN32-DW31)))</f>
        <v>91.48574468085107</v>
      </c>
      <c r="DP32" s="17">
        <f>DO32*VLOOKUP('Données projet'!$B$14,Paramètres!$A$1:$I$89,3,0)*VLOOKUP('Données projet'!$B$14,Paramètres!$A$1:$I$89,5,0)</f>
        <v>104.18396604255321</v>
      </c>
      <c r="DQ32" s="13">
        <f t="shared" si="43"/>
        <v>27.956379530225931</v>
      </c>
      <c r="DR32" s="20">
        <f t="shared" si="16"/>
        <v>230.14443520592366</v>
      </c>
      <c r="DS32" s="59">
        <f t="shared" si="17"/>
        <v>467.07233252869946</v>
      </c>
      <c r="DT32" s="59">
        <f ca="1">AVERAGE(OFFSET($DS$3,0,0,'Données projet'!$E$14+1,1))-AVERAGE(OFFSET($H$3,0,0,'Données projet'!$E$14+1,1))</f>
        <v>651.35546372812314</v>
      </c>
      <c r="DU32" s="59">
        <f t="shared" si="44"/>
        <v>293.6561676213388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5.7692307692307692</v>
      </c>
      <c r="EJ32" s="12">
        <f>IF('Données projet'!$A$192&gt;35,EJ31+EI32-ER31,IF(A32&lt;'Données projet'!$A$192,$EG$205^A32,IF(A32='Données projet'!$A$192,'Données projet'!$B$192,EJ31+EI32-ER31)))</f>
        <v>80.769230769230774</v>
      </c>
      <c r="EK32" s="17">
        <f>EJ32*VLOOKUP('Données projet'!$B$15,Paramètres!$A$1:$I$89,3,0)*VLOOKUP('Données projet'!$B$15,Paramètres!$A$1:$I$89,5,0)</f>
        <v>84.420000000000016</v>
      </c>
      <c r="EL32" s="13">
        <f t="shared" si="45"/>
        <v>23.214491450008364</v>
      </c>
      <c r="EM32" s="20">
        <f t="shared" si="19"/>
        <v>187.46340594209792</v>
      </c>
      <c r="EN32" s="59">
        <f t="shared" si="20"/>
        <v>424.39130326487373</v>
      </c>
      <c r="EO32" s="59">
        <f ca="1">AVERAGE(OFFSET($EN$3,0,0,'Données projet'!$E$15+1,1))-AVERAGE(OFFSET($H$3,0,0,'Données projet'!$E$15+1,1))</f>
        <v>290.69667785754848</v>
      </c>
      <c r="EP32" s="59">
        <f t="shared" si="46"/>
        <v>256.28124185489082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8.3323089589060793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8.3323089589060793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4.0942857142857143</v>
      </c>
      <c r="N33" s="13">
        <f>IF('Données projet'!$A$36&gt;35,N32+M33-V32,IF(A33&lt;'Données projet'!$A$36,$K$205^A33,IF(A33='Données projet'!$A$36,'Données projet'!$B$36,N32+M33-V32)))</f>
        <v>122.82857142857151</v>
      </c>
      <c r="O33" s="13">
        <f>N33*VLOOKUP('Données projet'!$B$9,Paramètres!$A$1:$I$89,3,0)*VLOOKUP('Données projet'!$B$9,Paramètres!$A$1:$I$89,5,0)</f>
        <v>124.54817142857152</v>
      </c>
      <c r="P33" s="13">
        <f t="shared" si="33"/>
        <v>32.733477997934884</v>
      </c>
      <c r="Q33" s="20">
        <f t="shared" si="2"/>
        <v>273.93220608449866</v>
      </c>
      <c r="R33" s="59">
        <f t="shared" si="0"/>
        <v>513.03963101754061</v>
      </c>
      <c r="S33" s="59">
        <f ca="1">AVERAGE(OFFSET($R$3,0,0,'Données projet'!$E$9+1,1))-AVERAGE(OFFSET($H$3,0,0,'Données projet'!$E$9+1,1))</f>
        <v>752.45542076695506</v>
      </c>
      <c r="T33" s="59">
        <f t="shared" si="34"/>
        <v>329.70629768420724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177</v>
      </c>
      <c r="AG33" s="12">
        <f>VLOOKUP(A33,'Données projet'!$A$61:$I$81,9,0)</f>
        <v>14.2</v>
      </c>
      <c r="AH33" s="12">
        <f t="array" ref="AH33">INDEX(AG:AG,MIN(IF(ISNUMBER(AG33:AG229),ROW(AG33:AG229),"")))</f>
        <v>14.2</v>
      </c>
      <c r="AI33" s="13">
        <f>IF('Données projet'!$A$62&gt;35,AI32+AH33-AQ32,IF(A33&lt;'Données projet'!$A$62,$AF$205^A33,IF(A33='Données projet'!$A$62,'Données projet'!$B$62,AI32+AH33-AQ32)))</f>
        <v>176.99999999999991</v>
      </c>
      <c r="AJ33" s="13">
        <f>AI33*VLOOKUP('Données projet'!$B$10,Paramètres!$A$1:$I$89,3,0)*VLOOKUP('Données projet'!$B$10,Paramètres!$A$1:$I$89,5,0)</f>
        <v>154.62719999999996</v>
      </c>
      <c r="AK33" s="13">
        <f t="shared" si="35"/>
        <v>39.62826685000794</v>
      </c>
      <c r="AL33" s="20">
        <f t="shared" si="4"/>
        <v>338.32827143043039</v>
      </c>
      <c r="AM33" s="59">
        <f t="shared" si="5"/>
        <v>577.4356963634724</v>
      </c>
      <c r="AN33" s="59">
        <f ca="1">AVERAGE(OFFSET($AM$3,0,0,'Données projet'!$E$10+1,1))-AVERAGE(OFFSET($H$3,0,0,'Données projet'!$E$10+1,1))</f>
        <v>408.246209980743</v>
      </c>
      <c r="AO33" s="59">
        <f t="shared" si="36"/>
        <v>394.10236303013903</v>
      </c>
      <c r="AP33" s="15">
        <f>IF(ISNA(VLOOKUP(A33,'Données projet'!$A$61:$I$81,3,0)),0,VLOOKUP(A33,'Données projet'!$A$61:$I$81,3,0))</f>
        <v>4</v>
      </c>
      <c r="AQ33" s="15">
        <f>IF(ISNA(VLOOKUP(A33,'Données projet'!$A$61:$I$81,4,0)),0,VLOOKUP(A33,'Données projet'!$A$61:$I$81,4,0))</f>
        <v>35</v>
      </c>
      <c r="AR33" s="16">
        <f>IF(ISNA(VLOOKUP(A33,'Données projet'!$A$61:$I$81,5,0)),0%,VLOOKUP(A33,'Données projet'!$A$61:$I$81,5,0)*VLOOKUP('Données projet'!$B$10,Paramètres!$A$1:$I$89,7,0))</f>
        <v>0.13250000000000001</v>
      </c>
      <c r="AS33" s="16">
        <f>IF(ISNA(VLOOKUP(A33,'Données projet'!$A$61:$I$81,6,0)),0%,VLOOKUP(A33,'Données projet'!$A$61:$I$81,6,0)*VLOOKUP('Données projet'!$B$10,Paramètres!$A$1:$I$89,7,0))</f>
        <v>0.13250000000000001</v>
      </c>
      <c r="AT33" s="16">
        <f>IF(ISNA(VLOOKUP(A33,'Données projet'!$A$61:$I$81,7,0)),0%,VLOOKUP(A33,'Données projet'!$A$61:$I$81,7,0))</f>
        <v>0.25</v>
      </c>
      <c r="AU33" s="21">
        <f>EXP(-LN(2)/35)*AU32+(1-EXP(-LN(2)/35))/(LN(2)/35)*AQ33*AR33*VLOOKUP('Données projet'!$B$10,Paramètres!$A$1:$I$89,3,0)*0.475*44/12</f>
        <v>4.4786142580094328</v>
      </c>
      <c r="AV33" s="21">
        <f>EXP(-LN(2)/25)*AV32+(1-EXP(-LN(2)/25))/(LN(2)/25)*Calculateur!AQ33*Calculateur!AS33*VLOOKUP('Données projet'!$B$10,Paramètres!$A$1:$I$89,3,0)*0.475*44/12</f>
        <v>14.416159363590104</v>
      </c>
      <c r="AW33" s="21">
        <f>EXP(-LN(2)/2)*AW32+(1-EXP(-LN(2)/2))/(LN(2)/2)*AQ33*AT33*VLOOKUP('Données projet'!$B$10,Paramètres!$A$1:$I$89,3,0)*0.475*44/12</f>
        <v>8.7491024908524295</v>
      </c>
      <c r="AX33" s="21">
        <f t="shared" si="6"/>
        <v>27.643876112451967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4.0942857142857143</v>
      </c>
      <c r="BD33" s="12">
        <f>IF('Données projet'!$A$88&gt;35,BD32+BC33-BL32,IF(A33&lt;'Données projet'!$A$88,$BA$205^A33,IF(A33='Données projet'!$A$88,'Données projet'!$B$88,BD32+BC33-BL32)))</f>
        <v>122.82857142857151</v>
      </c>
      <c r="BE33" s="13">
        <f>BD33*VLOOKUP('Données projet'!$B$11,Paramètres!$A$1:$I$89,3,0)*VLOOKUP('Données projet'!$B$11,Paramètres!$A$1:$I$89,5,0)</f>
        <v>116.88366857142864</v>
      </c>
      <c r="BF33" s="13">
        <f t="shared" si="37"/>
        <v>30.947056848939916</v>
      </c>
      <c r="BG33" s="20">
        <f t="shared" si="7"/>
        <v>257.47184677380858</v>
      </c>
      <c r="BH33" s="59">
        <f t="shared" si="8"/>
        <v>496.57927170685059</v>
      </c>
      <c r="BI33" s="59">
        <f ca="1">AVERAGE(OFFSET($BH$3,0,0,'Données projet'!$E$11+1,1))-AVERAGE(OFFSET($H$3,0,0,'Données projet'!$E$11+1,1))</f>
        <v>711.91538686535682</v>
      </c>
      <c r="BJ33" s="59">
        <f t="shared" si="38"/>
        <v>313.24593837351722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4.0942857142857143</v>
      </c>
      <c r="BY33" s="12">
        <f>IF('Données projet'!$A$114&gt;35,BY32+BX33-CG32,IF(A33&lt;'Données projet'!$A$114,$BV$205^A33,IF(A33='Données projet'!$A$114,'Données projet'!$B$114,BY32+BX33-CG32)))</f>
        <v>122.82857142857151</v>
      </c>
      <c r="BZ33" s="13">
        <f>BY33*VLOOKUP('Données projet'!$B$12,Paramètres!$A$1:$I$89,3,0)*VLOOKUP('Données projet'!$B$12,Paramètres!$A$1:$I$89,5,0)</f>
        <v>111.13529142857149</v>
      </c>
      <c r="CA33" s="13">
        <f t="shared" si="39"/>
        <v>29.598308031859261</v>
      </c>
      <c r="CB33" s="20">
        <f t="shared" si="10"/>
        <v>245.11101906025024</v>
      </c>
      <c r="CC33" s="59">
        <f t="shared" si="11"/>
        <v>484.21844399329223</v>
      </c>
      <c r="CD33" s="59">
        <f ca="1">AVERAGE(OFFSET($CC$3,0,0,'Données projet'!$E$12+1,1))-AVERAGE(OFFSET($H$3,0,0,'Données projet'!$E$12+1,1))</f>
        <v>681.47578137804555</v>
      </c>
      <c r="CE33" s="59">
        <f t="shared" si="40"/>
        <v>300.88511065995885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53.84615384615384</v>
      </c>
      <c r="CR33" s="12">
        <f>VLOOKUP(A33,'Données projet'!$A$139:$I$159,9,0)</f>
        <v>3.0769230769230744</v>
      </c>
      <c r="CS33" s="12">
        <f t="array" ref="CS33">INDEX(CR:CR,MIN(IF(ISNUMBER(CR33:CR229),ROW(CR33:CR229),"")))</f>
        <v>3.0769230769230744</v>
      </c>
      <c r="CT33" s="12">
        <f>IF('Données projet'!$A$140&gt;35,CT32+CS33-DB32,IF(A33&lt;'Données projet'!$A$140,$CQ$205^A33,IF(A33='Données projet'!$A$140,'Données projet'!$B$140,CT32+CS33-DB32)))</f>
        <v>53.846153846153825</v>
      </c>
      <c r="CU33" s="17">
        <f>CT33*VLOOKUP('Données projet'!$B$13,Paramètres!$A$1:$I$89,3,0)*VLOOKUP('Données projet'!$B$13,Paramètres!$A$1:$I$89,5,0)</f>
        <v>43.679999999999986</v>
      </c>
      <c r="CV33" s="13">
        <f t="shared" si="41"/>
        <v>12.968979282088572</v>
      </c>
      <c r="CW33" s="20">
        <f t="shared" si="13"/>
        <v>98.663638916304237</v>
      </c>
      <c r="CX33" s="59">
        <f t="shared" si="14"/>
        <v>337.77106384934621</v>
      </c>
      <c r="CY33" s="59">
        <f ca="1">AVERAGE(OFFSET($CX$3,0,0,'Données projet'!$E$13+1,1))-AVERAGE(OFFSET($H$3,0,0,'Données projet'!$E$13+1,1))</f>
        <v>186.54446846714993</v>
      </c>
      <c r="CZ33" s="59">
        <f t="shared" si="42"/>
        <v>154.43773051601286</v>
      </c>
      <c r="DA33" s="15">
        <f>IF(ISNA(VLOOKUP(A33,'Données projet'!$A$139:$I$159,3,0)),0,VLOOKUP(A33,'Données projet'!$A$139:$I$159,3,0))</f>
        <v>4</v>
      </c>
      <c r="DB33" s="15">
        <f>IF(ISNA(VLOOKUP(A33,'Données projet'!$A$139:$I$159,4,0)),0,VLOOKUP(A33,'Données projet'!$A$139:$I$159,4,0))</f>
        <v>5.7692307692307692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0.1075</v>
      </c>
      <c r="DE33" s="16">
        <f>IF(ISNA(VLOOKUP(A33,'Données projet'!$A$139:$I$159,7,0)),0%,VLOOKUP(A33,'Données projet'!$A$139:$I$159,7,0))</f>
        <v>0.25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1.4024812148058126</v>
      </c>
      <c r="DH33" s="21">
        <f>EXP(-LN(2)/2)*DH32+(1-EXP(-LN(2)/2))/(LN(2)/2)*DB33*DE33*VLOOKUP('Données projet'!$B$13,Paramètres!$A$1:$I$89,3,0)*0.475*44/12</f>
        <v>1.3118895055864315</v>
      </c>
      <c r="DI33" s="22">
        <f t="shared" si="15"/>
        <v>2.7143707203922443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3.15468085106383</v>
      </c>
      <c r="DO33" s="12">
        <f>IF('Données projet'!$A$166&gt;35,DO32+DN33-DW32,IF(A33&lt;'Données projet'!$A$166,$DL$205^A33,IF(A33='Données projet'!$A$166,'Données projet'!$B$166,DO32+DN33-DW32)))</f>
        <v>94.6404255319149</v>
      </c>
      <c r="DP33" s="17">
        <f>DO33*VLOOKUP('Données projet'!$B$14,Paramètres!$A$1:$I$89,3,0)*VLOOKUP('Données projet'!$B$14,Paramètres!$A$1:$I$89,5,0)</f>
        <v>107.77651659574468</v>
      </c>
      <c r="DQ33" s="13">
        <f t="shared" si="43"/>
        <v>28.806493560215259</v>
      </c>
      <c r="DR33" s="20">
        <f t="shared" si="16"/>
        <v>237.88207602163018</v>
      </c>
      <c r="DS33" s="59">
        <f t="shared" si="17"/>
        <v>476.98950095467217</v>
      </c>
      <c r="DT33" s="59">
        <f ca="1">AVERAGE(OFFSET($DS$3,0,0,'Données projet'!$E$14+1,1))-AVERAGE(OFFSET($H$3,0,0,'Données projet'!$E$14+1,1))</f>
        <v>651.35546372812314</v>
      </c>
      <c r="DU33" s="59">
        <f t="shared" si="44"/>
        <v>293.6561676213388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86.538461538461533</v>
      </c>
      <c r="EH33" s="12">
        <f>VLOOKUP(A33,'Données projet'!$A$191:$I$211,9,0)</f>
        <v>5.7692307692307692</v>
      </c>
      <c r="EI33" s="12">
        <f t="array" ref="EI33">INDEX(EH:EH,MIN(IF(ISNUMBER(EH33:EH229),ROW(EH33:EH229),"")))</f>
        <v>5.7692307692307692</v>
      </c>
      <c r="EJ33" s="12">
        <f>IF('Données projet'!$A$192&gt;35,EJ32+EI33-ER32,IF(A33&lt;'Données projet'!$A$192,$EG$205^A33,IF(A33='Données projet'!$A$192,'Données projet'!$B$192,EJ32+EI33-ER32)))</f>
        <v>86.538461538461547</v>
      </c>
      <c r="EK33" s="17">
        <f>EJ33*VLOOKUP('Données projet'!$B$15,Paramètres!$A$1:$I$89,3,0)*VLOOKUP('Données projet'!$B$15,Paramètres!$A$1:$I$89,5,0)</f>
        <v>90.450000000000017</v>
      </c>
      <c r="EL33" s="13">
        <f t="shared" si="45"/>
        <v>24.673722634554377</v>
      </c>
      <c r="EM33" s="20">
        <f t="shared" si="19"/>
        <v>200.50715025518221</v>
      </c>
      <c r="EN33" s="59">
        <f t="shared" si="20"/>
        <v>439.61457518822419</v>
      </c>
      <c r="EO33" s="59">
        <f ca="1">AVERAGE(OFFSET($EN$3,0,0,'Données projet'!$E$15+1,1))-AVERAGE(OFFSET($H$3,0,0,'Données projet'!$E$15+1,1))</f>
        <v>290.69667785754848</v>
      </c>
      <c r="EP33" s="59">
        <f t="shared" si="46"/>
        <v>256.28124185489082</v>
      </c>
      <c r="EQ33" s="15">
        <f>IF(ISNA(VLOOKUP(A33,'Données projet'!$A$191:$I$211,3,0)),0,VLOOKUP(A33,'Données projet'!$A$191:$I$211,3,0))</f>
        <v>3</v>
      </c>
      <c r="ER33" s="15">
        <f>IF(ISNA(VLOOKUP(A33,'Données projet'!$A$191:$I$211,4,0)),0,VLOOKUP(A33,'Données projet'!$A$191:$I$211,4,0))</f>
        <v>15.384615384615383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0.215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11.911245718780661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11.911245718780661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4.0942857142857143</v>
      </c>
      <c r="N34" s="13">
        <f>IF('Données projet'!$A$36&gt;35,N33+M34-V33,IF(A34&lt;'Données projet'!$A$36,$K$205^A34,IF(A34='Données projet'!$A$36,'Données projet'!$B$36,N33+M34-V33)))</f>
        <v>126.92285714285723</v>
      </c>
      <c r="O34" s="13">
        <f>N34*VLOOKUP('Données projet'!$B$9,Paramètres!$A$1:$I$89,3,0)*VLOOKUP('Données projet'!$B$9,Paramètres!$A$1:$I$89,5,0)</f>
        <v>128.69977714285722</v>
      </c>
      <c r="P34" s="13">
        <f t="shared" si="33"/>
        <v>33.69574046316044</v>
      </c>
      <c r="Q34" s="20">
        <f t="shared" si="2"/>
        <v>282.83885983048071</v>
      </c>
      <c r="R34" s="59">
        <f t="shared" si="0"/>
        <v>522.8869830432983</v>
      </c>
      <c r="S34" s="59">
        <f ca="1">AVERAGE(OFFSET($R$3,0,0,'Données projet'!$E$9+1,1))-AVERAGE(OFFSET($H$3,0,0,'Données projet'!$E$9+1,1))</f>
        <v>752.45542076695506</v>
      </c>
      <c r="T34" s="59">
        <f t="shared" si="34"/>
        <v>329.70629768420724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12.8</v>
      </c>
      <c r="AI34" s="13">
        <f>IF('Données projet'!$A$62&gt;35,AI33+AH34-AQ33,IF(A34&lt;'Données projet'!$A$62,$AF$205^A34,IF(A34='Données projet'!$A$62,'Données projet'!$B$62,AI33+AH34-AQ33)))</f>
        <v>154.79999999999993</v>
      </c>
      <c r="AJ34" s="13">
        <f>AI34*VLOOKUP('Données projet'!$B$10,Paramètres!$A$1:$I$89,3,0)*VLOOKUP('Données projet'!$B$10,Paramètres!$A$1:$I$89,5,0)</f>
        <v>135.23327999999995</v>
      </c>
      <c r="AK34" s="13">
        <f t="shared" si="35"/>
        <v>35.202825080004438</v>
      </c>
      <c r="AL34" s="20">
        <f t="shared" si="4"/>
        <v>296.842883014341</v>
      </c>
      <c r="AM34" s="59">
        <f t="shared" si="5"/>
        <v>536.89100622715853</v>
      </c>
      <c r="AN34" s="59">
        <f ca="1">AVERAGE(OFFSET($AM$3,0,0,'Données projet'!$E$10+1,1))-AVERAGE(OFFSET($H$3,0,0,'Données projet'!$E$10+1,1))</f>
        <v>408.246209980743</v>
      </c>
      <c r="AO34" s="59">
        <f t="shared" si="36"/>
        <v>394.10236303013903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4.3907913640948335</v>
      </c>
      <c r="AV34" s="21">
        <f>EXP(-LN(2)/25)*AV33+(1-EXP(-LN(2)/25))/(LN(2)/25)*Calculateur!AQ34*Calculateur!AS34*VLOOKUP('Données projet'!$B$10,Paramètres!$A$1:$I$89,3,0)*0.475*44/12</f>
        <v>14.02194872767986</v>
      </c>
      <c r="AW34" s="21">
        <f>EXP(-LN(2)/2)*AW33+(1-EXP(-LN(2)/2))/(LN(2)/2)*AQ34*AT34*VLOOKUP('Données projet'!$B$10,Paramètres!$A$1:$I$89,3,0)*0.475*44/12</f>
        <v>6.1865497005778671</v>
      </c>
      <c r="AX34" s="21">
        <f t="shared" si="6"/>
        <v>24.599289792352561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4.0942857142857143</v>
      </c>
      <c r="BD34" s="12">
        <f>IF('Données projet'!$A$88&gt;35,BD33+BC34-BL33,IF(A34&lt;'Données projet'!$A$88,$BA$205^A34,IF(A34='Données projet'!$A$88,'Données projet'!$B$88,BD33+BC34-BL33)))</f>
        <v>126.92285714285723</v>
      </c>
      <c r="BE34" s="13">
        <f>BD34*VLOOKUP('Données projet'!$B$11,Paramètres!$A$1:$I$89,3,0)*VLOOKUP('Données projet'!$B$11,Paramètres!$A$1:$I$89,5,0)</f>
        <v>120.77979085714293</v>
      </c>
      <c r="BF34" s="13">
        <f t="shared" si="37"/>
        <v>31.856804087434281</v>
      </c>
      <c r="BG34" s="20">
        <f t="shared" si="7"/>
        <v>265.842069528472</v>
      </c>
      <c r="BH34" s="59">
        <f t="shared" si="8"/>
        <v>505.89019274128952</v>
      </c>
      <c r="BI34" s="59">
        <f ca="1">AVERAGE(OFFSET($BH$3,0,0,'Données projet'!$E$11+1,1))-AVERAGE(OFFSET($H$3,0,0,'Données projet'!$E$11+1,1))</f>
        <v>711.91538686535682</v>
      </c>
      <c r="BJ34" s="59">
        <f t="shared" si="38"/>
        <v>313.24593837351722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4.0942857142857143</v>
      </c>
      <c r="BY34" s="12">
        <f>IF('Données projet'!$A$114&gt;35,BY33+BX34-CG33,IF(A34&lt;'Données projet'!$A$114,$BV$205^A34,IF(A34='Données projet'!$A$114,'Données projet'!$B$114,BY33+BX34-CG33)))</f>
        <v>126.92285714285723</v>
      </c>
      <c r="BZ34" s="13">
        <f>BY34*VLOOKUP('Données projet'!$B$12,Paramètres!$A$1:$I$89,3,0)*VLOOKUP('Données projet'!$B$12,Paramètres!$A$1:$I$89,5,0)</f>
        <v>114.83980114285721</v>
      </c>
      <c r="CA34" s="13">
        <f t="shared" si="39"/>
        <v>30.468406249196239</v>
      </c>
      <c r="CB34" s="20">
        <f t="shared" si="10"/>
        <v>253.07846120782642</v>
      </c>
      <c r="CC34" s="59">
        <f t="shared" si="11"/>
        <v>493.12658442064401</v>
      </c>
      <c r="CD34" s="59">
        <f ca="1">AVERAGE(OFFSET($CC$3,0,0,'Données projet'!$E$12+1,1))-AVERAGE(OFFSET($H$3,0,0,'Données projet'!$E$12+1,1))</f>
        <v>681.47578137804555</v>
      </c>
      <c r="CE34" s="59">
        <f t="shared" si="40"/>
        <v>300.88511065995885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3.0769230769230775</v>
      </c>
      <c r="CT34" s="12">
        <f>IF('Données projet'!$A$140&gt;35,CT33+CS34-DB33,IF(A34&lt;'Données projet'!$A$140,$CQ$205^A34,IF(A34='Données projet'!$A$140,'Données projet'!$B$140,CT33+CS34-DB33)))</f>
        <v>51.153846153846139</v>
      </c>
      <c r="CU34" s="17">
        <f>CT34*VLOOKUP('Données projet'!$B$13,Paramètres!$A$1:$I$89,3,0)*VLOOKUP('Données projet'!$B$13,Paramètres!$A$1:$I$89,5,0)</f>
        <v>41.495999999999995</v>
      </c>
      <c r="CV34" s="13">
        <f t="shared" si="41"/>
        <v>12.394310565265267</v>
      </c>
      <c r="CW34" s="20">
        <f t="shared" si="13"/>
        <v>93.858957567836981</v>
      </c>
      <c r="CX34" s="59">
        <f t="shared" si="14"/>
        <v>333.90708078065455</v>
      </c>
      <c r="CY34" s="59">
        <f ca="1">AVERAGE(OFFSET($CX$3,0,0,'Données projet'!$E$13+1,1))-AVERAGE(OFFSET($H$3,0,0,'Données projet'!$E$13+1,1))</f>
        <v>186.54446846714993</v>
      </c>
      <c r="CZ34" s="59">
        <f t="shared" si="42"/>
        <v>154.43773051601286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1.364130292233666</v>
      </c>
      <c r="DH34" s="21">
        <f>EXP(-LN(2)/2)*DH33+(1-EXP(-LN(2)/2))/(LN(2)/2)*DB34*DE34*VLOOKUP('Données projet'!$B$13,Paramètres!$A$1:$I$89,3,0)*0.475*44/12</f>
        <v>0.9276459655676329</v>
      </c>
      <c r="DI34" s="22">
        <f t="shared" si="15"/>
        <v>2.291776257801299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3.15468085106383</v>
      </c>
      <c r="DO34" s="12">
        <f>IF('Données projet'!$A$166&gt;35,DO33+DN34-DW33,IF(A34&lt;'Données projet'!$A$166,$DL$205^A34,IF(A34='Données projet'!$A$166,'Données projet'!$B$166,DO33+DN34-DW33)))</f>
        <v>97.79510638297873</v>
      </c>
      <c r="DP34" s="17">
        <f>DO34*VLOOKUP('Données projet'!$B$14,Paramètres!$A$1:$I$89,3,0)*VLOOKUP('Données projet'!$B$14,Paramètres!$A$1:$I$89,5,0)</f>
        <v>111.36906714893618</v>
      </c>
      <c r="DQ34" s="13">
        <f t="shared" si="43"/>
        <v>29.653314894309535</v>
      </c>
      <c r="DR34" s="20">
        <f t="shared" si="16"/>
        <v>245.61398205865297</v>
      </c>
      <c r="DS34" s="59">
        <f t="shared" si="17"/>
        <v>485.66210527147052</v>
      </c>
      <c r="DT34" s="59">
        <f ca="1">AVERAGE(OFFSET($DS$3,0,0,'Données projet'!$E$14+1,1))-AVERAGE(OFFSET($H$3,0,0,'Données projet'!$E$14+1,1))</f>
        <v>651.35546372812314</v>
      </c>
      <c r="DU34" s="59">
        <f t="shared" si="44"/>
        <v>293.6561676213388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5.3846153846153868</v>
      </c>
      <c r="EJ34" s="12">
        <f>IF('Données projet'!$A$192&gt;35,EJ33+EI34-ER33,IF(A34&lt;'Données projet'!$A$192,$EG$205^A34,IF(A34='Données projet'!$A$192,'Données projet'!$B$192,EJ33+EI34-ER33)))</f>
        <v>76.538461538461547</v>
      </c>
      <c r="EK34" s="17">
        <f>EJ34*VLOOKUP('Données projet'!$B$15,Paramètres!$A$1:$I$89,3,0)*VLOOKUP('Données projet'!$B$15,Paramètres!$A$1:$I$89,5,0)</f>
        <v>79.998000000000019</v>
      </c>
      <c r="EL34" s="13">
        <f t="shared" si="45"/>
        <v>22.136695117552431</v>
      </c>
      <c r="EM34" s="20">
        <f t="shared" si="19"/>
        <v>177.88459399640385</v>
      </c>
      <c r="EN34" s="59">
        <f t="shared" si="20"/>
        <v>417.93271720922144</v>
      </c>
      <c r="EO34" s="59">
        <f ca="1">AVERAGE(OFFSET($EN$3,0,0,'Données projet'!$E$15+1,1))-AVERAGE(OFFSET($H$3,0,0,'Données projet'!$E$15+1,1))</f>
        <v>290.69667785754848</v>
      </c>
      <c r="EP34" s="59">
        <f t="shared" si="46"/>
        <v>256.28124185489082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11.585532078215415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11.585532078215415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4.0942857142857143</v>
      </c>
      <c r="N35" s="13">
        <f>IF('Données projet'!$A$36&gt;35,N34+M35-V34,IF(A35&lt;'Données projet'!$A$36,$K$205^A35,IF(A35='Données projet'!$A$36,'Données projet'!$B$36,N34+M35-V34)))</f>
        <v>131.01714285714294</v>
      </c>
      <c r="O35" s="13">
        <f>N35*VLOOKUP('Données projet'!$B$9,Paramètres!$A$1:$I$89,3,0)*VLOOKUP('Données projet'!$B$9,Paramètres!$A$1:$I$89,5,0)</f>
        <v>132.85138285714297</v>
      </c>
      <c r="P35" s="13">
        <f t="shared" si="33"/>
        <v>34.654395902029187</v>
      </c>
      <c r="Q35" s="20">
        <f t="shared" ref="Q35:Q66" si="53">(O35+P35)*0.475*44/12</f>
        <v>291.73923133889144</v>
      </c>
      <c r="R35" s="59">
        <f t="shared" si="0"/>
        <v>532.71173381941674</v>
      </c>
      <c r="S35" s="59">
        <f ca="1">AVERAGE(OFFSET($R$3,0,0,'Données projet'!$E$9+1,1))-AVERAGE(OFFSET($H$3,0,0,'Données projet'!$E$9+1,1))</f>
        <v>752.45542076695506</v>
      </c>
      <c r="T35" s="59">
        <f t="shared" si="34"/>
        <v>329.70629768420724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12.8</v>
      </c>
      <c r="AI35" s="13">
        <f>IF('Données projet'!$A$62&gt;35,AI34+AH35-AQ34,IF(A35&lt;'Données projet'!$A$62,$AF$205^A35,IF(A35='Données projet'!$A$62,'Données projet'!$B$62,AI34+AH35-AQ34)))</f>
        <v>167.59999999999994</v>
      </c>
      <c r="AJ35" s="13">
        <f>AI35*VLOOKUP('Données projet'!$B$10,Paramètres!$A$1:$I$89,3,0)*VLOOKUP('Données projet'!$B$10,Paramètres!$A$1:$I$89,5,0)</f>
        <v>146.41535999999996</v>
      </c>
      <c r="AK35" s="13">
        <f t="shared" si="35"/>
        <v>37.762820103024467</v>
      </c>
      <c r="AL35" s="20">
        <f t="shared" si="4"/>
        <v>320.77699701276748</v>
      </c>
      <c r="AM35" s="59">
        <f t="shared" si="5"/>
        <v>561.74949949329277</v>
      </c>
      <c r="AN35" s="59">
        <f ca="1">AVERAGE(OFFSET($AM$3,0,0,'Données projet'!$E$10+1,1))-AVERAGE(OFFSET($H$3,0,0,'Données projet'!$E$10+1,1))</f>
        <v>408.246209980743</v>
      </c>
      <c r="AO35" s="59">
        <f t="shared" si="36"/>
        <v>394.10236303013903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4.3046906235632241</v>
      </c>
      <c r="AV35" s="21">
        <f>EXP(-LN(2)/25)*AV34+(1-EXP(-LN(2)/25))/(LN(2)/25)*Calculateur!AQ35*Calculateur!AS35*VLOOKUP('Données projet'!$B$10,Paramètres!$A$1:$I$89,3,0)*0.475*44/12</f>
        <v>13.638517802339218</v>
      </c>
      <c r="AW35" s="21">
        <f>EXP(-LN(2)/2)*AW34+(1-EXP(-LN(2)/2))/(LN(2)/2)*AQ35*AT35*VLOOKUP('Données projet'!$B$10,Paramètres!$A$1:$I$89,3,0)*0.475*44/12</f>
        <v>4.3745512454262157</v>
      </c>
      <c r="AX35" s="21">
        <f t="shared" si="6"/>
        <v>22.317759671328655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4.0942857142857143</v>
      </c>
      <c r="BD35" s="12">
        <f>IF('Données projet'!$A$88&gt;35,BD34+BC35-BL34,IF(A35&lt;'Données projet'!$A$88,$BA$205^A35,IF(A35='Données projet'!$A$88,'Données projet'!$B$88,BD34+BC35-BL34)))</f>
        <v>131.01714285714294</v>
      </c>
      <c r="BE35" s="13">
        <f>BD35*VLOOKUP('Données projet'!$B$11,Paramètres!$A$1:$I$89,3,0)*VLOOKUP('Données projet'!$B$11,Paramètres!$A$1:$I$89,5,0)</f>
        <v>124.67591314285721</v>
      </c>
      <c r="BF35" s="13">
        <f t="shared" si="37"/>
        <v>32.763141152108169</v>
      </c>
      <c r="BG35" s="20">
        <f t="shared" si="7"/>
        <v>274.20635289706468</v>
      </c>
      <c r="BH35" s="59">
        <f t="shared" si="8"/>
        <v>515.17885537759003</v>
      </c>
      <c r="BI35" s="59">
        <f ca="1">AVERAGE(OFFSET($BH$3,0,0,'Données projet'!$E$11+1,1))-AVERAGE(OFFSET($H$3,0,0,'Données projet'!$E$11+1,1))</f>
        <v>711.91538686535682</v>
      </c>
      <c r="BJ35" s="59">
        <f t="shared" si="38"/>
        <v>313.24593837351722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4.0942857142857143</v>
      </c>
      <c r="BY35" s="12">
        <f>IF('Données projet'!$A$114&gt;35,BY34+BX35-CG34,IF(A35&lt;'Données projet'!$A$114,$BV$205^A35,IF(A35='Données projet'!$A$114,'Données projet'!$B$114,BY34+BX35-CG34)))</f>
        <v>131.01714285714294</v>
      </c>
      <c r="BZ35" s="13">
        <f>BY35*VLOOKUP('Données projet'!$B$12,Paramètres!$A$1:$I$89,3,0)*VLOOKUP('Données projet'!$B$12,Paramètres!$A$1:$I$89,5,0)</f>
        <v>118.54431085714293</v>
      </c>
      <c r="CA35" s="13">
        <f t="shared" si="39"/>
        <v>31.335242916471387</v>
      </c>
      <c r="CB35" s="20">
        <f t="shared" si="10"/>
        <v>261.04022282237821</v>
      </c>
      <c r="CC35" s="59">
        <f t="shared" si="11"/>
        <v>502.0127253029035</v>
      </c>
      <c r="CD35" s="59">
        <f ca="1">AVERAGE(OFFSET($CC$3,0,0,'Données projet'!$E$12+1,1))-AVERAGE(OFFSET($H$3,0,0,'Données projet'!$E$12+1,1))</f>
        <v>681.47578137804555</v>
      </c>
      <c r="CE35" s="59">
        <f t="shared" si="40"/>
        <v>300.88511065995885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3.0769230769230775</v>
      </c>
      <c r="CT35" s="12">
        <f>IF('Données projet'!$A$140&gt;35,CT34+CS35-DB34,IF(A35&lt;'Données projet'!$A$140,$CQ$205^A35,IF(A35='Données projet'!$A$140,'Données projet'!$B$140,CT34+CS35-DB34)))</f>
        <v>54.230769230769219</v>
      </c>
      <c r="CU35" s="17">
        <f>CT35*VLOOKUP('Données projet'!$B$13,Paramètres!$A$1:$I$89,3,0)*VLOOKUP('Données projet'!$B$13,Paramètres!$A$1:$I$89,5,0)</f>
        <v>43.991999999999997</v>
      </c>
      <c r="CV35" s="13">
        <f t="shared" si="41"/>
        <v>13.05079813120688</v>
      </c>
      <c r="CW35" s="20">
        <f t="shared" si="13"/>
        <v>99.349540078518643</v>
      </c>
      <c r="CX35" s="59">
        <f t="shared" si="14"/>
        <v>340.32204255904395</v>
      </c>
      <c r="CY35" s="59">
        <f ca="1">AVERAGE(OFFSET($CX$3,0,0,'Données projet'!$E$13+1,1))-AVERAGE(OFFSET($H$3,0,0,'Données projet'!$E$13+1,1))</f>
        <v>186.54446846714993</v>
      </c>
      <c r="CZ35" s="59">
        <f t="shared" si="42"/>
        <v>154.43773051601286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1.3268280776560422</v>
      </c>
      <c r="DH35" s="21">
        <f>EXP(-LN(2)/2)*DH34+(1-EXP(-LN(2)/2))/(LN(2)/2)*DB35*DE35*VLOOKUP('Données projet'!$B$13,Paramètres!$A$1:$I$89,3,0)*0.475*44/12</f>
        <v>0.65594475279321585</v>
      </c>
      <c r="DI35" s="22">
        <f t="shared" si="15"/>
        <v>1.982772830449258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3.15468085106383</v>
      </c>
      <c r="DO35" s="12">
        <f>IF('Données projet'!$A$166&gt;35,DO34+DN35-DW34,IF(A35&lt;'Données projet'!$A$166,$DL$205^A35,IF(A35='Données projet'!$A$166,'Données projet'!$B$166,DO34+DN35-DW34)))</f>
        <v>100.94978723404256</v>
      </c>
      <c r="DP35" s="17">
        <f>DO35*VLOOKUP('Données projet'!$B$14,Paramètres!$A$1:$I$89,3,0)*VLOOKUP('Données projet'!$B$14,Paramètres!$A$1:$I$89,5,0)</f>
        <v>114.96161770212767</v>
      </c>
      <c r="DQ35" s="13">
        <f t="shared" si="43"/>
        <v>30.496961931388213</v>
      </c>
      <c r="DR35" s="20">
        <f t="shared" si="16"/>
        <v>253.34035952837348</v>
      </c>
      <c r="DS35" s="59">
        <f t="shared" si="17"/>
        <v>494.31286200889883</v>
      </c>
      <c r="DT35" s="59">
        <f ca="1">AVERAGE(OFFSET($DS$3,0,0,'Données projet'!$E$14+1,1))-AVERAGE(OFFSET($H$3,0,0,'Données projet'!$E$14+1,1))</f>
        <v>651.35546372812314</v>
      </c>
      <c r="DU35" s="59">
        <f t="shared" si="44"/>
        <v>293.6561676213388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5.3846153846153868</v>
      </c>
      <c r="EJ35" s="12">
        <f>IF('Données projet'!$A$192&gt;35,EJ34+EI35-ER34,IF(A35&lt;'Données projet'!$A$192,$EG$205^A35,IF(A35='Données projet'!$A$192,'Données projet'!$B$192,EJ34+EI35-ER34)))</f>
        <v>81.923076923076934</v>
      </c>
      <c r="EK35" s="17">
        <f>EJ35*VLOOKUP('Données projet'!$B$15,Paramètres!$A$1:$I$89,3,0)*VLOOKUP('Données projet'!$B$15,Paramètres!$A$1:$I$89,5,0)</f>
        <v>85.626000000000019</v>
      </c>
      <c r="EL35" s="13">
        <f t="shared" si="45"/>
        <v>23.507282308556086</v>
      </c>
      <c r="EM35" s="20">
        <f t="shared" si="19"/>
        <v>190.07380002073521</v>
      </c>
      <c r="EN35" s="59">
        <f t="shared" si="20"/>
        <v>431.04630250126053</v>
      </c>
      <c r="EO35" s="59">
        <f ca="1">AVERAGE(OFFSET($EN$3,0,0,'Données projet'!$E$15+1,1))-AVERAGE(OFFSET($H$3,0,0,'Données projet'!$E$15+1,1))</f>
        <v>290.69667785754848</v>
      </c>
      <c r="EP35" s="59">
        <f t="shared" si="46"/>
        <v>256.28124185489082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11.268725094279961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11.268725094279961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4.0942857142857143</v>
      </c>
      <c r="N36" s="13">
        <f>IF('Données projet'!$A$36&gt;35,N35+M36-V35,IF(A36&lt;'Données projet'!$A$36,$K$205^A36,IF(A36='Données projet'!$A$36,'Données projet'!$B$36,N35+M36-V35)))</f>
        <v>135.11142857142866</v>
      </c>
      <c r="O36" s="13">
        <f>N36*VLOOKUP('Données projet'!$B$9,Paramètres!$A$1:$I$89,3,0)*VLOOKUP('Données projet'!$B$9,Paramètres!$A$1:$I$89,5,0)</f>
        <v>137.00298857142866</v>
      </c>
      <c r="P36" s="13">
        <f t="shared" si="33"/>
        <v>35.609569967576427</v>
      </c>
      <c r="Q36" s="20">
        <f t="shared" si="53"/>
        <v>300.63353945543383</v>
      </c>
      <c r="R36" s="59">
        <f t="shared" si="0"/>
        <v>542.5143852899746</v>
      </c>
      <c r="S36" s="59">
        <f ca="1">AVERAGE(OFFSET($R$3,0,0,'Données projet'!$E$9+1,1))-AVERAGE(OFFSET($H$3,0,0,'Données projet'!$E$9+1,1))</f>
        <v>752.45542076695506</v>
      </c>
      <c r="T36" s="59">
        <f t="shared" si="34"/>
        <v>329.70629768420724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12.8</v>
      </c>
      <c r="AI36" s="13">
        <f>IF('Données projet'!$A$62&gt;35,AI35+AH36-AQ35,IF(A36&lt;'Données projet'!$A$62,$AF$205^A36,IF(A36='Données projet'!$A$62,'Données projet'!$B$62,AI35+AH36-AQ35)))</f>
        <v>180.39999999999995</v>
      </c>
      <c r="AJ36" s="13">
        <f>AI36*VLOOKUP('Données projet'!$B$10,Paramètres!$A$1:$I$89,3,0)*VLOOKUP('Données projet'!$B$10,Paramètres!$A$1:$I$89,5,0)</f>
        <v>157.59743999999998</v>
      </c>
      <c r="AK36" s="13">
        <f t="shared" si="35"/>
        <v>40.300135037830529</v>
      </c>
      <c r="AL36" s="20">
        <f t="shared" si="4"/>
        <v>344.67160985755481</v>
      </c>
      <c r="AM36" s="59">
        <f t="shared" si="5"/>
        <v>586.55245569209558</v>
      </c>
      <c r="AN36" s="59">
        <f ca="1">AVERAGE(OFFSET($AM$3,0,0,'Données projet'!$E$10+1,1))-AVERAGE(OFFSET($H$3,0,0,'Données projet'!$E$10+1,1))</f>
        <v>408.246209980743</v>
      </c>
      <c r="AO36" s="59">
        <f t="shared" si="36"/>
        <v>394.10236303013903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4.2202782660371732</v>
      </c>
      <c r="AV36" s="21">
        <f>EXP(-LN(2)/25)*AV35+(1-EXP(-LN(2)/25))/(LN(2)/25)*Calculateur!AQ36*Calculateur!AS36*VLOOKUP('Données projet'!$B$10,Paramètres!$A$1:$I$89,3,0)*0.475*44/12</f>
        <v>13.265571815815772</v>
      </c>
      <c r="AW36" s="21">
        <f>EXP(-LN(2)/2)*AW35+(1-EXP(-LN(2)/2))/(LN(2)/2)*AQ36*AT36*VLOOKUP('Données projet'!$B$10,Paramètres!$A$1:$I$89,3,0)*0.475*44/12</f>
        <v>3.0932748502889345</v>
      </c>
      <c r="AX36" s="21">
        <f t="shared" si="6"/>
        <v>20.57912493214188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4.0942857142857143</v>
      </c>
      <c r="BD36" s="12">
        <f>IF('Données projet'!$A$88&gt;35,BD35+BC36-BL35,IF(A36&lt;'Données projet'!$A$88,$BA$205^A36,IF(A36='Données projet'!$A$88,'Données projet'!$B$88,BD35+BC36-BL35)))</f>
        <v>135.11142857142866</v>
      </c>
      <c r="BE36" s="13">
        <f>BD36*VLOOKUP('Données projet'!$B$11,Paramètres!$A$1:$I$89,3,0)*VLOOKUP('Données projet'!$B$11,Paramètres!$A$1:$I$89,5,0)</f>
        <v>128.5720354285715</v>
      </c>
      <c r="BF36" s="13">
        <f t="shared" si="37"/>
        <v>33.666186838514868</v>
      </c>
      <c r="BG36" s="20">
        <f t="shared" si="7"/>
        <v>282.56490378184208</v>
      </c>
      <c r="BH36" s="59">
        <f t="shared" si="8"/>
        <v>524.44574961638284</v>
      </c>
      <c r="BI36" s="59">
        <f ca="1">AVERAGE(OFFSET($BH$3,0,0,'Données projet'!$E$11+1,1))-AVERAGE(OFFSET($H$3,0,0,'Données projet'!$E$11+1,1))</f>
        <v>711.91538686535682</v>
      </c>
      <c r="BJ36" s="59">
        <f t="shared" si="38"/>
        <v>313.24593837351722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4.0942857142857143</v>
      </c>
      <c r="BY36" s="12">
        <f>IF('Données projet'!$A$114&gt;35,BY35+BX36-CG35,IF(A36&lt;'Données projet'!$A$114,$BV$205^A36,IF(A36='Données projet'!$A$114,'Données projet'!$B$114,BY35+BX36-CG35)))</f>
        <v>135.11142857142866</v>
      </c>
      <c r="BZ36" s="13">
        <f>BY36*VLOOKUP('Données projet'!$B$12,Paramètres!$A$1:$I$89,3,0)*VLOOKUP('Données projet'!$B$12,Paramètres!$A$1:$I$89,5,0)</f>
        <v>122.24882057142865</v>
      </c>
      <c r="CA36" s="13">
        <f t="shared" si="39"/>
        <v>32.198931651835657</v>
      </c>
      <c r="CB36" s="20">
        <f t="shared" si="10"/>
        <v>268.99650178885196</v>
      </c>
      <c r="CC36" s="59">
        <f t="shared" si="11"/>
        <v>510.87734762339267</v>
      </c>
      <c r="CD36" s="59">
        <f ca="1">AVERAGE(OFFSET($CC$3,0,0,'Données projet'!$E$12+1,1))-AVERAGE(OFFSET($H$3,0,0,'Données projet'!$E$12+1,1))</f>
        <v>681.47578137804555</v>
      </c>
      <c r="CE36" s="59">
        <f t="shared" si="40"/>
        <v>300.88511065995885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3.0769230769230775</v>
      </c>
      <c r="CT36" s="12">
        <f>IF('Données projet'!$A$140&gt;35,CT35+CS36-DB35,IF(A36&lt;'Données projet'!$A$140,$CQ$205^A36,IF(A36='Données projet'!$A$140,'Données projet'!$B$140,CT35+CS36-DB35)))</f>
        <v>57.307692307692299</v>
      </c>
      <c r="CU36" s="17">
        <f>CT36*VLOOKUP('Données projet'!$B$13,Paramètres!$A$1:$I$89,3,0)*VLOOKUP('Données projet'!$B$13,Paramètres!$A$1:$I$89,5,0)</f>
        <v>46.488</v>
      </c>
      <c r="CV36" s="13">
        <f t="shared" si="41"/>
        <v>13.70296192228238</v>
      </c>
      <c r="CW36" s="20">
        <f t="shared" si="13"/>
        <v>104.83259201464182</v>
      </c>
      <c r="CX36" s="59">
        <f t="shared" si="14"/>
        <v>346.71343784918258</v>
      </c>
      <c r="CY36" s="59">
        <f ca="1">AVERAGE(OFFSET($CX$3,0,0,'Données projet'!$E$13+1,1))-AVERAGE(OFFSET($H$3,0,0,'Données projet'!$E$13+1,1))</f>
        <v>186.54446846714993</v>
      </c>
      <c r="CZ36" s="59">
        <f t="shared" si="42"/>
        <v>154.43773051601286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1.2905458940976815</v>
      </c>
      <c r="DH36" s="21">
        <f>EXP(-LN(2)/2)*DH35+(1-EXP(-LN(2)/2))/(LN(2)/2)*DB36*DE36*VLOOKUP('Données projet'!$B$13,Paramètres!$A$1:$I$89,3,0)*0.475*44/12</f>
        <v>0.46382298278381651</v>
      </c>
      <c r="DI36" s="22">
        <f t="shared" si="15"/>
        <v>1.754368876881498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3.15468085106383</v>
      </c>
      <c r="DO36" s="12">
        <f>IF('Données projet'!$A$166&gt;35,DO35+DN36-DW35,IF(A36&lt;'Données projet'!$A$166,$DL$205^A36,IF(A36='Données projet'!$A$166,'Données projet'!$B$166,DO35+DN36-DW35)))</f>
        <v>104.10446808510639</v>
      </c>
      <c r="DP36" s="17">
        <f>DO36*VLOOKUP('Données projet'!$B$14,Paramètres!$A$1:$I$89,3,0)*VLOOKUP('Données projet'!$B$14,Paramètres!$A$1:$I$89,5,0)</f>
        <v>118.55416825531917</v>
      </c>
      <c r="DQ36" s="13">
        <f t="shared" si="43"/>
        <v>31.337545250087409</v>
      </c>
      <c r="DR36" s="20">
        <f t="shared" si="16"/>
        <v>261.06140102191642</v>
      </c>
      <c r="DS36" s="59">
        <f t="shared" si="17"/>
        <v>502.94224685645713</v>
      </c>
      <c r="DT36" s="59">
        <f ca="1">AVERAGE(OFFSET($DS$3,0,0,'Données projet'!$E$14+1,1))-AVERAGE(OFFSET($H$3,0,0,'Données projet'!$E$14+1,1))</f>
        <v>651.35546372812314</v>
      </c>
      <c r="DU36" s="59">
        <f t="shared" si="44"/>
        <v>293.6561676213388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5.3846153846153868</v>
      </c>
      <c r="EJ36" s="12">
        <f>IF('Données projet'!$A$192&gt;35,EJ35+EI36-ER35,IF(A36&lt;'Données projet'!$A$192,$EG$205^A36,IF(A36='Données projet'!$A$192,'Données projet'!$B$192,EJ35+EI36-ER35)))</f>
        <v>87.307692307692321</v>
      </c>
      <c r="EK36" s="17">
        <f>EJ36*VLOOKUP('Données projet'!$B$15,Paramètres!$A$1:$I$89,3,0)*VLOOKUP('Données projet'!$B$15,Paramètres!$A$1:$I$89,5,0)</f>
        <v>91.254000000000019</v>
      </c>
      <c r="EL36" s="13">
        <f t="shared" si="45"/>
        <v>24.867415609727725</v>
      </c>
      <c r="EM36" s="20">
        <f t="shared" si="19"/>
        <v>202.24479885360915</v>
      </c>
      <c r="EN36" s="59">
        <f t="shared" si="20"/>
        <v>444.12564468814992</v>
      </c>
      <c r="EO36" s="59">
        <f ca="1">AVERAGE(OFFSET($EN$3,0,0,'Données projet'!$E$15+1,1))-AVERAGE(OFFSET($H$3,0,0,'Données projet'!$E$15+1,1))</f>
        <v>290.69667785754848</v>
      </c>
      <c r="EP36" s="59">
        <f t="shared" si="46"/>
        <v>256.28124185489082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10.960581213980378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10.960581213980378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4.0942857142857143</v>
      </c>
      <c r="N37" s="13">
        <f>IF('Données projet'!$A$36&gt;35,N36+M37-V36,IF(A37&lt;'Données projet'!$A$36,$K$205^A37,IF(A37='Données projet'!$A$36,'Données projet'!$B$36,N36+M37-V36)))</f>
        <v>139.20571428571438</v>
      </c>
      <c r="O37" s="13">
        <f>N37*VLOOKUP('Données projet'!$B$9,Paramètres!$A$1:$I$89,3,0)*VLOOKUP('Données projet'!$B$9,Paramètres!$A$1:$I$89,5,0)</f>
        <v>141.15459428571441</v>
      </c>
      <c r="P37" s="13">
        <f t="shared" si="33"/>
        <v>36.561380264751591</v>
      </c>
      <c r="Q37" s="20">
        <f t="shared" si="53"/>
        <v>309.52198900872827</v>
      </c>
      <c r="R37" s="59">
        <f t="shared" si="0"/>
        <v>552.29542047084385</v>
      </c>
      <c r="S37" s="59">
        <f ca="1">AVERAGE(OFFSET($R$3,0,0,'Données projet'!$E$9+1,1))-AVERAGE(OFFSET($H$3,0,0,'Données projet'!$E$9+1,1))</f>
        <v>752.45542076695506</v>
      </c>
      <c r="T37" s="59">
        <f t="shared" si="34"/>
        <v>329.70629768420724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12.8</v>
      </c>
      <c r="AI37" s="13">
        <f>IF('Données projet'!$A$62&gt;35,AI36+AH37-AQ36,IF(A37&lt;'Données projet'!$A$62,$AF$205^A37,IF(A37='Données projet'!$A$62,'Données projet'!$B$62,AI36+AH37-AQ36)))</f>
        <v>193.19999999999996</v>
      </c>
      <c r="AJ37" s="13">
        <f>AI37*VLOOKUP('Données projet'!$B$10,Paramètres!$A$1:$I$89,3,0)*VLOOKUP('Données projet'!$B$10,Paramètres!$A$1:$I$89,5,0)</f>
        <v>168.77951999999999</v>
      </c>
      <c r="AK37" s="13">
        <f t="shared" si="35"/>
        <v>42.816562145177031</v>
      </c>
      <c r="AL37" s="20">
        <f t="shared" si="4"/>
        <v>368.52984306951663</v>
      </c>
      <c r="AM37" s="59">
        <f t="shared" si="5"/>
        <v>611.30327453163227</v>
      </c>
      <c r="AN37" s="59">
        <f ca="1">AVERAGE(OFFSET($AM$3,0,0,'Données projet'!$E$10+1,1))-AVERAGE(OFFSET($H$3,0,0,'Données projet'!$E$10+1,1))</f>
        <v>408.246209980743</v>
      </c>
      <c r="AO37" s="59">
        <f t="shared" si="36"/>
        <v>394.10236303013903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4.1375211833557533</v>
      </c>
      <c r="AV37" s="21">
        <f>EXP(-LN(2)/25)*AV36+(1-EXP(-LN(2)/25))/(LN(2)/25)*Calculateur!AQ37*Calculateur!AS37*VLOOKUP('Données projet'!$B$10,Paramètres!$A$1:$I$89,3,0)*0.475*44/12</f>
        <v>12.902824056906187</v>
      </c>
      <c r="AW37" s="21">
        <f>EXP(-LN(2)/2)*AW36+(1-EXP(-LN(2)/2))/(LN(2)/2)*AQ37*AT37*VLOOKUP('Données projet'!$B$10,Paramètres!$A$1:$I$89,3,0)*0.475*44/12</f>
        <v>2.1872756227131083</v>
      </c>
      <c r="AX37" s="21">
        <f t="shared" si="6"/>
        <v>19.227620862975051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4.0942857142857143</v>
      </c>
      <c r="BD37" s="12">
        <f>IF('Données projet'!$A$88&gt;35,BD36+BC37-BL36,IF(A37&lt;'Données projet'!$A$88,$BA$205^A37,IF(A37='Données projet'!$A$88,'Données projet'!$B$88,BD36+BC37-BL36)))</f>
        <v>139.20571428571438</v>
      </c>
      <c r="BE37" s="13">
        <f>BD37*VLOOKUP('Données projet'!$B$11,Paramètres!$A$1:$I$89,3,0)*VLOOKUP('Données projet'!$B$11,Paramètres!$A$1:$I$89,5,0)</f>
        <v>132.46815771428581</v>
      </c>
      <c r="BF37" s="13">
        <f t="shared" si="37"/>
        <v>34.566052333343904</v>
      </c>
      <c r="BG37" s="20">
        <f t="shared" si="7"/>
        <v>290.91791583295509</v>
      </c>
      <c r="BH37" s="59">
        <f t="shared" si="8"/>
        <v>533.69134729507073</v>
      </c>
      <c r="BI37" s="59">
        <f ca="1">AVERAGE(OFFSET($BH$3,0,0,'Données projet'!$E$11+1,1))-AVERAGE(OFFSET($H$3,0,0,'Données projet'!$E$11+1,1))</f>
        <v>711.91538686535682</v>
      </c>
      <c r="BJ37" s="59">
        <f t="shared" si="38"/>
        <v>313.24593837351722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4.0942857142857143</v>
      </c>
      <c r="BY37" s="12">
        <f>IF('Données projet'!$A$114&gt;35,BY36+BX37-CG36,IF(A37&lt;'Données projet'!$A$114,$BV$205^A37,IF(A37='Données projet'!$A$114,'Données projet'!$B$114,BY36+BX37-CG36)))</f>
        <v>139.20571428571438</v>
      </c>
      <c r="BZ37" s="13">
        <f>BY37*VLOOKUP('Données projet'!$B$12,Paramètres!$A$1:$I$89,3,0)*VLOOKUP('Données projet'!$B$12,Paramètres!$A$1:$I$89,5,0)</f>
        <v>125.95333028571436</v>
      </c>
      <c r="CA37" s="13">
        <f t="shared" si="39"/>
        <v>33.059578796189285</v>
      </c>
      <c r="CB37" s="20">
        <f t="shared" si="10"/>
        <v>276.94748331764885</v>
      </c>
      <c r="CC37" s="59">
        <f t="shared" si="11"/>
        <v>519.72091477976437</v>
      </c>
      <c r="CD37" s="59">
        <f ca="1">AVERAGE(OFFSET($CC$3,0,0,'Données projet'!$E$12+1,1))-AVERAGE(OFFSET($H$3,0,0,'Données projet'!$E$12+1,1))</f>
        <v>681.47578137804555</v>
      </c>
      <c r="CE37" s="59">
        <f t="shared" si="40"/>
        <v>300.88511065995885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3.0769230769230775</v>
      </c>
      <c r="CT37" s="12">
        <f>IF('Données projet'!$A$140&gt;35,CT36+CS37-DB36,IF(A37&lt;'Données projet'!$A$140,$CQ$205^A37,IF(A37='Données projet'!$A$140,'Données projet'!$B$140,CT36+CS37-DB36)))</f>
        <v>60.38461538461538</v>
      </c>
      <c r="CU37" s="17">
        <f>CT37*VLOOKUP('Données projet'!$B$13,Paramètres!$A$1:$I$89,3,0)*VLOOKUP('Données projet'!$B$13,Paramètres!$A$1:$I$89,5,0)</f>
        <v>48.984000000000002</v>
      </c>
      <c r="CV37" s="13">
        <f t="shared" si="41"/>
        <v>14.351060556422677</v>
      </c>
      <c r="CW37" s="20">
        <f t="shared" si="13"/>
        <v>110.30856380243615</v>
      </c>
      <c r="CX37" s="59">
        <f t="shared" si="14"/>
        <v>353.08199526455172</v>
      </c>
      <c r="CY37" s="59">
        <f ca="1">AVERAGE(OFFSET($CX$3,0,0,'Données projet'!$E$13+1,1))-AVERAGE(OFFSET($H$3,0,0,'Données projet'!$E$13+1,1))</f>
        <v>186.54446846714993</v>
      </c>
      <c r="CZ37" s="59">
        <f t="shared" si="42"/>
        <v>154.43773051601286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1.2552558487567214</v>
      </c>
      <c r="DH37" s="21">
        <f>EXP(-LN(2)/2)*DH36+(1-EXP(-LN(2)/2))/(LN(2)/2)*DB37*DE37*VLOOKUP('Données projet'!$B$13,Paramètres!$A$1:$I$89,3,0)*0.475*44/12</f>
        <v>0.32797237639660798</v>
      </c>
      <c r="DI37" s="22">
        <f t="shared" si="15"/>
        <v>1.5832282251533294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3.15468085106383</v>
      </c>
      <c r="DO37" s="12">
        <f>IF('Données projet'!$A$166&gt;35,DO36+DN37-DW36,IF(A37&lt;'Données projet'!$A$166,$DL$205^A37,IF(A37='Données projet'!$A$166,'Données projet'!$B$166,DO36+DN37-DW36)))</f>
        <v>107.25914893617022</v>
      </c>
      <c r="DP37" s="17">
        <f>DO37*VLOOKUP('Données projet'!$B$14,Paramètres!$A$1:$I$89,3,0)*VLOOKUP('Données projet'!$B$14,Paramètres!$A$1:$I$89,5,0)</f>
        <v>122.14671880851064</v>
      </c>
      <c r="DQ37" s="13">
        <f t="shared" si="43"/>
        <v>32.175168346473704</v>
      </c>
      <c r="DR37" s="20">
        <f t="shared" si="16"/>
        <v>268.77728679493106</v>
      </c>
      <c r="DS37" s="59">
        <f t="shared" si="17"/>
        <v>511.55071825704664</v>
      </c>
      <c r="DT37" s="59">
        <f ca="1">AVERAGE(OFFSET($DS$3,0,0,'Données projet'!$E$14+1,1))-AVERAGE(OFFSET($H$3,0,0,'Données projet'!$E$14+1,1))</f>
        <v>651.35546372812314</v>
      </c>
      <c r="DU37" s="59">
        <f t="shared" si="44"/>
        <v>293.6561676213388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5.3846153846153868</v>
      </c>
      <c r="EJ37" s="12">
        <f>IF('Données projet'!$A$192&gt;35,EJ36+EI37-ER36,IF(A37&lt;'Données projet'!$A$192,$EG$205^A37,IF(A37='Données projet'!$A$192,'Données projet'!$B$192,EJ36+EI37-ER36)))</f>
        <v>92.692307692307708</v>
      </c>
      <c r="EK37" s="17">
        <f>EJ37*VLOOKUP('Données projet'!$B$15,Paramètres!$A$1:$I$89,3,0)*VLOOKUP('Données projet'!$B$15,Paramètres!$A$1:$I$89,5,0)</f>
        <v>96.882000000000033</v>
      </c>
      <c r="EL37" s="13">
        <f t="shared" si="45"/>
        <v>26.21781316207062</v>
      </c>
      <c r="EM37" s="20">
        <f t="shared" si="19"/>
        <v>214.39884125727303</v>
      </c>
      <c r="EN37" s="59">
        <f t="shared" si="20"/>
        <v>457.17227271938862</v>
      </c>
      <c r="EO37" s="59">
        <f ca="1">AVERAGE(OFFSET($EN$3,0,0,'Données projet'!$E$15+1,1))-AVERAGE(OFFSET($H$3,0,0,'Données projet'!$E$15+1,1))</f>
        <v>290.69667785754848</v>
      </c>
      <c r="EP37" s="59">
        <f t="shared" si="46"/>
        <v>256.28124185489082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10.66086354429217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10.66086354429217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4.0942857142857143</v>
      </c>
      <c r="N38" s="13">
        <f>IF('Données projet'!$A$36&gt;35,N37+M38-V37,IF(A38&lt;'Données projet'!$A$36,$K$205^A38,IF(A38='Données projet'!$A$36,'Données projet'!$B$36,N37+M38-V37)))</f>
        <v>143.3000000000001</v>
      </c>
      <c r="O38" s="13">
        <f>N38*VLOOKUP('Données projet'!$B$9,Paramètres!$A$1:$I$89,3,0)*VLOOKUP('Données projet'!$B$9,Paramètres!$A$1:$I$89,5,0)</f>
        <v>145.3062000000001</v>
      </c>
      <c r="P38" s="13">
        <f t="shared" si="33"/>
        <v>37.509937087266451</v>
      </c>
      <c r="Q38" s="20">
        <f t="shared" si="53"/>
        <v>318.40477209365588</v>
      </c>
      <c r="R38" s="59">
        <f t="shared" si="0"/>
        <v>562.05530481823041</v>
      </c>
      <c r="S38" s="59">
        <f ca="1">AVERAGE(OFFSET($R$3,0,0,'Données projet'!$E$9+1,1))-AVERAGE(OFFSET($H$3,0,0,'Données projet'!$E$9+1,1))</f>
        <v>752.45542076695506</v>
      </c>
      <c r="T38" s="59">
        <f t="shared" si="34"/>
        <v>329.70629768420724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206</v>
      </c>
      <c r="AG38" s="12">
        <f>VLOOKUP(A38,'Données projet'!$A$61:$I$81,9,0)</f>
        <v>12.8</v>
      </c>
      <c r="AH38" s="12">
        <f t="array" ref="AH38">INDEX(AG:AG,MIN(IF(ISNUMBER(AG38:AG234),ROW(AG38:AG234),"")))</f>
        <v>12.8</v>
      </c>
      <c r="AI38" s="13">
        <f>IF('Données projet'!$A$62&gt;35,AI37+AH38-AQ37,IF(A38&lt;'Données projet'!$A$62,$AF$205^A38,IF(A38='Données projet'!$A$62,'Données projet'!$B$62,AI37+AH38-AQ37)))</f>
        <v>205.99999999999997</v>
      </c>
      <c r="AJ38" s="13">
        <f>AI38*VLOOKUP('Données projet'!$B$10,Paramètres!$A$1:$I$89,3,0)*VLOOKUP('Données projet'!$B$10,Paramètres!$A$1:$I$89,5,0)</f>
        <v>179.9616</v>
      </c>
      <c r="AK38" s="13">
        <f t="shared" si="35"/>
        <v>45.313642767960104</v>
      </c>
      <c r="AL38" s="20">
        <f t="shared" si="4"/>
        <v>392.35438115419714</v>
      </c>
      <c r="AM38" s="59">
        <f t="shared" si="5"/>
        <v>636.00491387877162</v>
      </c>
      <c r="AN38" s="59">
        <f ca="1">AVERAGE(OFFSET($AM$3,0,0,'Données projet'!$E$10+1,1))-AVERAGE(OFFSET($H$3,0,0,'Données projet'!$E$10+1,1))</f>
        <v>408.246209980743</v>
      </c>
      <c r="AO38" s="59">
        <f t="shared" si="36"/>
        <v>394.10236303013903</v>
      </c>
      <c r="AP38" s="15">
        <f>IF(ISNA(VLOOKUP(A38,'Données projet'!$A$61:$I$81,3,0)),0,VLOOKUP(A38,'Données projet'!$A$61:$I$81,3,0))</f>
        <v>5</v>
      </c>
      <c r="AQ38" s="15">
        <f>IF(ISNA(VLOOKUP(A38,'Données projet'!$A$61:$I$81,4,0)),0,VLOOKUP(A38,'Données projet'!$A$61:$I$81,4,0))</f>
        <v>35</v>
      </c>
      <c r="AR38" s="16">
        <f>IF(ISNA(VLOOKUP(A38,'Données projet'!$A$61:$I$81,5,0)),0%,VLOOKUP(A38,'Données projet'!$A$61:$I$81,5,0)*VLOOKUP('Données projet'!$B$10,Paramètres!$A$1:$I$89,7,0))</f>
        <v>0.13250000000000001</v>
      </c>
      <c r="AS38" s="16">
        <f>IF(ISNA(VLOOKUP(A38,'Données projet'!$A$61:$I$81,6,0)),0%,VLOOKUP(A38,'Données projet'!$A$61:$I$81,6,0)*VLOOKUP('Données projet'!$B$10,Paramètres!$A$1:$I$89,7,0))</f>
        <v>0.13250000000000001</v>
      </c>
      <c r="AT38" s="16">
        <f>IF(ISNA(VLOOKUP(A38,'Données projet'!$A$61:$I$81,7,0)),0%,VLOOKUP(A38,'Données projet'!$A$61:$I$81,7,0))</f>
        <v>0.25</v>
      </c>
      <c r="AU38" s="21">
        <f>EXP(-LN(2)/35)*AU37+(1-EXP(-LN(2)/35))/(LN(2)/35)*AQ38*AR38*VLOOKUP('Données projet'!$B$10,Paramètres!$A$1:$I$89,3,0)*0.475*44/12</f>
        <v>8.5350011745983139</v>
      </c>
      <c r="AV38" s="21">
        <f>EXP(-LN(2)/25)*AV37+(1-EXP(-LN(2)/25))/(LN(2)/25)*Calculateur!AQ38*Calculateur!AS38*VLOOKUP('Données projet'!$B$10,Paramètres!$A$1:$I$89,3,0)*0.475*44/12</f>
        <v>17.010975901729889</v>
      </c>
      <c r="AW38" s="21">
        <f>EXP(-LN(2)/2)*AW37+(1-EXP(-LN(2)/2))/(LN(2)/2)*AQ38*AT38*VLOOKUP('Données projet'!$B$10,Paramètres!$A$1:$I$89,3,0)*0.475*44/12</f>
        <v>8.7589571603880554</v>
      </c>
      <c r="AX38" s="21">
        <f t="shared" si="6"/>
        <v>34.304934236716257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4.0942857142857143</v>
      </c>
      <c r="BD38" s="12">
        <f>IF('Données projet'!$A$88&gt;35,BD37+BC38-BL37,IF(A38&lt;'Données projet'!$A$88,$BA$205^A38,IF(A38='Données projet'!$A$88,'Données projet'!$B$88,BD37+BC38-BL37)))</f>
        <v>143.3000000000001</v>
      </c>
      <c r="BE38" s="13">
        <f>BD38*VLOOKUP('Données projet'!$B$11,Paramètres!$A$1:$I$89,3,0)*VLOOKUP('Données projet'!$B$11,Paramètres!$A$1:$I$89,5,0)</f>
        <v>136.36428000000009</v>
      </c>
      <c r="BF38" s="13">
        <f t="shared" si="37"/>
        <v>35.462841911056067</v>
      </c>
      <c r="BG38" s="20">
        <f t="shared" si="7"/>
        <v>299.26557066175616</v>
      </c>
      <c r="BH38" s="59">
        <f t="shared" si="8"/>
        <v>542.91610338633063</v>
      </c>
      <c r="BI38" s="59">
        <f ca="1">AVERAGE(OFFSET($BH$3,0,0,'Données projet'!$E$11+1,1))-AVERAGE(OFFSET($H$3,0,0,'Données projet'!$E$11+1,1))</f>
        <v>711.91538686535682</v>
      </c>
      <c r="BJ38" s="59">
        <f t="shared" si="38"/>
        <v>313.24593837351722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4.0942857142857143</v>
      </c>
      <c r="BY38" s="12">
        <f>IF('Données projet'!$A$114&gt;35,BY37+BX38-CG37,IF(A38&lt;'Données projet'!$A$114,$BV$205^A38,IF(A38='Données projet'!$A$114,'Données projet'!$B$114,BY37+BX38-CG37)))</f>
        <v>143.3000000000001</v>
      </c>
      <c r="BZ38" s="13">
        <f>BY38*VLOOKUP('Données projet'!$B$12,Paramètres!$A$1:$I$89,3,0)*VLOOKUP('Données projet'!$B$12,Paramètres!$A$1:$I$89,5,0)</f>
        <v>129.65784000000008</v>
      </c>
      <c r="CA38" s="13">
        <f t="shared" si="39"/>
        <v>33.917284079455818</v>
      </c>
      <c r="CB38" s="20">
        <f t="shared" si="10"/>
        <v>284.89334110505234</v>
      </c>
      <c r="CC38" s="59">
        <f t="shared" si="11"/>
        <v>528.54387382962682</v>
      </c>
      <c r="CD38" s="59">
        <f ca="1">AVERAGE(OFFSET($CC$3,0,0,'Données projet'!$E$12+1,1))-AVERAGE(OFFSET($H$3,0,0,'Données projet'!$E$12+1,1))</f>
        <v>681.47578137804555</v>
      </c>
      <c r="CE38" s="59">
        <f t="shared" si="40"/>
        <v>300.88511065995885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63.46153846153846</v>
      </c>
      <c r="CR38" s="12">
        <f>VLOOKUP(A38,'Données projet'!$A$139:$I$159,9,0)</f>
        <v>3.0769230769230775</v>
      </c>
      <c r="CS38" s="12">
        <f t="array" ref="CS38">INDEX(CR:CR,MIN(IF(ISNUMBER(CR38:CR234),ROW(CR38:CR234),"")))</f>
        <v>3.0769230769230775</v>
      </c>
      <c r="CT38" s="12">
        <f>IF('Données projet'!$A$140&gt;35,CT37+CS38-DB37,IF(A38&lt;'Données projet'!$A$140,$CQ$205^A38,IF(A38='Données projet'!$A$140,'Données projet'!$B$140,CT37+CS38-DB37)))</f>
        <v>63.46153846153846</v>
      </c>
      <c r="CU38" s="17">
        <f>CT38*VLOOKUP('Données projet'!$B$13,Paramètres!$A$1:$I$89,3,0)*VLOOKUP('Données projet'!$B$13,Paramètres!$A$1:$I$89,5,0)</f>
        <v>51.480000000000004</v>
      </c>
      <c r="CV38" s="13">
        <f t="shared" si="41"/>
        <v>14.995324806875232</v>
      </c>
      <c r="CW38" s="20">
        <f t="shared" si="13"/>
        <v>115.77785737197435</v>
      </c>
      <c r="CX38" s="59">
        <f t="shared" si="14"/>
        <v>359.42839009654887</v>
      </c>
      <c r="CY38" s="59">
        <f ca="1">AVERAGE(OFFSET($CX$3,0,0,'Données projet'!$E$13+1,1))-AVERAGE(OFFSET($H$3,0,0,'Données projet'!$E$13+1,1))</f>
        <v>186.54446846714993</v>
      </c>
      <c r="CZ38" s="59">
        <f t="shared" si="42"/>
        <v>154.43773051601286</v>
      </c>
      <c r="DA38" s="15">
        <f>IF(ISNA(VLOOKUP(A38,'Données projet'!$A$139:$I$159,3,0)),0,VLOOKUP(A38,'Données projet'!$A$139:$I$159,3,0))</f>
        <v>5</v>
      </c>
      <c r="DB38" s="15">
        <f>IF(ISNA(VLOOKUP(A38,'Données projet'!$A$139:$I$159,4,0)),0,VLOOKUP(A38,'Données projet'!$A$139:$I$159,4,0))</f>
        <v>6.4102564102564097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0.1075</v>
      </c>
      <c r="DE38" s="16">
        <f>IF(ISNA(VLOOKUP(A38,'Données projet'!$A$139:$I$159,7,0)),0%,VLOOKUP(A38,'Données projet'!$A$139:$I$159,7,0))</f>
        <v>0.25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1.8364556178416365</v>
      </c>
      <c r="DH38" s="21">
        <f>EXP(-LN(2)/2)*DH37+(1-EXP(-LN(2)/2))/(LN(2)/2)*DB38*DE38*VLOOKUP('Données projet'!$B$13,Paramètres!$A$1:$I$89,3,0)*0.475*44/12</f>
        <v>1.4584964803789129</v>
      </c>
      <c r="DI38" s="22">
        <f t="shared" si="15"/>
        <v>3.2949520982205494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3.15468085106383</v>
      </c>
      <c r="DO38" s="12">
        <f>IF('Données projet'!$A$166&gt;35,DO37+DN38-DW37,IF(A38&lt;'Données projet'!$A$166,$DL$205^A38,IF(A38='Données projet'!$A$166,'Données projet'!$B$166,DO37+DN38-DW37)))</f>
        <v>110.41382978723405</v>
      </c>
      <c r="DP38" s="17">
        <f>DO38*VLOOKUP('Données projet'!$B$14,Paramètres!$A$1:$I$89,3,0)*VLOOKUP('Données projet'!$B$14,Paramètres!$A$1:$I$89,5,0)</f>
        <v>125.73926936170213</v>
      </c>
      <c r="DQ38" s="13">
        <f t="shared" si="43"/>
        <v>33.009928282493838</v>
      </c>
      <c r="DR38" s="20">
        <f t="shared" si="16"/>
        <v>276.48818589697464</v>
      </c>
      <c r="DS38" s="59">
        <f t="shared" si="17"/>
        <v>520.13871862154917</v>
      </c>
      <c r="DT38" s="59">
        <f ca="1">AVERAGE(OFFSET($DS$3,0,0,'Données projet'!$E$14+1,1))-AVERAGE(OFFSET($H$3,0,0,'Données projet'!$E$14+1,1))</f>
        <v>651.35546372812314</v>
      </c>
      <c r="DU38" s="59">
        <f t="shared" si="44"/>
        <v>293.6561676213388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98.07692307692308</v>
      </c>
      <c r="EH38" s="12">
        <f>VLOOKUP(A38,'Données projet'!$A$191:$I$211,9,0)</f>
        <v>5.3846153846153868</v>
      </c>
      <c r="EI38" s="12">
        <f t="array" ref="EI38">INDEX(EH:EH,MIN(IF(ISNUMBER(EH38:EH234),ROW(EH38:EH234),"")))</f>
        <v>5.3846153846153868</v>
      </c>
      <c r="EJ38" s="12">
        <f>IF('Données projet'!$A$192&gt;35,EJ37+EI38-ER37,IF(A38&lt;'Données projet'!$A$192,$EG$205^A38,IF(A38='Données projet'!$A$192,'Données projet'!$B$192,EJ37+EI38-ER37)))</f>
        <v>98.076923076923094</v>
      </c>
      <c r="EK38" s="17">
        <f>EJ38*VLOOKUP('Données projet'!$B$15,Paramètres!$A$1:$I$89,3,0)*VLOOKUP('Données projet'!$B$15,Paramètres!$A$1:$I$89,5,0)</f>
        <v>102.51000000000003</v>
      </c>
      <c r="EL38" s="13">
        <f t="shared" si="45"/>
        <v>27.55910495810631</v>
      </c>
      <c r="EM38" s="20">
        <f t="shared" si="19"/>
        <v>226.5370244687019</v>
      </c>
      <c r="EN38" s="59">
        <f t="shared" si="20"/>
        <v>470.1875571932764</v>
      </c>
      <c r="EO38" s="59">
        <f ca="1">AVERAGE(OFFSET($EN$3,0,0,'Données projet'!$E$15+1,1))-AVERAGE(OFFSET($H$3,0,0,'Données projet'!$E$15+1,1))</f>
        <v>290.69667785754848</v>
      </c>
      <c r="EP38" s="59">
        <f t="shared" si="46"/>
        <v>256.28124185489082</v>
      </c>
      <c r="EQ38" s="15">
        <f>IF(ISNA(VLOOKUP(A38,'Données projet'!$A$191:$I$211,3,0)),0,VLOOKUP(A38,'Données projet'!$A$191:$I$211,3,0))</f>
        <v>4</v>
      </c>
      <c r="ER38" s="15">
        <f>IF(ISNA(VLOOKUP(A38,'Données projet'!$A$191:$I$211,4,0)),0,VLOOKUP(A38,'Données projet'!$A$191:$I$211,4,0))</f>
        <v>15.384615384615383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0.215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14.176125856576006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14.176125856576006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4.0942857142857143</v>
      </c>
      <c r="N39" s="13">
        <f>IF('Données projet'!$A$36&gt;35,N38+M39-V38,IF(A39&lt;'Données projet'!$A$36,$K$205^A39,IF(A39='Données projet'!$A$36,'Données projet'!$B$36,N38+M39-V38)))</f>
        <v>147.39428571428581</v>
      </c>
      <c r="O39" s="13">
        <f>N39*VLOOKUP('Données projet'!$B$9,Paramètres!$A$1:$I$89,3,0)*VLOOKUP('Données projet'!$B$9,Paramètres!$A$1:$I$89,5,0)</f>
        <v>149.45780571428583</v>
      </c>
      <c r="P39" s="13">
        <f t="shared" si="33"/>
        <v>38.455344067865383</v>
      </c>
      <c r="Q39" s="20">
        <f t="shared" si="53"/>
        <v>327.2820692039133</v>
      </c>
      <c r="R39" s="59">
        <f t="shared" si="0"/>
        <v>571.79448744494766</v>
      </c>
      <c r="S39" s="59">
        <f ca="1">AVERAGE(OFFSET($R$3,0,0,'Données projet'!$E$9+1,1))-AVERAGE(OFFSET($H$3,0,0,'Données projet'!$E$9+1,1))</f>
        <v>752.45542076695506</v>
      </c>
      <c r="T39" s="59">
        <f t="shared" si="34"/>
        <v>329.70629768420724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11.4</v>
      </c>
      <c r="AI39" s="13">
        <f>IF('Données projet'!$A$62&gt;35,AI38+AH39-AQ38,IF(A39&lt;'Données projet'!$A$62,$AF$205^A39,IF(A39='Données projet'!$A$62,'Données projet'!$B$62,AI38+AH39-AQ38)))</f>
        <v>182.39999999999998</v>
      </c>
      <c r="AJ39" s="13">
        <f>AI39*VLOOKUP('Données projet'!$B$10,Paramètres!$A$1:$I$89,3,0)*VLOOKUP('Données projet'!$B$10,Paramètres!$A$1:$I$89,5,0)</f>
        <v>159.34464</v>
      </c>
      <c r="AK39" s="13">
        <f t="shared" si="35"/>
        <v>40.694661837553809</v>
      </c>
      <c r="AL39" s="20">
        <f t="shared" si="4"/>
        <v>348.40178403373949</v>
      </c>
      <c r="AM39" s="59">
        <f t="shared" si="5"/>
        <v>592.91420227477397</v>
      </c>
      <c r="AN39" s="59">
        <f ca="1">AVERAGE(OFFSET($AM$3,0,0,'Données projet'!$E$10+1,1))-AVERAGE(OFFSET($H$3,0,0,'Données projet'!$E$10+1,1))</f>
        <v>408.246209980743</v>
      </c>
      <c r="AO39" s="59">
        <f t="shared" si="36"/>
        <v>394.10236303013903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8.3676350074011232</v>
      </c>
      <c r="AV39" s="21">
        <f>EXP(-LN(2)/25)*AV38+(1-EXP(-LN(2)/25))/(LN(2)/25)*Calculateur!AQ39*Calculateur!AS39*VLOOKUP('Données projet'!$B$10,Paramètres!$A$1:$I$89,3,0)*0.475*44/12</f>
        <v>16.545809871128743</v>
      </c>
      <c r="AW39" s="21">
        <f>EXP(-LN(2)/2)*AW38+(1-EXP(-LN(2)/2))/(LN(2)/2)*AQ39*AT39*VLOOKUP('Données projet'!$B$10,Paramètres!$A$1:$I$89,3,0)*0.475*44/12</f>
        <v>6.1935180042328604</v>
      </c>
      <c r="AX39" s="21">
        <f t="shared" si="6"/>
        <v>31.106962882762726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4.0942857142857143</v>
      </c>
      <c r="BD39" s="12">
        <f>IF('Données projet'!$A$88&gt;35,BD38+BC39-BL38,IF(A39&lt;'Données projet'!$A$88,$BA$205^A39,IF(A39='Données projet'!$A$88,'Données projet'!$B$88,BD38+BC39-BL38)))</f>
        <v>147.39428571428581</v>
      </c>
      <c r="BE39" s="13">
        <f>BD39*VLOOKUP('Données projet'!$B$11,Paramètres!$A$1:$I$89,3,0)*VLOOKUP('Données projet'!$B$11,Paramètres!$A$1:$I$89,5,0)</f>
        <v>140.26040228571438</v>
      </c>
      <c r="BF39" s="13">
        <f t="shared" si="37"/>
        <v>36.356653548665221</v>
      </c>
      <c r="BG39" s="20">
        <f t="shared" si="7"/>
        <v>307.60803891154438</v>
      </c>
      <c r="BH39" s="59">
        <f t="shared" si="8"/>
        <v>552.12045715257887</v>
      </c>
      <c r="BI39" s="59">
        <f ca="1">AVERAGE(OFFSET($BH$3,0,0,'Données projet'!$E$11+1,1))-AVERAGE(OFFSET($H$3,0,0,'Données projet'!$E$11+1,1))</f>
        <v>711.91538686535682</v>
      </c>
      <c r="BJ39" s="59">
        <f t="shared" si="38"/>
        <v>313.24593837351722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4.0942857142857143</v>
      </c>
      <c r="BY39" s="12">
        <f>IF('Données projet'!$A$114&gt;35,BY38+BX39-CG38,IF(A39&lt;'Données projet'!$A$114,$BV$205^A39,IF(A39='Données projet'!$A$114,'Données projet'!$B$114,BY38+BX39-CG38)))</f>
        <v>147.39428571428581</v>
      </c>
      <c r="BZ39" s="13">
        <f>BY39*VLOOKUP('Données projet'!$B$12,Paramètres!$A$1:$I$89,3,0)*VLOOKUP('Données projet'!$B$12,Paramètres!$A$1:$I$89,5,0)</f>
        <v>133.36234971428578</v>
      </c>
      <c r="CA39" s="13">
        <f t="shared" si="39"/>
        <v>34.772141208569977</v>
      </c>
      <c r="CB39" s="20">
        <f t="shared" si="10"/>
        <v>292.83423835730713</v>
      </c>
      <c r="CC39" s="59">
        <f t="shared" si="11"/>
        <v>537.3466565983415</v>
      </c>
      <c r="CD39" s="59">
        <f ca="1">AVERAGE(OFFSET($CC$3,0,0,'Données projet'!$E$12+1,1))-AVERAGE(OFFSET($H$3,0,0,'Données projet'!$E$12+1,1))</f>
        <v>681.47578137804555</v>
      </c>
      <c r="CE39" s="59">
        <f t="shared" si="40"/>
        <v>300.88511065995885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3.0769230769230758</v>
      </c>
      <c r="CT39" s="12">
        <f>IF('Données projet'!$A$140&gt;35,CT38+CS39-DB38,IF(A39&lt;'Données projet'!$A$140,$CQ$205^A39,IF(A39='Données projet'!$A$140,'Données projet'!$B$140,CT38+CS39-DB38)))</f>
        <v>60.128205128205124</v>
      </c>
      <c r="CU39" s="17">
        <f>CT39*VLOOKUP('Données projet'!$B$13,Paramètres!$A$1:$I$89,3,0)*VLOOKUP('Données projet'!$B$13,Paramètres!$A$1:$I$89,5,0)</f>
        <v>48.776000000000003</v>
      </c>
      <c r="CV39" s="13">
        <f t="shared" si="41"/>
        <v>14.297201805363601</v>
      </c>
      <c r="CW39" s="20">
        <f t="shared" si="13"/>
        <v>109.85249314434161</v>
      </c>
      <c r="CX39" s="59">
        <f t="shared" si="14"/>
        <v>354.36491138537605</v>
      </c>
      <c r="CY39" s="59">
        <f ca="1">AVERAGE(OFFSET($CX$3,0,0,'Données projet'!$E$13+1,1))-AVERAGE(OFFSET($H$3,0,0,'Données projet'!$E$13+1,1))</f>
        <v>186.54446846714993</v>
      </c>
      <c r="CZ39" s="59">
        <f t="shared" si="42"/>
        <v>154.43773051601286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1.7862376423967532</v>
      </c>
      <c r="DH39" s="21">
        <f>EXP(-LN(2)/2)*DH38+(1-EXP(-LN(2)/2))/(LN(2)/2)*DB39*DE39*VLOOKUP('Données projet'!$B$13,Paramètres!$A$1:$I$89,3,0)*0.475*44/12</f>
        <v>1.0313127516126417</v>
      </c>
      <c r="DI39" s="22">
        <f t="shared" si="15"/>
        <v>2.8175503940093947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3.15468085106383</v>
      </c>
      <c r="DO39" s="12">
        <f>IF('Données projet'!$A$166&gt;35,DO38+DN39-DW38,IF(A39&lt;'Données projet'!$A$166,$DL$205^A39,IF(A39='Données projet'!$A$166,'Données projet'!$B$166,DO38+DN39-DW38)))</f>
        <v>113.56851063829788</v>
      </c>
      <c r="DP39" s="17">
        <f>DO39*VLOOKUP('Données projet'!$B$14,Paramètres!$A$1:$I$89,3,0)*VLOOKUP('Données projet'!$B$14,Paramètres!$A$1:$I$89,5,0)</f>
        <v>129.33181991489363</v>
      </c>
      <c r="DQ39" s="13">
        <f t="shared" si="43"/>
        <v>33.841916258233013</v>
      </c>
      <c r="DR39" s="20">
        <f t="shared" si="16"/>
        <v>284.19425716819558</v>
      </c>
      <c r="DS39" s="59">
        <f t="shared" si="17"/>
        <v>528.70667540923</v>
      </c>
      <c r="DT39" s="59">
        <f ca="1">AVERAGE(OFFSET($DS$3,0,0,'Données projet'!$E$14+1,1))-AVERAGE(OFFSET($H$3,0,0,'Données projet'!$E$14+1,1))</f>
        <v>651.35546372812314</v>
      </c>
      <c r="DU39" s="59">
        <f t="shared" si="44"/>
        <v>293.6561676213388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4.9999999999999973</v>
      </c>
      <c r="EJ39" s="12">
        <f>IF('Données projet'!$A$192&gt;35,EJ38+EI39-ER38,IF(A39&lt;'Données projet'!$A$192,$EG$205^A39,IF(A39='Données projet'!$A$192,'Données projet'!$B$192,EJ38+EI39-ER38)))</f>
        <v>87.692307692307708</v>
      </c>
      <c r="EK39" s="17">
        <f>EJ39*VLOOKUP('Données projet'!$B$15,Paramètres!$A$1:$I$89,3,0)*VLOOKUP('Données projet'!$B$15,Paramètres!$A$1:$I$89,5,0)</f>
        <v>91.65600000000002</v>
      </c>
      <c r="EL39" s="13">
        <f t="shared" si="45"/>
        <v>24.964187521971738</v>
      </c>
      <c r="EM39" s="20">
        <f t="shared" si="19"/>
        <v>203.11349326743414</v>
      </c>
      <c r="EN39" s="59">
        <f t="shared" si="20"/>
        <v>447.62591150846856</v>
      </c>
      <c r="EO39" s="59">
        <f ca="1">AVERAGE(OFFSET($EN$3,0,0,'Données projet'!$E$15+1,1))-AVERAGE(OFFSET($H$3,0,0,'Données projet'!$E$15+1,1))</f>
        <v>290.69667785754848</v>
      </c>
      <c r="EP39" s="59">
        <f t="shared" si="46"/>
        <v>256.28124185489082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13.788478949537875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13.788478949537875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4.0942857142857143</v>
      </c>
      <c r="N40" s="13">
        <f>IF('Données projet'!$A$36&gt;35,N39+M40-V39,IF(A40&lt;'Données projet'!$A$36,$K$205^A40,IF(A40='Données projet'!$A$36,'Données projet'!$B$36,N39+M40-V39)))</f>
        <v>151.48857142857153</v>
      </c>
      <c r="O40" s="13">
        <f>N40*VLOOKUP('Données projet'!$B$9,Paramètres!$A$1:$I$89,3,0)*VLOOKUP('Données projet'!$B$9,Paramètres!$A$1:$I$89,5,0)</f>
        <v>153.60941142857155</v>
      </c>
      <c r="P40" s="13">
        <f t="shared" si="33"/>
        <v>39.397698754311712</v>
      </c>
      <c r="Q40" s="20">
        <f t="shared" si="53"/>
        <v>336.15405023518832</v>
      </c>
      <c r="R40" s="59">
        <f t="shared" si="0"/>
        <v>581.51340220585939</v>
      </c>
      <c r="S40" s="59">
        <f ca="1">AVERAGE(OFFSET($R$3,0,0,'Données projet'!$E$9+1,1))-AVERAGE(OFFSET($H$3,0,0,'Données projet'!$E$9+1,1))</f>
        <v>752.45542076695506</v>
      </c>
      <c r="T40" s="59">
        <f t="shared" si="34"/>
        <v>329.70629768420724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11.4</v>
      </c>
      <c r="AI40" s="13">
        <f>IF('Données projet'!$A$62&gt;35,AI39+AH40-AQ39,IF(A40&lt;'Données projet'!$A$62,$AF$205^A40,IF(A40='Données projet'!$A$62,'Données projet'!$B$62,AI39+AH40-AQ39)))</f>
        <v>193.79999999999998</v>
      </c>
      <c r="AJ40" s="13">
        <f>AI40*VLOOKUP('Données projet'!$B$10,Paramètres!$A$1:$I$89,3,0)*VLOOKUP('Données projet'!$B$10,Paramètres!$A$1:$I$89,5,0)</f>
        <v>169.30368000000001</v>
      </c>
      <c r="AK40" s="13">
        <f t="shared" si="35"/>
        <v>42.934033834973214</v>
      </c>
      <c r="AL40" s="20">
        <f t="shared" si="4"/>
        <v>369.64735159591169</v>
      </c>
      <c r="AM40" s="59">
        <f t="shared" si="5"/>
        <v>615.00670356658281</v>
      </c>
      <c r="AN40" s="59">
        <f ca="1">AVERAGE(OFFSET($AM$3,0,0,'Données projet'!$E$10+1,1))-AVERAGE(OFFSET($H$3,0,0,'Données projet'!$E$10+1,1))</f>
        <v>408.246209980743</v>
      </c>
      <c r="AO40" s="59">
        <f t="shared" si="36"/>
        <v>394.10236303013903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8.2035507886593884</v>
      </c>
      <c r="AV40" s="21">
        <f>EXP(-LN(2)/25)*AV39+(1-EXP(-LN(2)/25))/(LN(2)/25)*Calculateur!AQ40*Calculateur!AS40*VLOOKUP('Données projet'!$B$10,Paramètres!$A$1:$I$89,3,0)*0.475*44/12</f>
        <v>16.093363830096401</v>
      </c>
      <c r="AW40" s="21">
        <f>EXP(-LN(2)/2)*AW39+(1-EXP(-LN(2)/2))/(LN(2)/2)*AQ40*AT40*VLOOKUP('Données projet'!$B$10,Paramètres!$A$1:$I$89,3,0)*0.475*44/12</f>
        <v>4.3794785801940277</v>
      </c>
      <c r="AX40" s="21">
        <f t="shared" si="6"/>
        <v>28.676393198949818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4.0942857142857143</v>
      </c>
      <c r="BD40" s="12">
        <f>IF('Données projet'!$A$88&gt;35,BD39+BC40-BL39,IF(A40&lt;'Données projet'!$A$88,$BA$205^A40,IF(A40='Données projet'!$A$88,'Données projet'!$B$88,BD39+BC40-BL39)))</f>
        <v>151.48857142857153</v>
      </c>
      <c r="BE40" s="13">
        <f>BD40*VLOOKUP('Données projet'!$B$11,Paramètres!$A$1:$I$89,3,0)*VLOOKUP('Données projet'!$B$11,Paramètres!$A$1:$I$89,5,0)</f>
        <v>144.15652457142866</v>
      </c>
      <c r="BF40" s="13">
        <f t="shared" si="37"/>
        <v>37.247579470290766</v>
      </c>
      <c r="BG40" s="20">
        <f t="shared" si="7"/>
        <v>315.94548120599461</v>
      </c>
      <c r="BH40" s="59">
        <f t="shared" si="8"/>
        <v>561.30483317666574</v>
      </c>
      <c r="BI40" s="59">
        <f ca="1">AVERAGE(OFFSET($BH$3,0,0,'Données projet'!$E$11+1,1))-AVERAGE(OFFSET($H$3,0,0,'Données projet'!$E$11+1,1))</f>
        <v>711.91538686535682</v>
      </c>
      <c r="BJ40" s="59">
        <f t="shared" si="38"/>
        <v>313.24593837351722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4.0942857142857143</v>
      </c>
      <c r="BY40" s="12">
        <f>IF('Données projet'!$A$114&gt;35,BY39+BX40-CG39,IF(A40&lt;'Données projet'!$A$114,$BV$205^A40,IF(A40='Données projet'!$A$114,'Données projet'!$B$114,BY39+BX40-CG39)))</f>
        <v>151.48857142857153</v>
      </c>
      <c r="BZ40" s="13">
        <f>BY40*VLOOKUP('Données projet'!$B$12,Paramètres!$A$1:$I$89,3,0)*VLOOKUP('Données projet'!$B$12,Paramètres!$A$1:$I$89,5,0)</f>
        <v>137.06685942857152</v>
      </c>
      <c r="CA40" s="13">
        <f t="shared" si="39"/>
        <v>35.624238388297236</v>
      </c>
      <c r="CB40" s="20">
        <f t="shared" si="10"/>
        <v>300.77032869771307</v>
      </c>
      <c r="CC40" s="59">
        <f t="shared" si="11"/>
        <v>546.12968066838414</v>
      </c>
      <c r="CD40" s="59">
        <f ca="1">AVERAGE(OFFSET($CC$3,0,0,'Données projet'!$E$12+1,1))-AVERAGE(OFFSET($H$3,0,0,'Données projet'!$E$12+1,1))</f>
        <v>681.47578137804555</v>
      </c>
      <c r="CE40" s="59">
        <f t="shared" si="40"/>
        <v>300.88511065995885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3.0769230769230758</v>
      </c>
      <c r="CT40" s="12">
        <f>IF('Données projet'!$A$140&gt;35,CT39+CS40-DB39,IF(A40&lt;'Données projet'!$A$140,$CQ$205^A40,IF(A40='Données projet'!$A$140,'Données projet'!$B$140,CT39+CS40-DB39)))</f>
        <v>63.205128205128197</v>
      </c>
      <c r="CU40" s="17">
        <f>CT40*VLOOKUP('Données projet'!$B$13,Paramètres!$A$1:$I$89,3,0)*VLOOKUP('Données projet'!$B$13,Paramètres!$A$1:$I$89,5,0)</f>
        <v>51.272000000000006</v>
      </c>
      <c r="CV40" s="13">
        <f t="shared" si="41"/>
        <v>14.941777374871691</v>
      </c>
      <c r="CW40" s="20">
        <f t="shared" si="13"/>
        <v>115.32232892790154</v>
      </c>
      <c r="CX40" s="59">
        <f t="shared" si="14"/>
        <v>360.68168089857261</v>
      </c>
      <c r="CY40" s="59">
        <f ca="1">AVERAGE(OFFSET($CX$3,0,0,'Données projet'!$E$13+1,1))-AVERAGE(OFFSET($H$3,0,0,'Données projet'!$E$13+1,1))</f>
        <v>186.54446846714993</v>
      </c>
      <c r="CZ40" s="59">
        <f t="shared" si="42"/>
        <v>154.43773051601286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1.7373928801312588</v>
      </c>
      <c r="DH40" s="21">
        <f>EXP(-LN(2)/2)*DH39+(1-EXP(-LN(2)/2))/(LN(2)/2)*DB40*DE40*VLOOKUP('Données projet'!$B$13,Paramètres!$A$1:$I$89,3,0)*0.475*44/12</f>
        <v>0.72924824018945655</v>
      </c>
      <c r="DI40" s="22">
        <f t="shared" si="15"/>
        <v>2.4666411203207153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3.15468085106383</v>
      </c>
      <c r="DO40" s="12">
        <f>IF('Données projet'!$A$166&gt;35,DO39+DN40-DW39,IF(A40&lt;'Données projet'!$A$166,$DL$205^A40,IF(A40='Données projet'!$A$166,'Données projet'!$B$166,DO39+DN40-DW39)))</f>
        <v>116.72319148936171</v>
      </c>
      <c r="DP40" s="17">
        <f>DO40*VLOOKUP('Données projet'!$B$14,Paramètres!$A$1:$I$89,3,0)*VLOOKUP('Données projet'!$B$14,Paramètres!$A$1:$I$89,5,0)</f>
        <v>132.92437046808513</v>
      </c>
      <c r="DQ40" s="13">
        <f t="shared" si="43"/>
        <v>34.671218118801221</v>
      </c>
      <c r="DR40" s="20">
        <f t="shared" si="16"/>
        <v>291.89565012216036</v>
      </c>
      <c r="DS40" s="59">
        <f t="shared" si="17"/>
        <v>537.25500209283143</v>
      </c>
      <c r="DT40" s="59">
        <f ca="1">AVERAGE(OFFSET($DS$3,0,0,'Données projet'!$E$14+1,1))-AVERAGE(OFFSET($H$3,0,0,'Données projet'!$E$14+1,1))</f>
        <v>651.35546372812314</v>
      </c>
      <c r="DU40" s="59">
        <f t="shared" si="44"/>
        <v>293.6561676213388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4.9999999999999973</v>
      </c>
      <c r="EJ40" s="12">
        <f>IF('Données projet'!$A$192&gt;35,EJ39+EI40-ER39,IF(A40&lt;'Données projet'!$A$192,$EG$205^A40,IF(A40='Données projet'!$A$192,'Données projet'!$B$192,EJ39+EI40-ER39)))</f>
        <v>92.692307692307708</v>
      </c>
      <c r="EK40" s="17">
        <f>EJ40*VLOOKUP('Données projet'!$B$15,Paramètres!$A$1:$I$89,3,0)*VLOOKUP('Données projet'!$B$15,Paramètres!$A$1:$I$89,5,0)</f>
        <v>96.882000000000033</v>
      </c>
      <c r="EL40" s="13">
        <f t="shared" si="45"/>
        <v>26.21781316207062</v>
      </c>
      <c r="EM40" s="20">
        <f t="shared" si="19"/>
        <v>214.39884125727303</v>
      </c>
      <c r="EN40" s="59">
        <f t="shared" si="20"/>
        <v>459.75819322794416</v>
      </c>
      <c r="EO40" s="59">
        <f ca="1">AVERAGE(OFFSET($EN$3,0,0,'Données projet'!$E$15+1,1))-AVERAGE(OFFSET($H$3,0,0,'Données projet'!$E$15+1,1))</f>
        <v>290.69667785754848</v>
      </c>
      <c r="EP40" s="59">
        <f t="shared" si="46"/>
        <v>256.28124185489082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13.411432267558169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13.411432267558169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4.0942857142857143</v>
      </c>
      <c r="N41" s="13">
        <f>IF('Données projet'!$A$36&gt;35,N40+M41-V40,IF(A41&lt;'Données projet'!$A$36,$K$205^A41,IF(A41='Données projet'!$A$36,'Données projet'!$B$36,N40+M41-V40)))</f>
        <v>155.58285714285725</v>
      </c>
      <c r="O41" s="13">
        <f>N41*VLOOKUP('Données projet'!$B$9,Paramètres!$A$1:$I$89,3,0)*VLOOKUP('Données projet'!$B$9,Paramètres!$A$1:$I$89,5,0)</f>
        <v>157.76101714285727</v>
      </c>
      <c r="P41" s="13">
        <f t="shared" si="33"/>
        <v>40.337093121354812</v>
      </c>
      <c r="Q41" s="20">
        <f t="shared" si="53"/>
        <v>345.02087537683605</v>
      </c>
      <c r="R41" s="59">
        <f t="shared" si="0"/>
        <v>591.21246867039474</v>
      </c>
      <c r="S41" s="59">
        <f ca="1">AVERAGE(OFFSET($R$3,0,0,'Données projet'!$E$9+1,1))-AVERAGE(OFFSET($H$3,0,0,'Données projet'!$E$9+1,1))</f>
        <v>752.45542076695506</v>
      </c>
      <c r="T41" s="59">
        <f t="shared" si="34"/>
        <v>329.70629768420724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11.4</v>
      </c>
      <c r="AI41" s="13">
        <f>IF('Données projet'!$A$62&gt;35,AI40+AH41-AQ40,IF(A41&lt;'Données projet'!$A$62,$AF$205^A41,IF(A41='Données projet'!$A$62,'Données projet'!$B$62,AI40+AH41-AQ40)))</f>
        <v>205.2</v>
      </c>
      <c r="AJ41" s="13">
        <f>AI41*VLOOKUP('Données projet'!$B$10,Paramètres!$A$1:$I$89,3,0)*VLOOKUP('Données projet'!$B$10,Paramètres!$A$1:$I$89,5,0)</f>
        <v>179.26272</v>
      </c>
      <c r="AK41" s="13">
        <f t="shared" si="35"/>
        <v>45.158115787467153</v>
      </c>
      <c r="AL41" s="20">
        <f t="shared" si="4"/>
        <v>390.86628899650526</v>
      </c>
      <c r="AM41" s="59">
        <f t="shared" si="5"/>
        <v>637.05788229006396</v>
      </c>
      <c r="AN41" s="59">
        <f ca="1">AVERAGE(OFFSET($AM$3,0,0,'Données projet'!$E$10+1,1))-AVERAGE(OFFSET($H$3,0,0,'Données projet'!$E$10+1,1))</f>
        <v>408.246209980743</v>
      </c>
      <c r="AO41" s="59">
        <f t="shared" si="36"/>
        <v>394.10236303013903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8.0426841613656865</v>
      </c>
      <c r="AV41" s="21">
        <f>EXP(-LN(2)/25)*AV40+(1-EXP(-LN(2)/25))/(LN(2)/25)*Calculateur!AQ41*Calculateur!AS41*VLOOKUP('Données projet'!$B$10,Paramètres!$A$1:$I$89,3,0)*0.475*44/12</f>
        <v>15.653289949849192</v>
      </c>
      <c r="AW41" s="21">
        <f>EXP(-LN(2)/2)*AW40+(1-EXP(-LN(2)/2))/(LN(2)/2)*AQ41*AT41*VLOOKUP('Données projet'!$B$10,Paramètres!$A$1:$I$89,3,0)*0.475*44/12</f>
        <v>3.0967590021164302</v>
      </c>
      <c r="AX41" s="21">
        <f t="shared" si="6"/>
        <v>26.792733113331309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4.0942857142857143</v>
      </c>
      <c r="BD41" s="12">
        <f>IF('Données projet'!$A$88&gt;35,BD40+BC41-BL40,IF(A41&lt;'Données projet'!$A$88,$BA$205^A41,IF(A41='Données projet'!$A$88,'Données projet'!$B$88,BD40+BC41-BL40)))</f>
        <v>155.58285714285725</v>
      </c>
      <c r="BE41" s="13">
        <f>BD41*VLOOKUP('Données projet'!$B$11,Paramètres!$A$1:$I$89,3,0)*VLOOKUP('Données projet'!$B$11,Paramètres!$A$1:$I$89,5,0)</f>
        <v>148.05264685714295</v>
      </c>
      <c r="BF41" s="13">
        <f t="shared" si="37"/>
        <v>38.135706631183687</v>
      </c>
      <c r="BG41" s="20">
        <f t="shared" si="7"/>
        <v>324.27804899216886</v>
      </c>
      <c r="BH41" s="59">
        <f t="shared" si="8"/>
        <v>570.46964228572756</v>
      </c>
      <c r="BI41" s="59">
        <f ca="1">AVERAGE(OFFSET($BH$3,0,0,'Données projet'!$E$11+1,1))-AVERAGE(OFFSET($H$3,0,0,'Données projet'!$E$11+1,1))</f>
        <v>711.91538686535682</v>
      </c>
      <c r="BJ41" s="59">
        <f t="shared" si="38"/>
        <v>313.24593837351722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4.0942857142857143</v>
      </c>
      <c r="BY41" s="12">
        <f>IF('Données projet'!$A$114&gt;35,BY40+BX41-CG40,IF(A41&lt;'Données projet'!$A$114,$BV$205^A41,IF(A41='Données projet'!$A$114,'Données projet'!$B$114,BY40+BX41-CG40)))</f>
        <v>155.58285714285725</v>
      </c>
      <c r="BZ41" s="13">
        <f>BY41*VLOOKUP('Données projet'!$B$12,Paramètres!$A$1:$I$89,3,0)*VLOOKUP('Données projet'!$B$12,Paramètres!$A$1:$I$89,5,0)</f>
        <v>140.77136914285722</v>
      </c>
      <c r="CA41" s="13">
        <f t="shared" si="39"/>
        <v>36.473658784165018</v>
      </c>
      <c r="CB41" s="20">
        <f t="shared" si="10"/>
        <v>308.70175697289704</v>
      </c>
      <c r="CC41" s="59">
        <f t="shared" si="11"/>
        <v>554.89335026645574</v>
      </c>
      <c r="CD41" s="59">
        <f ca="1">AVERAGE(OFFSET($CC$3,0,0,'Données projet'!$E$12+1,1))-AVERAGE(OFFSET($H$3,0,0,'Données projet'!$E$12+1,1))</f>
        <v>681.47578137804555</v>
      </c>
      <c r="CE41" s="59">
        <f t="shared" si="40"/>
        <v>300.88511065995885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3.0769230769230758</v>
      </c>
      <c r="CT41" s="12">
        <f>IF('Données projet'!$A$140&gt;35,CT40+CS41-DB40,IF(A41&lt;'Données projet'!$A$140,$CQ$205^A41,IF(A41='Données projet'!$A$140,'Données projet'!$B$140,CT40+CS41-DB40)))</f>
        <v>66.28205128205127</v>
      </c>
      <c r="CU41" s="17">
        <f>CT41*VLOOKUP('Données projet'!$B$13,Paramètres!$A$1:$I$89,3,0)*VLOOKUP('Données projet'!$B$13,Paramètres!$A$1:$I$89,5,0)</f>
        <v>53.767999999999994</v>
      </c>
      <c r="CV41" s="13">
        <f t="shared" si="41"/>
        <v>15.582709246136304</v>
      </c>
      <c r="CW41" s="20">
        <f t="shared" si="13"/>
        <v>120.78581860368736</v>
      </c>
      <c r="CX41" s="59">
        <f t="shared" si="14"/>
        <v>366.9774118972461</v>
      </c>
      <c r="CY41" s="59">
        <f ca="1">AVERAGE(OFFSET($CX$3,0,0,'Données projet'!$E$13+1,1))-AVERAGE(OFFSET($H$3,0,0,'Données projet'!$E$13+1,1))</f>
        <v>186.54446846714993</v>
      </c>
      <c r="CZ41" s="59">
        <f t="shared" si="42"/>
        <v>154.43773051601286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1.6898837804585489</v>
      </c>
      <c r="DH41" s="21">
        <f>EXP(-LN(2)/2)*DH40+(1-EXP(-LN(2)/2))/(LN(2)/2)*DB41*DE41*VLOOKUP('Données projet'!$B$13,Paramètres!$A$1:$I$89,3,0)*0.475*44/12</f>
        <v>0.51565637580632095</v>
      </c>
      <c r="DI41" s="22">
        <f t="shared" si="15"/>
        <v>2.20554015626487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3.15468085106383</v>
      </c>
      <c r="DO41" s="12">
        <f>IF('Données projet'!$A$166&gt;35,DO40+DN41-DW40,IF(A41&lt;'Données projet'!$A$166,$DL$205^A41,IF(A41='Données projet'!$A$166,'Données projet'!$B$166,DO40+DN41-DW40)))</f>
        <v>119.87787234042554</v>
      </c>
      <c r="DP41" s="17">
        <f>DO41*VLOOKUP('Données projet'!$B$14,Paramètres!$A$1:$I$89,3,0)*VLOOKUP('Données projet'!$B$14,Paramètres!$A$1:$I$89,5,0)</f>
        <v>136.5169210212766</v>
      </c>
      <c r="DQ41" s="13">
        <f t="shared" si="43"/>
        <v>35.497914804880097</v>
      </c>
      <c r="DR41" s="20">
        <f t="shared" si="16"/>
        <v>299.59250573055618</v>
      </c>
      <c r="DS41" s="59">
        <f t="shared" si="17"/>
        <v>545.78409902411488</v>
      </c>
      <c r="DT41" s="59">
        <f ca="1">AVERAGE(OFFSET($DS$3,0,0,'Données projet'!$E$14+1,1))-AVERAGE(OFFSET($H$3,0,0,'Données projet'!$E$14+1,1))</f>
        <v>651.35546372812314</v>
      </c>
      <c r="DU41" s="59">
        <f t="shared" si="44"/>
        <v>293.6561676213388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4.9999999999999973</v>
      </c>
      <c r="EJ41" s="12">
        <f>IF('Données projet'!$A$192&gt;35,EJ40+EI41-ER40,IF(A41&lt;'Données projet'!$A$192,$EG$205^A41,IF(A41='Données projet'!$A$192,'Données projet'!$B$192,EJ40+EI41-ER40)))</f>
        <v>97.692307692307708</v>
      </c>
      <c r="EK41" s="17">
        <f>EJ41*VLOOKUP('Données projet'!$B$15,Paramètres!$A$1:$I$89,3,0)*VLOOKUP('Données projet'!$B$15,Paramètres!$A$1:$I$89,5,0)</f>
        <v>102.10800000000003</v>
      </c>
      <c r="EL41" s="13">
        <f t="shared" si="45"/>
        <v>27.463588130350807</v>
      </c>
      <c r="EM41" s="20">
        <f t="shared" si="19"/>
        <v>225.67051599369438</v>
      </c>
      <c r="EN41" s="59">
        <f t="shared" si="20"/>
        <v>471.86210928725313</v>
      </c>
      <c r="EO41" s="59">
        <f ca="1">AVERAGE(OFFSET($EN$3,0,0,'Données projet'!$E$15+1,1))-AVERAGE(OFFSET($H$3,0,0,'Données projet'!$E$15+1,1))</f>
        <v>290.69667785754848</v>
      </c>
      <c r="EP41" s="59">
        <f t="shared" si="46"/>
        <v>256.28124185489082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13.04469594692522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13.04469594692522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4.0942857142857143</v>
      </c>
      <c r="N42" s="13">
        <f>IF('Données projet'!$A$36&gt;35,N41+M42-V41,IF(A42&lt;'Données projet'!$A$36,$K$205^A42,IF(A42='Données projet'!$A$36,'Données projet'!$B$36,N41+M42-V41)))</f>
        <v>159.67714285714297</v>
      </c>
      <c r="O42" s="13">
        <f>N42*VLOOKUP('Données projet'!$B$9,Paramètres!$A$1:$I$89,3,0)*VLOOKUP('Données projet'!$B$9,Paramètres!$A$1:$I$89,5,0)</f>
        <v>161.91262285714299</v>
      </c>
      <c r="P42" s="13">
        <f t="shared" si="33"/>
        <v>41.273614027289312</v>
      </c>
      <c r="Q42" s="20">
        <f t="shared" si="53"/>
        <v>353.88269590705289</v>
      </c>
      <c r="R42" s="59">
        <f t="shared" si="0"/>
        <v>600.89209299716003</v>
      </c>
      <c r="S42" s="59">
        <f ca="1">AVERAGE(OFFSET($R$3,0,0,'Données projet'!$E$9+1,1))-AVERAGE(OFFSET($H$3,0,0,'Données projet'!$E$9+1,1))</f>
        <v>752.45542076695506</v>
      </c>
      <c r="T42" s="59">
        <f t="shared" si="34"/>
        <v>329.70629768420724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11.4</v>
      </c>
      <c r="AI42" s="13">
        <f>IF('Données projet'!$A$62&gt;35,AI41+AH42-AQ41,IF(A42&lt;'Données projet'!$A$62,$AF$205^A42,IF(A42='Données projet'!$A$62,'Données projet'!$B$62,AI41+AH42-AQ41)))</f>
        <v>216.6</v>
      </c>
      <c r="AJ42" s="13">
        <f>AI42*VLOOKUP('Données projet'!$B$10,Paramètres!$A$1:$I$89,3,0)*VLOOKUP('Données projet'!$B$10,Paramètres!$A$1:$I$89,5,0)</f>
        <v>189.22176000000002</v>
      </c>
      <c r="AK42" s="13">
        <f t="shared" si="35"/>
        <v>47.367853957810077</v>
      </c>
      <c r="AL42" s="20">
        <f t="shared" si="4"/>
        <v>412.06024430985258</v>
      </c>
      <c r="AM42" s="59">
        <f t="shared" si="5"/>
        <v>659.06964139995966</v>
      </c>
      <c r="AN42" s="59">
        <f ca="1">AVERAGE(OFFSET($AM$3,0,0,'Données projet'!$E$10+1,1))-AVERAGE(OFFSET($H$3,0,0,'Données projet'!$E$10+1,1))</f>
        <v>408.246209980743</v>
      </c>
      <c r="AO42" s="59">
        <f t="shared" si="36"/>
        <v>394.10236303013903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7.8849720305142608</v>
      </c>
      <c r="AV42" s="21">
        <f>EXP(-LN(2)/25)*AV41+(1-EXP(-LN(2)/25))/(LN(2)/25)*Calculateur!AQ42*Calculateur!AS42*VLOOKUP('Données projet'!$B$10,Paramètres!$A$1:$I$89,3,0)*0.475*44/12</f>
        <v>15.225249912999823</v>
      </c>
      <c r="AW42" s="21">
        <f>EXP(-LN(2)/2)*AW41+(1-EXP(-LN(2)/2))/(LN(2)/2)*AQ42*AT42*VLOOKUP('Données projet'!$B$10,Paramètres!$A$1:$I$89,3,0)*0.475*44/12</f>
        <v>2.1897392900970138</v>
      </c>
      <c r="AX42" s="21">
        <f t="shared" si="6"/>
        <v>25.299961233611096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4.0942857142857143</v>
      </c>
      <c r="BD42" s="12">
        <f>IF('Données projet'!$A$88&gt;35,BD41+BC42-BL41,IF(A42&lt;'Données projet'!$A$88,$BA$205^A42,IF(A42='Données projet'!$A$88,'Données projet'!$B$88,BD41+BC42-BL41)))</f>
        <v>159.67714285714297</v>
      </c>
      <c r="BE42" s="13">
        <f>BD42*VLOOKUP('Données projet'!$B$11,Paramètres!$A$1:$I$89,3,0)*VLOOKUP('Données projet'!$B$11,Paramètres!$A$1:$I$89,5,0)</f>
        <v>151.94876914285726</v>
      </c>
      <c r="BF42" s="13">
        <f t="shared" si="37"/>
        <v>39.021117149369502</v>
      </c>
      <c r="BG42" s="20">
        <f t="shared" si="7"/>
        <v>332.60588529229494</v>
      </c>
      <c r="BH42" s="59">
        <f t="shared" si="8"/>
        <v>579.61528238240203</v>
      </c>
      <c r="BI42" s="59">
        <f ca="1">AVERAGE(OFFSET($BH$3,0,0,'Données projet'!$E$11+1,1))-AVERAGE(OFFSET($H$3,0,0,'Données projet'!$E$11+1,1))</f>
        <v>711.91538686535682</v>
      </c>
      <c r="BJ42" s="59">
        <f t="shared" si="38"/>
        <v>313.24593837351722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4.0942857142857143</v>
      </c>
      <c r="BY42" s="12">
        <f>IF('Données projet'!$A$114&gt;35,BY41+BX42-CG41,IF(A42&lt;'Données projet'!$A$114,$BV$205^A42,IF(A42='Données projet'!$A$114,'Données projet'!$B$114,BY41+BX42-CG41)))</f>
        <v>159.67714285714297</v>
      </c>
      <c r="BZ42" s="13">
        <f>BY42*VLOOKUP('Données projet'!$B$12,Paramètres!$A$1:$I$89,3,0)*VLOOKUP('Données projet'!$B$12,Paramètres!$A$1:$I$89,5,0)</f>
        <v>144.47587885714296</v>
      </c>
      <c r="CA42" s="13">
        <f t="shared" si="39"/>
        <v>37.320480935293446</v>
      </c>
      <c r="CB42" s="20">
        <f t="shared" si="10"/>
        <v>316.62865997182678</v>
      </c>
      <c r="CC42" s="59">
        <f t="shared" si="11"/>
        <v>563.63805706193386</v>
      </c>
      <c r="CD42" s="59">
        <f ca="1">AVERAGE(OFFSET($CC$3,0,0,'Données projet'!$E$12+1,1))-AVERAGE(OFFSET($H$3,0,0,'Données projet'!$E$12+1,1))</f>
        <v>681.47578137804555</v>
      </c>
      <c r="CE42" s="59">
        <f t="shared" si="40"/>
        <v>300.88511065995885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3.0769230769230758</v>
      </c>
      <c r="CT42" s="12">
        <f>IF('Données projet'!$A$140&gt;35,CT41+CS42-DB41,IF(A42&lt;'Données projet'!$A$140,$CQ$205^A42,IF(A42='Données projet'!$A$140,'Données projet'!$B$140,CT41+CS42-DB41)))</f>
        <v>69.358974358974351</v>
      </c>
      <c r="CU42" s="17">
        <f>CT42*VLOOKUP('Données projet'!$B$13,Paramètres!$A$1:$I$89,3,0)*VLOOKUP('Données projet'!$B$13,Paramètres!$A$1:$I$89,5,0)</f>
        <v>56.263999999999996</v>
      </c>
      <c r="CV42" s="13">
        <f t="shared" si="41"/>
        <v>16.220185883468393</v>
      </c>
      <c r="CW42" s="20">
        <f t="shared" si="13"/>
        <v>126.24329041370743</v>
      </c>
      <c r="CX42" s="59">
        <f t="shared" si="14"/>
        <v>373.25268750381451</v>
      </c>
      <c r="CY42" s="59">
        <f ca="1">AVERAGE(OFFSET($CX$3,0,0,'Données projet'!$E$13+1,1))-AVERAGE(OFFSET($H$3,0,0,'Données projet'!$E$13+1,1))</f>
        <v>186.54446846714993</v>
      </c>
      <c r="CZ42" s="59">
        <f t="shared" si="42"/>
        <v>154.43773051601286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1.6436738196147842</v>
      </c>
      <c r="DH42" s="21">
        <f>EXP(-LN(2)/2)*DH41+(1-EXP(-LN(2)/2))/(LN(2)/2)*DB42*DE42*VLOOKUP('Données projet'!$B$13,Paramètres!$A$1:$I$89,3,0)*0.475*44/12</f>
        <v>0.36462412009472833</v>
      </c>
      <c r="DI42" s="22">
        <f t="shared" si="15"/>
        <v>2.0082979397095126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3.15468085106383</v>
      </c>
      <c r="DO42" s="12">
        <f>IF('Données projet'!$A$166&gt;35,DO41+DN42-DW41,IF(A42&lt;'Données projet'!$A$166,$DL$205^A42,IF(A42='Données projet'!$A$166,'Données projet'!$B$166,DO41+DN42-DW41)))</f>
        <v>123.03255319148937</v>
      </c>
      <c r="DP42" s="17">
        <f>DO42*VLOOKUP('Données projet'!$B$14,Paramètres!$A$1:$I$89,3,0)*VLOOKUP('Données projet'!$B$14,Paramètres!$A$1:$I$89,5,0)</f>
        <v>140.1094715744681</v>
      </c>
      <c r="DQ42" s="13">
        <f t="shared" si="43"/>
        <v>36.322082754509893</v>
      </c>
      <c r="DR42" s="20">
        <f t="shared" si="16"/>
        <v>307.28495712297001</v>
      </c>
      <c r="DS42" s="59">
        <f t="shared" si="17"/>
        <v>554.2943542130771</v>
      </c>
      <c r="DT42" s="59">
        <f ca="1">AVERAGE(OFFSET($DS$3,0,0,'Données projet'!$E$14+1,1))-AVERAGE(OFFSET($H$3,0,0,'Données projet'!$E$14+1,1))</f>
        <v>651.35546372812314</v>
      </c>
      <c r="DU42" s="59">
        <f t="shared" si="44"/>
        <v>293.6561676213388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4.9999999999999973</v>
      </c>
      <c r="EJ42" s="12">
        <f>IF('Données projet'!$A$192&gt;35,EJ41+EI42-ER41,IF(A42&lt;'Données projet'!$A$192,$EG$205^A42,IF(A42='Données projet'!$A$192,'Données projet'!$B$192,EJ41+EI42-ER41)))</f>
        <v>102.69230769230771</v>
      </c>
      <c r="EK42" s="17">
        <f>EJ42*VLOOKUP('Données projet'!$B$15,Paramètres!$A$1:$I$89,3,0)*VLOOKUP('Données projet'!$B$15,Paramètres!$A$1:$I$89,5,0)</f>
        <v>107.33400000000002</v>
      </c>
      <c r="EL42" s="13">
        <f t="shared" si="45"/>
        <v>28.701960070060018</v>
      </c>
      <c r="EM42" s="20">
        <f t="shared" si="19"/>
        <v>236.92929712202124</v>
      </c>
      <c r="EN42" s="59">
        <f t="shared" si="20"/>
        <v>483.93869421212833</v>
      </c>
      <c r="EO42" s="59">
        <f ca="1">AVERAGE(OFFSET($EN$3,0,0,'Données projet'!$E$15+1,1))-AVERAGE(OFFSET($H$3,0,0,'Données projet'!$E$15+1,1))</f>
        <v>290.69667785754848</v>
      </c>
      <c r="EP42" s="59">
        <f t="shared" si="46"/>
        <v>256.28124185489082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12.687988050265805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12.687988050265805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4.0942857142857143</v>
      </c>
      <c r="N43" s="13">
        <f>IF('Données projet'!$A$36&gt;35,N42+M43-V42,IF(A43&lt;'Données projet'!$A$36,$K$205^A43,IF(A43='Données projet'!$A$36,'Données projet'!$B$36,N42+M43-V42)))</f>
        <v>163.77142857142869</v>
      </c>
      <c r="O43" s="13">
        <f>N43*VLOOKUP('Données projet'!$B$9,Paramètres!$A$1:$I$89,3,0)*VLOOKUP('Données projet'!$B$9,Paramètres!$A$1:$I$89,5,0)</f>
        <v>166.06422857142869</v>
      </c>
      <c r="P43" s="13">
        <f t="shared" si="33"/>
        <v>42.20734362237048</v>
      </c>
      <c r="Q43" s="20">
        <f t="shared" si="53"/>
        <v>362.73965490420022</v>
      </c>
      <c r="R43" s="59">
        <f t="shared" si="0"/>
        <v>610.55266872332106</v>
      </c>
      <c r="S43" s="59">
        <f ca="1">AVERAGE(OFFSET($R$3,0,0,'Données projet'!$E$9+1,1))-AVERAGE(OFFSET($H$3,0,0,'Données projet'!$E$9+1,1))</f>
        <v>752.45542076695506</v>
      </c>
      <c r="T43" s="59">
        <f t="shared" si="34"/>
        <v>329.70629768420724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228</v>
      </c>
      <c r="AG43" s="12">
        <f>VLOOKUP(A43,'Données projet'!$A$61:$I$81,9,0)</f>
        <v>11.4</v>
      </c>
      <c r="AH43" s="12">
        <f t="array" ref="AH43">INDEX(AG:AG,MIN(IF(ISNUMBER(AG43:AG239),ROW(AG43:AG239),"")))</f>
        <v>11.4</v>
      </c>
      <c r="AI43" s="13">
        <f>IF('Données projet'!$A$62&gt;35,AI42+AH43-AQ42,IF(A43&lt;'Données projet'!$A$62,$AF$205^A43,IF(A43='Données projet'!$A$62,'Données projet'!$B$62,AI42+AH43-AQ42)))</f>
        <v>228</v>
      </c>
      <c r="AJ43" s="13">
        <f>AI43*VLOOKUP('Données projet'!$B$10,Paramètres!$A$1:$I$89,3,0)*VLOOKUP('Données projet'!$B$10,Paramètres!$A$1:$I$89,5,0)</f>
        <v>199.1808</v>
      </c>
      <c r="AK43" s="13">
        <f t="shared" si="35"/>
        <v>49.564089376413683</v>
      </c>
      <c r="AL43" s="20">
        <f t="shared" si="4"/>
        <v>433.23068233058711</v>
      </c>
      <c r="AM43" s="59">
        <f t="shared" si="5"/>
        <v>681.0436961497079</v>
      </c>
      <c r="AN43" s="59">
        <f ca="1">AVERAGE(OFFSET($AM$3,0,0,'Données projet'!$E$10+1,1))-AVERAGE(OFFSET($H$3,0,0,'Données projet'!$E$10+1,1))</f>
        <v>408.246209980743</v>
      </c>
      <c r="AO43" s="59">
        <f t="shared" si="36"/>
        <v>394.10236303013903</v>
      </c>
      <c r="AP43" s="15">
        <f>IF(ISNA(VLOOKUP(A43,'Données projet'!$A$61:$I$81,3,0)),0,VLOOKUP(A43,'Données projet'!$A$61:$I$81,3,0))</f>
        <v>6</v>
      </c>
      <c r="AQ43" s="15">
        <f>IF(ISNA(VLOOKUP(A43,'Données projet'!$A$61:$I$81,4,0)),0,VLOOKUP(A43,'Données projet'!$A$61:$I$81,4,0))</f>
        <v>35</v>
      </c>
      <c r="AR43" s="16">
        <f>IF(ISNA(VLOOKUP(A43,'Données projet'!$A$61:$I$81,5,0)),0%,VLOOKUP(A43,'Données projet'!$A$61:$I$81,5,0)*VLOOKUP('Données projet'!$B$10,Paramètres!$A$1:$I$89,7,0))</f>
        <v>0.13250000000000001</v>
      </c>
      <c r="AS43" s="16">
        <f>IF(ISNA(VLOOKUP(A43,'Données projet'!$A$61:$I$81,6,0)),0%,VLOOKUP(A43,'Données projet'!$A$61:$I$81,6,0)*VLOOKUP('Données projet'!$B$10,Paramètres!$A$1:$I$89,7,0))</f>
        <v>0.13250000000000001</v>
      </c>
      <c r="AT43" s="16">
        <f>IF(ISNA(VLOOKUP(A43,'Données projet'!$A$61:$I$81,7,0)),0%,VLOOKUP(A43,'Données projet'!$A$61:$I$81,7,0))</f>
        <v>0.25</v>
      </c>
      <c r="AU43" s="21">
        <f>EXP(-LN(2)/35)*AU42+(1-EXP(-LN(2)/35))/(LN(2)/35)*AQ43*AR43*VLOOKUP('Données projet'!$B$10,Paramètres!$A$1:$I$89,3,0)*0.475*44/12</f>
        <v>12.208966796363363</v>
      </c>
      <c r="AV43" s="21">
        <f>EXP(-LN(2)/25)*AV42+(1-EXP(-LN(2)/25))/(LN(2)/25)*Calculateur!AQ43*Calculateur!AS43*VLOOKUP('Données projet'!$B$10,Paramètres!$A$1:$I$89,3,0)*0.475*44/12</f>
        <v>19.269894900657576</v>
      </c>
      <c r="AW43" s="21">
        <f>EXP(-LN(2)/2)*AW42+(1-EXP(-LN(2)/2))/(LN(2)/2)*AQ43*AT43*VLOOKUP('Données projet'!$B$10,Paramètres!$A$1:$I$89,3,0)*0.475*44/12</f>
        <v>8.7606992363018037</v>
      </c>
      <c r="AX43" s="21">
        <f t="shared" si="6"/>
        <v>40.239560933322743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4.0942857142857143</v>
      </c>
      <c r="BD43" s="12">
        <f>IF('Données projet'!$A$88&gt;35,BD42+BC43-BL42,IF(A43&lt;'Données projet'!$A$88,$BA$205^A43,IF(A43='Données projet'!$A$88,'Données projet'!$B$88,BD42+BC43-BL42)))</f>
        <v>163.77142857142869</v>
      </c>
      <c r="BE43" s="13">
        <f>BD43*VLOOKUP('Données projet'!$B$11,Paramètres!$A$1:$I$89,3,0)*VLOOKUP('Données projet'!$B$11,Paramètres!$A$1:$I$89,5,0)</f>
        <v>155.84489142857154</v>
      </c>
      <c r="BF43" s="13">
        <f t="shared" si="37"/>
        <v>39.903888691774469</v>
      </c>
      <c r="BG43" s="20">
        <f t="shared" si="7"/>
        <v>340.92912537626927</v>
      </c>
      <c r="BH43" s="59">
        <f t="shared" si="8"/>
        <v>588.74213919539011</v>
      </c>
      <c r="BI43" s="59">
        <f ca="1">AVERAGE(OFFSET($BH$3,0,0,'Données projet'!$E$11+1,1))-AVERAGE(OFFSET($H$3,0,0,'Données projet'!$E$11+1,1))</f>
        <v>711.91538686535682</v>
      </c>
      <c r="BJ43" s="59">
        <f t="shared" si="38"/>
        <v>313.24593837351722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4.0942857142857143</v>
      </c>
      <c r="BY43" s="12">
        <f>IF('Données projet'!$A$114&gt;35,BY42+BX43-CG42,IF(A43&lt;'Données projet'!$A$114,$BV$205^A43,IF(A43='Données projet'!$A$114,'Données projet'!$B$114,BY42+BX43-CG42)))</f>
        <v>163.77142857142869</v>
      </c>
      <c r="BZ43" s="13">
        <f>BY43*VLOOKUP('Données projet'!$B$12,Paramètres!$A$1:$I$89,3,0)*VLOOKUP('Données projet'!$B$12,Paramètres!$A$1:$I$89,5,0)</f>
        <v>148.18038857142867</v>
      </c>
      <c r="CA43" s="13">
        <f t="shared" si="39"/>
        <v>38.16477912369308</v>
      </c>
      <c r="CB43" s="20">
        <f t="shared" si="10"/>
        <v>324.55116706900372</v>
      </c>
      <c r="CC43" s="59">
        <f t="shared" si="11"/>
        <v>572.36418088812457</v>
      </c>
      <c r="CD43" s="59">
        <f ca="1">AVERAGE(OFFSET($CC$3,0,0,'Données projet'!$E$12+1,1))-AVERAGE(OFFSET($H$3,0,0,'Données projet'!$E$12+1,1))</f>
        <v>681.47578137804555</v>
      </c>
      <c r="CE43" s="59">
        <f t="shared" si="40"/>
        <v>300.88511065995885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72.435897435897431</v>
      </c>
      <c r="CR43" s="12">
        <f>VLOOKUP(A43,'Données projet'!$A$139:$I$159,9,0)</f>
        <v>3.0769230769230758</v>
      </c>
      <c r="CS43" s="12">
        <f t="array" ref="CS43">INDEX(CR:CR,MIN(IF(ISNUMBER(CR43:CR239),ROW(CR43:CR239),"")))</f>
        <v>3.0769230769230758</v>
      </c>
      <c r="CT43" s="12">
        <f>IF('Données projet'!$A$140&gt;35,CT42+CS43-DB42,IF(A43&lt;'Données projet'!$A$140,$CQ$205^A43,IF(A43='Données projet'!$A$140,'Données projet'!$B$140,CT42+CS43-DB42)))</f>
        <v>72.435897435897431</v>
      </c>
      <c r="CU43" s="17">
        <f>CT43*VLOOKUP('Données projet'!$B$13,Paramètres!$A$1:$I$89,3,0)*VLOOKUP('Données projet'!$B$13,Paramètres!$A$1:$I$89,5,0)</f>
        <v>58.76</v>
      </c>
      <c r="CV43" s="13">
        <f t="shared" si="41"/>
        <v>16.854378084351904</v>
      </c>
      <c r="CW43" s="20">
        <f t="shared" si="13"/>
        <v>131.69504183024623</v>
      </c>
      <c r="CX43" s="59">
        <f t="shared" si="14"/>
        <v>379.50805564936707</v>
      </c>
      <c r="CY43" s="59">
        <f ca="1">AVERAGE(OFFSET($CX$3,0,0,'Données projet'!$E$13+1,1))-AVERAGE(OFFSET($H$3,0,0,'Données projet'!$E$13+1,1))</f>
        <v>186.54446846714993</v>
      </c>
      <c r="CZ43" s="59">
        <f t="shared" si="42"/>
        <v>154.43773051601286</v>
      </c>
      <c r="DA43" s="15">
        <f>IF(ISNA(VLOOKUP(A43,'Données projet'!$A$139:$I$159,3,0)),0,VLOOKUP(A43,'Données projet'!$A$139:$I$159,3,0))</f>
        <v>6</v>
      </c>
      <c r="DB43" s="15">
        <f>IF(ISNA(VLOOKUP(A43,'Données projet'!$A$139:$I$159,4,0)),0,VLOOKUP(A43,'Données projet'!$A$139:$I$159,4,0))</f>
        <v>6.4102564102564097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0.1075</v>
      </c>
      <c r="DE43" s="16">
        <f>IF(ISNA(VLOOKUP(A43,'Données projet'!$A$139:$I$159,7,0)),0%,VLOOKUP(A43,'Données projet'!$A$139:$I$159,7,0))</f>
        <v>0.25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2.2142522788605721</v>
      </c>
      <c r="DH43" s="21">
        <f>EXP(-LN(2)/2)*DH42+(1-EXP(-LN(2)/2))/(LN(2)/2)*DB43*DE43*VLOOKUP('Données projet'!$B$13,Paramètres!$A$1:$I$89,3,0)*0.475*44/12</f>
        <v>1.4844131768901652</v>
      </c>
      <c r="DI43" s="22">
        <f t="shared" si="15"/>
        <v>3.6986654557507372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3.15468085106383</v>
      </c>
      <c r="DO43" s="12">
        <f>IF('Données projet'!$A$166&gt;35,DO42+DN43-DW42,IF(A43&lt;'Données projet'!$A$166,$DL$205^A43,IF(A43='Données projet'!$A$166,'Données projet'!$B$166,DO42+DN43-DW42)))</f>
        <v>126.1872340425532</v>
      </c>
      <c r="DP43" s="17">
        <f>DO43*VLOOKUP('Données projet'!$B$14,Paramètres!$A$1:$I$89,3,0)*VLOOKUP('Données projet'!$B$14,Paramètres!$A$1:$I$89,5,0)</f>
        <v>143.70202212765957</v>
      </c>
      <c r="DQ43" s="13">
        <f t="shared" si="43"/>
        <v>37.143794262507463</v>
      </c>
      <c r="DR43" s="20">
        <f t="shared" si="16"/>
        <v>314.97313021287425</v>
      </c>
      <c r="DS43" s="59">
        <f t="shared" si="17"/>
        <v>562.78614403199504</v>
      </c>
      <c r="DT43" s="59">
        <f ca="1">AVERAGE(OFFSET($DS$3,0,0,'Données projet'!$E$14+1,1))-AVERAGE(OFFSET($H$3,0,0,'Données projet'!$E$14+1,1))</f>
        <v>651.35546372812314</v>
      </c>
      <c r="DU43" s="59">
        <f t="shared" si="44"/>
        <v>293.6561676213388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107.69230769230768</v>
      </c>
      <c r="EH43" s="12">
        <f>VLOOKUP(A43,'Données projet'!$A$191:$I$211,9,0)</f>
        <v>4.9999999999999973</v>
      </c>
      <c r="EI43" s="12">
        <f t="array" ref="EI43">INDEX(EH:EH,MIN(IF(ISNUMBER(EH43:EH239),ROW(EH43:EH239),"")))</f>
        <v>4.9999999999999973</v>
      </c>
      <c r="EJ43" s="12">
        <f>IF('Données projet'!$A$192&gt;35,EJ42+EI43-ER42,IF(A43&lt;'Données projet'!$A$192,$EG$205^A43,IF(A43='Données projet'!$A$192,'Données projet'!$B$192,EJ42+EI43-ER42)))</f>
        <v>107.69230769230771</v>
      </c>
      <c r="EK43" s="17">
        <f>EJ43*VLOOKUP('Données projet'!$B$15,Paramètres!$A$1:$I$89,3,0)*VLOOKUP('Données projet'!$B$15,Paramètres!$A$1:$I$89,5,0)</f>
        <v>112.56000000000003</v>
      </c>
      <c r="EL43" s="13">
        <f t="shared" si="45"/>
        <v>29.933330570949426</v>
      </c>
      <c r="EM43" s="20">
        <f t="shared" si="19"/>
        <v>248.17588407773692</v>
      </c>
      <c r="EN43" s="59">
        <f t="shared" si="20"/>
        <v>495.98889789685774</v>
      </c>
      <c r="EO43" s="59">
        <f ca="1">AVERAGE(OFFSET($EN$3,0,0,'Données projet'!$E$15+1,1))-AVERAGE(OFFSET($H$3,0,0,'Données projet'!$E$15+1,1))</f>
        <v>290.69667785754848</v>
      </c>
      <c r="EP43" s="59">
        <f t="shared" si="46"/>
        <v>256.28124185489082</v>
      </c>
      <c r="EQ43" s="15">
        <f>IF(ISNA(VLOOKUP(A43,'Données projet'!$A$191:$I$211,3,0)),0,VLOOKUP(A43,'Données projet'!$A$191:$I$211,3,0))</f>
        <v>5</v>
      </c>
      <c r="ER43" s="15">
        <f>IF(ISNA(VLOOKUP(A43,'Données projet'!$A$191:$I$211,4,0)),0,VLOOKUP(A43,'Données projet'!$A$191:$I$211,4,0))</f>
        <v>14.743589743589743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0.215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15.989202528559741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15.989202528559741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4.0942857142857143</v>
      </c>
      <c r="N44" s="13">
        <f>IF('Données projet'!$A$36&gt;35,N43+M44-V43,IF(A44&lt;'Données projet'!$A$36,$K$205^A44,IF(A44='Données projet'!$A$36,'Données projet'!$B$36,N43+M44-V43)))</f>
        <v>167.8657142857144</v>
      </c>
      <c r="O44" s="13">
        <f>N44*VLOOKUP('Données projet'!$B$9,Paramètres!$A$1:$I$89,3,0)*VLOOKUP('Données projet'!$B$9,Paramètres!$A$1:$I$89,5,0)</f>
        <v>170.21583428571441</v>
      </c>
      <c r="P44" s="13">
        <f t="shared" si="33"/>
        <v>43.138359715238352</v>
      </c>
      <c r="Q44" s="20">
        <f t="shared" si="53"/>
        <v>371.59188788499273</v>
      </c>
      <c r="R44" s="59">
        <f t="shared" si="0"/>
        <v>620.19457747949673</v>
      </c>
      <c r="S44" s="59">
        <f ca="1">AVERAGE(OFFSET($R$3,0,0,'Données projet'!$E$9+1,1))-AVERAGE(OFFSET($H$3,0,0,'Données projet'!$E$9+1,1))</f>
        <v>752.45542076695506</v>
      </c>
      <c r="T44" s="59">
        <f t="shared" si="34"/>
        <v>329.70629768420724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9.8000000000000007</v>
      </c>
      <c r="AI44" s="13">
        <f>IF('Données projet'!$A$62&gt;35,AI43+AH44-AQ43,IF(A44&lt;'Données projet'!$A$62,$AF$205^A44,IF(A44='Données projet'!$A$62,'Données projet'!$B$62,AI43+AH44-AQ43)))</f>
        <v>202.8</v>
      </c>
      <c r="AJ44" s="13">
        <f>AI44*VLOOKUP('Données projet'!$B$10,Paramètres!$A$1:$I$89,3,0)*VLOOKUP('Données projet'!$B$10,Paramètres!$A$1:$I$89,5,0)</f>
        <v>177.16608000000002</v>
      </c>
      <c r="AK44" s="13">
        <f t="shared" si="35"/>
        <v>44.691110042101649</v>
      </c>
      <c r="AL44" s="20">
        <f t="shared" si="4"/>
        <v>386.40127265666041</v>
      </c>
      <c r="AM44" s="59">
        <f t="shared" si="5"/>
        <v>635.00396225116435</v>
      </c>
      <c r="AN44" s="59">
        <f ca="1">AVERAGE(OFFSET($AM$3,0,0,'Données projet'!$E$10+1,1))-AVERAGE(OFFSET($H$3,0,0,'Données projet'!$E$10+1,1))</f>
        <v>408.246209980743</v>
      </c>
      <c r="AO44" s="59">
        <f t="shared" si="36"/>
        <v>394.10236303013903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11.96955640422112</v>
      </c>
      <c r="AV44" s="21">
        <f>EXP(-LN(2)/25)*AV43+(1-EXP(-LN(2)/25))/(LN(2)/25)*Calculateur!AQ44*Calculateur!AS44*VLOOKUP('Données projet'!$B$10,Paramètres!$A$1:$I$89,3,0)*0.475*44/12</f>
        <v>18.742958611239363</v>
      </c>
      <c r="AW44" s="21">
        <f>EXP(-LN(2)/2)*AW43+(1-EXP(-LN(2)/2))/(LN(2)/2)*AQ44*AT44*VLOOKUP('Données projet'!$B$10,Paramètres!$A$1:$I$89,3,0)*0.475*44/12</f>
        <v>6.1947498379248138</v>
      </c>
      <c r="AX44" s="21">
        <f t="shared" si="6"/>
        <v>36.9072648533853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4.0942857142857143</v>
      </c>
      <c r="BD44" s="12">
        <f>IF('Données projet'!$A$88&gt;35,BD43+BC44-BL43,IF(A44&lt;'Données projet'!$A$88,$BA$205^A44,IF(A44='Données projet'!$A$88,'Données projet'!$B$88,BD43+BC44-BL43)))</f>
        <v>167.8657142857144</v>
      </c>
      <c r="BE44" s="13">
        <f>BD44*VLOOKUP('Données projet'!$B$11,Paramètres!$A$1:$I$89,3,0)*VLOOKUP('Données projet'!$B$11,Paramètres!$A$1:$I$89,5,0)</f>
        <v>159.74101371428583</v>
      </c>
      <c r="BF44" s="13">
        <f t="shared" si="37"/>
        <v>40.784094820651994</v>
      </c>
      <c r="BG44" s="20">
        <f t="shared" si="7"/>
        <v>349.24789736501674</v>
      </c>
      <c r="BH44" s="59">
        <f t="shared" si="8"/>
        <v>597.85058695952068</v>
      </c>
      <c r="BI44" s="59">
        <f ca="1">AVERAGE(OFFSET($BH$3,0,0,'Données projet'!$E$11+1,1))-AVERAGE(OFFSET($H$3,0,0,'Données projet'!$E$11+1,1))</f>
        <v>711.91538686535682</v>
      </c>
      <c r="BJ44" s="59">
        <f t="shared" si="38"/>
        <v>313.24593837351722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4.0942857142857143</v>
      </c>
      <c r="BY44" s="12">
        <f>IF('Données projet'!$A$114&gt;35,BY43+BX44-CG43,IF(A44&lt;'Données projet'!$A$114,$BV$205^A44,IF(A44='Données projet'!$A$114,'Données projet'!$B$114,BY43+BX44-CG43)))</f>
        <v>167.8657142857144</v>
      </c>
      <c r="BZ44" s="13">
        <f>BY44*VLOOKUP('Données projet'!$B$12,Paramètres!$A$1:$I$89,3,0)*VLOOKUP('Données projet'!$B$12,Paramètres!$A$1:$I$89,5,0)</f>
        <v>151.88489828571437</v>
      </c>
      <c r="CA44" s="13">
        <f t="shared" si="39"/>
        <v>39.006623705593562</v>
      </c>
      <c r="CB44" s="20">
        <f t="shared" si="10"/>
        <v>332.46940080152797</v>
      </c>
      <c r="CC44" s="59">
        <f t="shared" si="11"/>
        <v>581.07209039603197</v>
      </c>
      <c r="CD44" s="59">
        <f ca="1">AVERAGE(OFFSET($CC$3,0,0,'Données projet'!$E$12+1,1))-AVERAGE(OFFSET($H$3,0,0,'Données projet'!$E$12+1,1))</f>
        <v>681.47578137804555</v>
      </c>
      <c r="CE44" s="59">
        <f t="shared" si="40"/>
        <v>300.88511065995885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3.0769230769230775</v>
      </c>
      <c r="CT44" s="12">
        <f>IF('Données projet'!$A$140&gt;35,CT43+CS44-DB43,IF(A44&lt;'Données projet'!$A$140,$CQ$205^A44,IF(A44='Données projet'!$A$140,'Données projet'!$B$140,CT43+CS44-DB43)))</f>
        <v>69.102564102564102</v>
      </c>
      <c r="CU44" s="17">
        <f>CT44*VLOOKUP('Données projet'!$B$13,Paramètres!$A$1:$I$89,3,0)*VLOOKUP('Données projet'!$B$13,Paramètres!$A$1:$I$89,5,0)</f>
        <v>56.056000000000004</v>
      </c>
      <c r="CV44" s="13">
        <f t="shared" si="41"/>
        <v>16.167190526120404</v>
      </c>
      <c r="CW44" s="20">
        <f t="shared" si="13"/>
        <v>125.7887234996597</v>
      </c>
      <c r="CX44" s="59">
        <f t="shared" si="14"/>
        <v>374.39141309416368</v>
      </c>
      <c r="CY44" s="59">
        <f ca="1">AVERAGE(OFFSET($CX$3,0,0,'Données projet'!$E$13+1,1))-AVERAGE(OFFSET($H$3,0,0,'Données projet'!$E$13+1,1))</f>
        <v>186.54446846714993</v>
      </c>
      <c r="CZ44" s="59">
        <f t="shared" si="42"/>
        <v>154.43773051601286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2.1537034338526633</v>
      </c>
      <c r="DH44" s="21">
        <f>EXP(-LN(2)/2)*DH43+(1-EXP(-LN(2)/2))/(LN(2)/2)*DB44*DE44*VLOOKUP('Données projet'!$B$13,Paramètres!$A$1:$I$89,3,0)*0.475*44/12</f>
        <v>1.0496386234617019</v>
      </c>
      <c r="DI44" s="22">
        <f t="shared" si="15"/>
        <v>3.2033420573143649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3.15468085106383</v>
      </c>
      <c r="DO44" s="12">
        <f>IF('Données projet'!$A$166&gt;35,DO43+DN44-DW43,IF(A44&lt;'Données projet'!$A$166,$DL$205^A44,IF(A44='Données projet'!$A$166,'Données projet'!$B$166,DO43+DN44-DW43)))</f>
        <v>129.34191489361703</v>
      </c>
      <c r="DP44" s="17">
        <f>DO44*VLOOKUP('Données projet'!$B$14,Paramètres!$A$1:$I$89,3,0)*VLOOKUP('Données projet'!$B$14,Paramètres!$A$1:$I$89,5,0)</f>
        <v>147.29457268085108</v>
      </c>
      <c r="DQ44" s="13">
        <f t="shared" si="43"/>
        <v>37.963117802931336</v>
      </c>
      <c r="DR44" s="20">
        <f t="shared" si="16"/>
        <v>322.65714425925438</v>
      </c>
      <c r="DS44" s="59">
        <f t="shared" si="17"/>
        <v>571.25983385375832</v>
      </c>
      <c r="DT44" s="59">
        <f ca="1">AVERAGE(OFFSET($DS$3,0,0,'Données projet'!$E$14+1,1))-AVERAGE(OFFSET($H$3,0,0,'Données projet'!$E$14+1,1))</f>
        <v>651.35546372812314</v>
      </c>
      <c r="DU44" s="59">
        <f t="shared" si="44"/>
        <v>293.6561676213388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4.487179487179489</v>
      </c>
      <c r="EJ44" s="12">
        <f>IF('Données projet'!$A$192&gt;35,EJ43+EI44-ER43,IF(A44&lt;'Données projet'!$A$192,$EG$205^A44,IF(A44='Données projet'!$A$192,'Données projet'!$B$192,EJ43+EI44-ER43)))</f>
        <v>97.435897435897459</v>
      </c>
      <c r="EK44" s="17">
        <f>EJ44*VLOOKUP('Données projet'!$B$15,Paramètres!$A$1:$I$89,3,0)*VLOOKUP('Données projet'!$B$15,Paramètres!$A$1:$I$89,5,0)</f>
        <v>101.84000000000003</v>
      </c>
      <c r="EL44" s="13">
        <f t="shared" si="45"/>
        <v>27.399885933503842</v>
      </c>
      <c r="EM44" s="20">
        <f t="shared" si="19"/>
        <v>225.09280133418588</v>
      </c>
      <c r="EN44" s="59">
        <f t="shared" si="20"/>
        <v>473.69549092868988</v>
      </c>
      <c r="EO44" s="59">
        <f ca="1">AVERAGE(OFFSET($EN$3,0,0,'Données projet'!$E$15+1,1))-AVERAGE(OFFSET($H$3,0,0,'Données projet'!$E$15+1,1))</f>
        <v>290.69667785754848</v>
      </c>
      <c r="EP44" s="59">
        <f t="shared" si="46"/>
        <v>256.28124185489082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15.551976944580657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15.551976944580657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171.96</v>
      </c>
      <c r="L45" s="12">
        <f>VLOOKUP(A45,'Données projet'!$A$35:$I$55,9,0)</f>
        <v>4.0942857142857143</v>
      </c>
      <c r="M45" s="12">
        <f t="array" ref="M45">INDEX(L:L,MIN(IF(ISNUMBER(L45:L241),ROW(L45:L241),"")))</f>
        <v>4.0942857142857143</v>
      </c>
      <c r="N45" s="13">
        <f>IF('Données projet'!$A$36&gt;35,N44+M45-V44,IF(A45&lt;'Données projet'!$A$36,$K$205^A45,IF(A45='Données projet'!$A$36,'Données projet'!$B$36,N44+M45-V44)))</f>
        <v>171.96000000000012</v>
      </c>
      <c r="O45" s="13">
        <f>N45*VLOOKUP('Données projet'!$B$9,Paramètres!$A$1:$I$89,3,0)*VLOOKUP('Données projet'!$B$9,Paramètres!$A$1:$I$89,5,0)</f>
        <v>174.36744000000013</v>
      </c>
      <c r="P45" s="13">
        <f t="shared" si="33"/>
        <v>44.066736102586425</v>
      </c>
      <c r="Q45" s="20">
        <f t="shared" si="53"/>
        <v>380.43952337867154</v>
      </c>
      <c r="R45" s="59">
        <f t="shared" si="0"/>
        <v>629.8181896393063</v>
      </c>
      <c r="S45" s="59">
        <f ca="1">AVERAGE(OFFSET($R$3,0,0,'Données projet'!$E$9+1,1))-AVERAGE(OFFSET($H$3,0,0,'Données projet'!$E$9+1,1))</f>
        <v>752.45542076695506</v>
      </c>
      <c r="T45" s="59">
        <f t="shared" si="34"/>
        <v>329.70629768420724</v>
      </c>
      <c r="U45" s="15">
        <f>IF(ISNA(VLOOKUP(A45,'Données projet'!$A$35:$I$55,3,0)),0,VLOOKUP(A45,'Données projet'!$A$35:$I$55,3,0))</f>
        <v>1</v>
      </c>
      <c r="V45" s="15">
        <f>IF(ISNA(VLOOKUP(A45,'Données projet'!$A$35:$I$55,4,0)),0,VLOOKUP(A45,'Données projet'!$A$35:$I$55,4,0))</f>
        <v>44.510000000000005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0.34400000000000003</v>
      </c>
      <c r="Y45" s="16">
        <f>IF(ISNA(VLOOKUP(A45,'Données projet'!$A$35:$I$55,7,0)),0%,VLOOKUP(A45,'Données projet'!$A$35:$I$55,7,0))</f>
        <v>0.2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17.095733695579888</v>
      </c>
      <c r="AB45" s="21">
        <f>EXP(-LN(2)/2)*AB44+(1-EXP(-LN(2)/2))/(LN(2)/2)*V45*Y45*VLOOKUP('Données projet'!$B$9,Paramètres!$A$1:$I$89,3,0)*0.475*44/12</f>
        <v>8.5168664661306082</v>
      </c>
      <c r="AC45" s="22">
        <f t="shared" si="3"/>
        <v>25.612600161710496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9.8000000000000007</v>
      </c>
      <c r="AI45" s="13">
        <f>IF('Données projet'!$A$62&gt;35,AI44+AH45-AQ44,IF(A45&lt;'Données projet'!$A$62,$AF$205^A45,IF(A45='Données projet'!$A$62,'Données projet'!$B$62,AI44+AH45-AQ44)))</f>
        <v>212.60000000000002</v>
      </c>
      <c r="AJ45" s="13">
        <f>AI45*VLOOKUP('Données projet'!$B$10,Paramètres!$A$1:$I$89,3,0)*VLOOKUP('Données projet'!$B$10,Paramètres!$A$1:$I$89,5,0)</f>
        <v>185.72736000000003</v>
      </c>
      <c r="AK45" s="13">
        <f t="shared" si="35"/>
        <v>46.594086043363802</v>
      </c>
      <c r="AL45" s="20">
        <f t="shared" si="4"/>
        <v>404.62651852552534</v>
      </c>
      <c r="AM45" s="59">
        <f t="shared" si="5"/>
        <v>654.00518478616004</v>
      </c>
      <c r="AN45" s="59">
        <f ca="1">AVERAGE(OFFSET($AM$3,0,0,'Données projet'!$E$10+1,1))-AVERAGE(OFFSET($H$3,0,0,'Données projet'!$E$10+1,1))</f>
        <v>408.246209980743</v>
      </c>
      <c r="AO45" s="59">
        <f t="shared" si="36"/>
        <v>394.10236303013903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11.734840703842865</v>
      </c>
      <c r="AV45" s="21">
        <f>EXP(-LN(2)/25)*AV44+(1-EXP(-LN(2)/25))/(LN(2)/25)*Calculateur!AQ45*Calculateur!AS45*VLOOKUP('Données projet'!$B$10,Paramètres!$A$1:$I$89,3,0)*0.475*44/12</f>
        <v>18.230431422365665</v>
      </c>
      <c r="AW45" s="21">
        <f>EXP(-LN(2)/2)*AW44+(1-EXP(-LN(2)/2))/(LN(2)/2)*AQ45*AT45*VLOOKUP('Données projet'!$B$10,Paramètres!$A$1:$I$89,3,0)*0.475*44/12</f>
        <v>4.3803496181509027</v>
      </c>
      <c r="AX45" s="21">
        <f t="shared" si="6"/>
        <v>34.345621744359434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171.96</v>
      </c>
      <c r="BB45" s="12">
        <f>VLOOKUP(A45,'Données projet'!$A$87:$I$107,9,0)</f>
        <v>4.0942857142857143</v>
      </c>
      <c r="BC45" s="12">
        <f t="array" ref="BC45">INDEX(BB:BB,MIN(IF(ISNUMBER(BB45:BB241),ROW(BB45:BB241),"")))</f>
        <v>4.0942857142857143</v>
      </c>
      <c r="BD45" s="12">
        <f>IF('Données projet'!$A$88&gt;35,BD44+BC45-BL44,IF(A45&lt;'Données projet'!$A$88,$BA$205^A45,IF(A45='Données projet'!$A$88,'Données projet'!$B$88,BD44+BC45-BL44)))</f>
        <v>171.96000000000012</v>
      </c>
      <c r="BE45" s="13">
        <f>BD45*VLOOKUP('Données projet'!$B$11,Paramètres!$A$1:$I$89,3,0)*VLOOKUP('Données projet'!$B$11,Paramètres!$A$1:$I$89,5,0)</f>
        <v>163.63713600000011</v>
      </c>
      <c r="BF45" s="13">
        <f t="shared" si="37"/>
        <v>41.661805305260039</v>
      </c>
      <c r="BG45" s="20">
        <f t="shared" si="7"/>
        <v>357.56232277332811</v>
      </c>
      <c r="BH45" s="59">
        <f t="shared" si="8"/>
        <v>606.94098903396286</v>
      </c>
      <c r="BI45" s="59">
        <f ca="1">AVERAGE(OFFSET($BH$3,0,0,'Données projet'!$E$11+1,1))-AVERAGE(OFFSET($H$3,0,0,'Données projet'!$E$11+1,1))</f>
        <v>711.91538686535682</v>
      </c>
      <c r="BJ45" s="59">
        <f t="shared" si="38"/>
        <v>313.24593837351722</v>
      </c>
      <c r="BK45" s="15">
        <f>IF(ISNA(VLOOKUP(A45,'Données projet'!$A$87:$I$107,3,0)),0,VLOOKUP(A45,'Données projet'!$A$87:$I$107,3,0))</f>
        <v>1</v>
      </c>
      <c r="BL45" s="15">
        <f>IF(ISNA(VLOOKUP(A45,'Données projet'!$A$87:$I$107,4,0)),0,VLOOKUP(A45,'Données projet'!$A$87:$I$107,4,0))</f>
        <v>44.510000000000005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0.34400000000000003</v>
      </c>
      <c r="BO45" s="16">
        <f>IF(ISNA(VLOOKUP(A45,'Données projet'!$A$87:$I$107,7,0)),0%,VLOOKUP(A45,'Données projet'!$A$87:$I$107,7,0))</f>
        <v>0.2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16.043688545082667</v>
      </c>
      <c r="BR45" s="21">
        <f>EXP(-LN(2)/2)*BR44+(1-EXP(-LN(2)/2))/(LN(2)/2)*BL45*BO45*VLOOKUP('Données projet'!$B$11,Paramètres!$A$1:$I$89,3,0)*0.475*44/12</f>
        <v>7.992751606676415</v>
      </c>
      <c r="BS45" s="22">
        <f t="shared" si="9"/>
        <v>24.036440151759081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>
        <f>VLOOKUP(A45,'Données projet'!$A$113:$I$133,2,0)</f>
        <v>171.96</v>
      </c>
      <c r="BW45" s="12">
        <f>VLOOKUP(A45,'Données projet'!$A$113:$I$133,9,0)</f>
        <v>4.0942857142857143</v>
      </c>
      <c r="BX45" s="12">
        <f t="array" ref="BX45">INDEX(BW:BW,MIN(IF(ISNUMBER(BW45:BW241),ROW(BW45:BW241),"")))</f>
        <v>4.0942857142857143</v>
      </c>
      <c r="BY45" s="12">
        <f>IF('Données projet'!$A$114&gt;35,BY44+BX45-CG44,IF(A45&lt;'Données projet'!$A$114,$BV$205^A45,IF(A45='Données projet'!$A$114,'Données projet'!$B$114,BY44+BX45-CG44)))</f>
        <v>171.96000000000012</v>
      </c>
      <c r="BZ45" s="13">
        <f>BY45*VLOOKUP('Données projet'!$B$12,Paramètres!$A$1:$I$89,3,0)*VLOOKUP('Données projet'!$B$12,Paramètres!$A$1:$I$89,5,0)</f>
        <v>155.58940800000011</v>
      </c>
      <c r="CA45" s="13">
        <f t="shared" si="39"/>
        <v>39.846081409537142</v>
      </c>
      <c r="CB45" s="20">
        <f t="shared" si="10"/>
        <v>340.3834773882773</v>
      </c>
      <c r="CC45" s="59">
        <f t="shared" si="11"/>
        <v>589.762143648912</v>
      </c>
      <c r="CD45" s="59">
        <f ca="1">AVERAGE(OFFSET($CC$3,0,0,'Données projet'!$E$12+1,1))-AVERAGE(OFFSET($H$3,0,0,'Données projet'!$E$12+1,1))</f>
        <v>681.47578137804555</v>
      </c>
      <c r="CE45" s="59">
        <f t="shared" si="40"/>
        <v>300.88511065995885</v>
      </c>
      <c r="CF45" s="15">
        <f>IF(ISNA(VLOOKUP(A45,'Données projet'!$A$113:$I$133,3,0)),0,VLOOKUP(A45,'Données projet'!$A$113:$I$133,3,0))</f>
        <v>1</v>
      </c>
      <c r="CG45" s="15">
        <f>IF(ISNA(VLOOKUP(A45,'Données projet'!$A$113:$I$133,4,0)),0,VLOOKUP(A45,'Données projet'!$A$113:$I$133,4,0))</f>
        <v>44.510000000000005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0.34400000000000003</v>
      </c>
      <c r="CJ45" s="16">
        <f>IF(ISNA(VLOOKUP(A45,'Données projet'!$A$113:$I$133,7,0)),0%,VLOOKUP(A45,'Données projet'!$A$113:$I$133,7,0))</f>
        <v>0.2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15.254654682209745</v>
      </c>
      <c r="CM45" s="21">
        <f>EXP(-LN(2)/2)*CM44+(1-EXP(-LN(2)/2))/(LN(2)/2)*CG45*CJ45*VLOOKUP('Données projet'!$B$12,Paramètres!$A$1:$I$89,3,0)*0.475*44/12</f>
        <v>7.599665462085774</v>
      </c>
      <c r="CN45" s="22">
        <f t="shared" si="12"/>
        <v>22.854320144295521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3.0769230769230775</v>
      </c>
      <c r="CT45" s="12">
        <f>IF('Données projet'!$A$140&gt;35,CT44+CS45-DB44,IF(A45&lt;'Données projet'!$A$140,$CQ$205^A45,IF(A45='Données projet'!$A$140,'Données projet'!$B$140,CT44+CS45-DB44)))</f>
        <v>72.179487179487182</v>
      </c>
      <c r="CU45" s="17">
        <f>CT45*VLOOKUP('Données projet'!$B$13,Paramètres!$A$1:$I$89,3,0)*VLOOKUP('Données projet'!$B$13,Paramètres!$A$1:$I$89,5,0)</f>
        <v>58.552000000000007</v>
      </c>
      <c r="CV45" s="13">
        <f t="shared" si="41"/>
        <v>16.801650294444062</v>
      </c>
      <c r="CW45" s="20">
        <f t="shared" si="13"/>
        <v>131.24094092949005</v>
      </c>
      <c r="CX45" s="59">
        <f t="shared" si="14"/>
        <v>380.61960719012478</v>
      </c>
      <c r="CY45" s="59">
        <f ca="1">AVERAGE(OFFSET($CX$3,0,0,'Données projet'!$E$13+1,1))-AVERAGE(OFFSET($H$3,0,0,'Données projet'!$E$13+1,1))</f>
        <v>186.54446846714993</v>
      </c>
      <c r="CZ45" s="59">
        <f t="shared" si="42"/>
        <v>154.43773051601286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2.0948103001956211</v>
      </c>
      <c r="DH45" s="21">
        <f>EXP(-LN(2)/2)*DH44+(1-EXP(-LN(2)/2))/(LN(2)/2)*DB45*DE45*VLOOKUP('Données projet'!$B$13,Paramètres!$A$1:$I$89,3,0)*0.475*44/12</f>
        <v>0.74220658844508269</v>
      </c>
      <c r="DI45" s="22">
        <f t="shared" si="15"/>
        <v>2.8370168886407039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3.15468085106383</v>
      </c>
      <c r="DO45" s="12">
        <f>IF('Données projet'!$A$166&gt;35,DO44+DN45-DW44,IF(A45&lt;'Données projet'!$A$166,$DL$205^A45,IF(A45='Données projet'!$A$166,'Données projet'!$B$166,DO44+DN45-DW44)))</f>
        <v>132.49659574468086</v>
      </c>
      <c r="DP45" s="17">
        <f>DO45*VLOOKUP('Données projet'!$B$14,Paramètres!$A$1:$I$89,3,0)*VLOOKUP('Données projet'!$B$14,Paramètres!$A$1:$I$89,5,0)</f>
        <v>150.88712323404258</v>
      </c>
      <c r="DQ45" s="13">
        <f t="shared" si="43"/>
        <v>38.780118319200504</v>
      </c>
      <c r="DR45" s="20">
        <f t="shared" si="16"/>
        <v>330.3371123718984</v>
      </c>
      <c r="DS45" s="59">
        <f t="shared" si="17"/>
        <v>579.7157786325331</v>
      </c>
      <c r="DT45" s="59">
        <f ca="1">AVERAGE(OFFSET($DS$3,0,0,'Données projet'!$E$14+1,1))-AVERAGE(OFFSET($H$3,0,0,'Données projet'!$E$14+1,1))</f>
        <v>651.35546372812314</v>
      </c>
      <c r="DU45" s="59">
        <f t="shared" si="44"/>
        <v>293.6561676213388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0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4.487179487179489</v>
      </c>
      <c r="EJ45" s="12">
        <f>IF('Données projet'!$A$192&gt;35,EJ44+EI45-ER44,IF(A45&lt;'Données projet'!$A$192,$EG$205^A45,IF(A45='Données projet'!$A$192,'Données projet'!$B$192,EJ44+EI45-ER44)))</f>
        <v>101.92307692307695</v>
      </c>
      <c r="EK45" s="17">
        <f>EJ45*VLOOKUP('Données projet'!$B$15,Paramètres!$A$1:$I$89,3,0)*VLOOKUP('Données projet'!$B$15,Paramètres!$A$1:$I$89,5,0)</f>
        <v>106.53000000000004</v>
      </c>
      <c r="EL45" s="13">
        <f t="shared" si="45"/>
        <v>28.511906593363467</v>
      </c>
      <c r="EM45" s="20">
        <f t="shared" si="19"/>
        <v>235.19798731677477</v>
      </c>
      <c r="EN45" s="59">
        <f t="shared" si="20"/>
        <v>484.5766535774095</v>
      </c>
      <c r="EO45" s="59">
        <f ca="1">AVERAGE(OFFSET($EN$3,0,0,'Données projet'!$E$15+1,1))-AVERAGE(OFFSET($H$3,0,0,'Données projet'!$E$15+1,1))</f>
        <v>290.69667785754848</v>
      </c>
      <c r="EP45" s="59">
        <f t="shared" si="46"/>
        <v>256.28124185489082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15.126707317188176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15.126707317188176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10.110000000000001</v>
      </c>
      <c r="N46" s="13">
        <f>IF('Données projet'!$A$36&gt;35,N45+M46-V45,IF(A46&lt;'Données projet'!$A$36,$K$205^A46,IF(A46='Données projet'!$A$36,'Données projet'!$B$36,N45+M46-V45)))</f>
        <v>137.56000000000012</v>
      </c>
      <c r="O46" s="13">
        <f>N46*VLOOKUP('Données projet'!$B$9,Paramètres!$A$1:$I$89,3,0)*VLOOKUP('Données projet'!$B$9,Paramètres!$A$1:$I$89,5,0)</f>
        <v>139.48584000000011</v>
      </c>
      <c r="P46" s="13">
        <f t="shared" si="33"/>
        <v>36.179193448415994</v>
      </c>
      <c r="Q46" s="20">
        <f t="shared" si="53"/>
        <v>305.94993325599131</v>
      </c>
      <c r="R46" s="59">
        <f t="shared" si="0"/>
        <v>556.0911147224233</v>
      </c>
      <c r="S46" s="59">
        <f ca="1">AVERAGE(OFFSET($R$3,0,0,'Données projet'!$E$9+1,1))-AVERAGE(OFFSET($H$3,0,0,'Données projet'!$E$9+1,1))</f>
        <v>752.45542076695506</v>
      </c>
      <c r="T46" s="59">
        <f t="shared" si="34"/>
        <v>329.70629768420724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16.628249958648695</v>
      </c>
      <c r="AB46" s="21">
        <f>EXP(-LN(2)/2)*AB45+(1-EXP(-LN(2)/2))/(LN(2)/2)*V46*Y46*VLOOKUP('Données projet'!$B$9,Paramètres!$A$1:$I$89,3,0)*0.475*44/12</f>
        <v>6.0223340326612602</v>
      </c>
      <c r="AC46" s="22">
        <f t="shared" si="3"/>
        <v>22.650583991309954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9.8000000000000007</v>
      </c>
      <c r="AI46" s="13">
        <f>IF('Données projet'!$A$62&gt;35,AI45+AH46-AQ45,IF(A46&lt;'Données projet'!$A$62,$AF$205^A46,IF(A46='Données projet'!$A$62,'Données projet'!$B$62,AI45+AH46-AQ45)))</f>
        <v>222.40000000000003</v>
      </c>
      <c r="AJ46" s="13">
        <f>AI46*VLOOKUP('Données projet'!$B$10,Paramètres!$A$1:$I$89,3,0)*VLOOKUP('Données projet'!$B$10,Paramètres!$A$1:$I$89,5,0)</f>
        <v>194.28864000000004</v>
      </c>
      <c r="AK46" s="13">
        <f t="shared" si="35"/>
        <v>48.486875029770822</v>
      </c>
      <c r="AL46" s="20">
        <f t="shared" si="4"/>
        <v>422.83402201018424</v>
      </c>
      <c r="AM46" s="59">
        <f t="shared" si="5"/>
        <v>672.97520347661634</v>
      </c>
      <c r="AN46" s="59">
        <f ca="1">AVERAGE(OFFSET($AM$3,0,0,'Données projet'!$E$10+1,1))-AVERAGE(OFFSET($H$3,0,0,'Données projet'!$E$10+1,1))</f>
        <v>408.246209980743</v>
      </c>
      <c r="AO46" s="59">
        <f t="shared" si="36"/>
        <v>394.10236303013903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11.504727635186587</v>
      </c>
      <c r="AV46" s="21">
        <f>EXP(-LN(2)/25)*AV45+(1-EXP(-LN(2)/25))/(LN(2)/25)*Calculateur!AQ46*Calculateur!AS46*VLOOKUP('Données projet'!$B$10,Paramètres!$A$1:$I$89,3,0)*0.475*44/12</f>
        <v>17.731919316424353</v>
      </c>
      <c r="AW46" s="21">
        <f>EXP(-LN(2)/2)*AW45+(1-EXP(-LN(2)/2))/(LN(2)/2)*AQ46*AT46*VLOOKUP('Données projet'!$B$10,Paramètres!$A$1:$I$89,3,0)*0.475*44/12</f>
        <v>3.0973749189624078</v>
      </c>
      <c r="AX46" s="21">
        <f t="shared" si="6"/>
        <v>32.334021870573345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10.110000000000001</v>
      </c>
      <c r="BD46" s="12">
        <f>IF('Données projet'!$A$88&gt;35,BD45+BC46-BL45,IF(A46&lt;'Données projet'!$A$88,$BA$205^A46,IF(A46='Données projet'!$A$88,'Données projet'!$B$88,BD45+BC46-BL45)))</f>
        <v>137.56000000000012</v>
      </c>
      <c r="BE46" s="13">
        <f>BD46*VLOOKUP('Données projet'!$B$11,Paramètres!$A$1:$I$89,3,0)*VLOOKUP('Données projet'!$B$11,Paramètres!$A$1:$I$89,5,0)</f>
        <v>130.90209600000011</v>
      </c>
      <c r="BF46" s="13">
        <f t="shared" si="37"/>
        <v>34.204723264285022</v>
      </c>
      <c r="BG46" s="20">
        <f t="shared" si="7"/>
        <v>287.56104355196334</v>
      </c>
      <c r="BH46" s="59">
        <f t="shared" si="8"/>
        <v>537.70222501839544</v>
      </c>
      <c r="BI46" s="59">
        <f ca="1">AVERAGE(OFFSET($BH$3,0,0,'Données projet'!$E$11+1,1))-AVERAGE(OFFSET($H$3,0,0,'Données projet'!$E$11+1,1))</f>
        <v>711.91538686535682</v>
      </c>
      <c r="BJ46" s="59">
        <f t="shared" si="38"/>
        <v>313.24593837351722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15.604973038116469</v>
      </c>
      <c r="BR46" s="21">
        <f>EXP(-LN(2)/2)*BR45+(1-EXP(-LN(2)/2))/(LN(2)/2)*BL46*BO46*VLOOKUP('Données projet'!$B$11,Paramètres!$A$1:$I$89,3,0)*0.475*44/12</f>
        <v>5.6517288614205663</v>
      </c>
      <c r="BS46" s="22">
        <f t="shared" si="9"/>
        <v>21.256701899537035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10.110000000000001</v>
      </c>
      <c r="BY46" s="12">
        <f>IF('Données projet'!$A$114&gt;35,BY45+BX46-CG45,IF(A46&lt;'Données projet'!$A$114,$BV$205^A46,IF(A46='Données projet'!$A$114,'Données projet'!$B$114,BY45+BX46-CG45)))</f>
        <v>137.56000000000012</v>
      </c>
      <c r="BZ46" s="13">
        <f>BY46*VLOOKUP('Données projet'!$B$12,Paramètres!$A$1:$I$89,3,0)*VLOOKUP('Données projet'!$B$12,Paramètres!$A$1:$I$89,5,0)</f>
        <v>124.4642880000001</v>
      </c>
      <c r="CA46" s="13">
        <f t="shared" si="39"/>
        <v>32.713997336243899</v>
      </c>
      <c r="CB46" s="20">
        <f t="shared" si="10"/>
        <v>273.75218029395825</v>
      </c>
      <c r="CC46" s="59">
        <f t="shared" si="11"/>
        <v>523.89336176039023</v>
      </c>
      <c r="CD46" s="59">
        <f ca="1">AVERAGE(OFFSET($CC$3,0,0,'Données projet'!$E$12+1,1))-AVERAGE(OFFSET($H$3,0,0,'Données projet'!$E$12+1,1))</f>
        <v>681.47578137804555</v>
      </c>
      <c r="CE46" s="59">
        <f t="shared" si="40"/>
        <v>300.88511065995885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14.837515347717295</v>
      </c>
      <c r="CM46" s="21">
        <f>EXP(-LN(2)/2)*CM45+(1-EXP(-LN(2)/2))/(LN(2)/2)*CG46*CJ46*VLOOKUP('Données projet'!$B$12,Paramètres!$A$1:$I$89,3,0)*0.475*44/12</f>
        <v>5.3737749829900485</v>
      </c>
      <c r="CN46" s="22">
        <f t="shared" si="12"/>
        <v>20.211290330707342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3.0769230769230775</v>
      </c>
      <c r="CT46" s="12">
        <f>IF('Données projet'!$A$140&gt;35,CT45+CS46-DB45,IF(A46&lt;'Données projet'!$A$140,$CQ$205^A46,IF(A46='Données projet'!$A$140,'Données projet'!$B$140,CT45+CS46-DB45)))</f>
        <v>75.256410256410263</v>
      </c>
      <c r="CU46" s="17">
        <f>CT46*VLOOKUP('Données projet'!$B$13,Paramètres!$A$1:$I$89,3,0)*VLOOKUP('Données projet'!$B$13,Paramètres!$A$1:$I$89,5,0)</f>
        <v>61.048000000000009</v>
      </c>
      <c r="CV46" s="13">
        <f t="shared" si="41"/>
        <v>17.432968673131619</v>
      </c>
      <c r="CW46" s="20">
        <f t="shared" si="13"/>
        <v>136.68768710570427</v>
      </c>
      <c r="CX46" s="59">
        <f t="shared" si="14"/>
        <v>386.82886857213634</v>
      </c>
      <c r="CY46" s="59">
        <f ca="1">AVERAGE(OFFSET($CX$3,0,0,'Données projet'!$E$13+1,1))-AVERAGE(OFFSET($H$3,0,0,'Données projet'!$E$13+1,1))</f>
        <v>186.54446846714993</v>
      </c>
      <c r="CZ46" s="59">
        <f t="shared" si="42"/>
        <v>154.43773051601286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2.0375276023754858</v>
      </c>
      <c r="DH46" s="21">
        <f>EXP(-LN(2)/2)*DH45+(1-EXP(-LN(2)/2))/(LN(2)/2)*DB46*DE46*VLOOKUP('Données projet'!$B$13,Paramètres!$A$1:$I$89,3,0)*0.475*44/12</f>
        <v>0.52481931173085106</v>
      </c>
      <c r="DI46" s="22">
        <f t="shared" si="15"/>
        <v>2.5623469141063371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3.15468085106383</v>
      </c>
      <c r="DO46" s="12">
        <f>IF('Données projet'!$A$166&gt;35,DO45+DN46-DW45,IF(A46&lt;'Données projet'!$A$166,$DL$205^A46,IF(A46='Données projet'!$A$166,'Données projet'!$B$166,DO45+DN46-DW45)))</f>
        <v>135.65127659574469</v>
      </c>
      <c r="DP46" s="17">
        <f>DO46*VLOOKUP('Données projet'!$B$14,Paramètres!$A$1:$I$89,3,0)*VLOOKUP('Données projet'!$B$14,Paramètres!$A$1:$I$89,5,0)</f>
        <v>154.47967378723405</v>
      </c>
      <c r="DQ46" s="13">
        <f t="shared" si="43"/>
        <v>39.594857485804809</v>
      </c>
      <c r="DR46" s="20">
        <f t="shared" si="16"/>
        <v>338.01314196720938</v>
      </c>
      <c r="DS46" s="59">
        <f t="shared" si="17"/>
        <v>588.15432343364137</v>
      </c>
      <c r="DT46" s="59">
        <f ca="1">AVERAGE(OFFSET($DS$3,0,0,'Données projet'!$E$14+1,1))-AVERAGE(OFFSET($H$3,0,0,'Données projet'!$E$14+1,1))</f>
        <v>651.35546372812314</v>
      </c>
      <c r="DU46" s="59">
        <f t="shared" si="44"/>
        <v>293.6561676213388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0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4.487179487179489</v>
      </c>
      <c r="EJ46" s="12">
        <f>IF('Données projet'!$A$192&gt;35,EJ45+EI46-ER45,IF(A46&lt;'Données projet'!$A$192,$EG$205^A46,IF(A46='Données projet'!$A$192,'Données projet'!$B$192,EJ45+EI46-ER45)))</f>
        <v>106.41025641025644</v>
      </c>
      <c r="EK46" s="17">
        <f>EJ46*VLOOKUP('Données projet'!$B$15,Paramètres!$A$1:$I$89,3,0)*VLOOKUP('Données projet'!$B$15,Paramètres!$A$1:$I$89,5,0)</f>
        <v>111.22000000000006</v>
      </c>
      <c r="EL46" s="13">
        <f t="shared" si="45"/>
        <v>29.618241308641757</v>
      </c>
      <c r="EM46" s="20">
        <f t="shared" si="19"/>
        <v>245.29327027921784</v>
      </c>
      <c r="EN46" s="59">
        <f t="shared" si="20"/>
        <v>495.43445174564988</v>
      </c>
      <c r="EO46" s="59">
        <f ca="1">AVERAGE(OFFSET($EN$3,0,0,'Données projet'!$E$15+1,1))-AVERAGE(OFFSET($H$3,0,0,'Données projet'!$E$15+1,1))</f>
        <v>290.69667785754848</v>
      </c>
      <c r="EP46" s="59">
        <f t="shared" si="46"/>
        <v>256.28124185489082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14.7130667101207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14.7130667101207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10.110000000000001</v>
      </c>
      <c r="N47" s="13">
        <f>IF('Données projet'!$A$36&gt;35,N46+M47-V46,IF(A47&lt;'Données projet'!$A$36,$K$205^A47,IF(A47='Données projet'!$A$36,'Données projet'!$B$36,N46+M47-V46)))</f>
        <v>147.67000000000013</v>
      </c>
      <c r="O47" s="13">
        <f>N47*VLOOKUP('Données projet'!$B$9,Paramètres!$A$1:$I$89,3,0)*VLOOKUP('Données projet'!$B$9,Paramètres!$A$1:$I$89,5,0)</f>
        <v>149.73738000000014</v>
      </c>
      <c r="P47" s="13">
        <f t="shared" si="33"/>
        <v>38.518898198188772</v>
      </c>
      <c r="Q47" s="20">
        <f t="shared" si="53"/>
        <v>327.87968452851231</v>
      </c>
      <c r="R47" s="59">
        <f t="shared" si="0"/>
        <v>578.77015326664969</v>
      </c>
      <c r="S47" s="59">
        <f ca="1">AVERAGE(OFFSET($R$3,0,0,'Données projet'!$E$9+1,1))-AVERAGE(OFFSET($H$3,0,0,'Données projet'!$E$9+1,1))</f>
        <v>752.45542076695506</v>
      </c>
      <c r="T47" s="59">
        <f t="shared" si="34"/>
        <v>329.70629768420724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16.173549589087784</v>
      </c>
      <c r="AB47" s="21">
        <f>EXP(-LN(2)/2)*AB46+(1-EXP(-LN(2)/2))/(LN(2)/2)*V47*Y47*VLOOKUP('Données projet'!$B$9,Paramètres!$A$1:$I$89,3,0)*0.475*44/12</f>
        <v>4.2584332330653041</v>
      </c>
      <c r="AC47" s="22">
        <f t="shared" si="3"/>
        <v>20.431982822153088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9.8000000000000007</v>
      </c>
      <c r="AI47" s="13">
        <f>IF('Données projet'!$A$62&gt;35,AI46+AH47-AQ46,IF(A47&lt;'Données projet'!$A$62,$AF$205^A47,IF(A47='Données projet'!$A$62,'Données projet'!$B$62,AI46+AH47-AQ46)))</f>
        <v>232.20000000000005</v>
      </c>
      <c r="AJ47" s="13">
        <f>AI47*VLOOKUP('Données projet'!$B$10,Paramètres!$A$1:$I$89,3,0)*VLOOKUP('Données projet'!$B$10,Paramètres!$A$1:$I$89,5,0)</f>
        <v>202.84992000000005</v>
      </c>
      <c r="AK47" s="13">
        <f t="shared" si="35"/>
        <v>50.369977187686075</v>
      </c>
      <c r="AL47" s="20">
        <f t="shared" si="4"/>
        <v>441.02465426855332</v>
      </c>
      <c r="AM47" s="59">
        <f t="shared" si="5"/>
        <v>691.91512300669069</v>
      </c>
      <c r="AN47" s="59">
        <f ca="1">AVERAGE(OFFSET($AM$3,0,0,'Données projet'!$E$10+1,1))-AVERAGE(OFFSET($H$3,0,0,'Données projet'!$E$10+1,1))</f>
        <v>408.246209980743</v>
      </c>
      <c r="AO47" s="59">
        <f t="shared" si="36"/>
        <v>394.10236303013903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11.279126943451546</v>
      </c>
      <c r="AV47" s="21">
        <f>EXP(-LN(2)/25)*AV46+(1-EXP(-LN(2)/25))/(LN(2)/25)*Calculateur!AQ47*Calculateur!AS47*VLOOKUP('Données projet'!$B$10,Paramètres!$A$1:$I$89,3,0)*0.475*44/12</f>
        <v>17.247039050235617</v>
      </c>
      <c r="AW47" s="21">
        <f>EXP(-LN(2)/2)*AW46+(1-EXP(-LN(2)/2))/(LN(2)/2)*AQ47*AT47*VLOOKUP('Données projet'!$B$10,Paramètres!$A$1:$I$89,3,0)*0.475*44/12</f>
        <v>2.1901748090754518</v>
      </c>
      <c r="AX47" s="21">
        <f t="shared" si="6"/>
        <v>30.716340802762616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10.110000000000001</v>
      </c>
      <c r="BD47" s="12">
        <f>IF('Données projet'!$A$88&gt;35,BD46+BC47-BL46,IF(A47&lt;'Données projet'!$A$88,$BA$205^A47,IF(A47='Données projet'!$A$88,'Données projet'!$B$88,BD46+BC47-BL46)))</f>
        <v>147.67000000000013</v>
      </c>
      <c r="BE47" s="13">
        <f>BD47*VLOOKUP('Données projet'!$B$11,Paramètres!$A$1:$I$89,3,0)*VLOOKUP('Données projet'!$B$11,Paramètres!$A$1:$I$89,5,0)</f>
        <v>140.52277200000015</v>
      </c>
      <c r="BF47" s="13">
        <f t="shared" si="37"/>
        <v>36.41673922866012</v>
      </c>
      <c r="BG47" s="20">
        <f t="shared" si="7"/>
        <v>308.16964872324991</v>
      </c>
      <c r="BH47" s="59">
        <f t="shared" si="8"/>
        <v>559.06011746138734</v>
      </c>
      <c r="BI47" s="59">
        <f ca="1">AVERAGE(OFFSET($BH$3,0,0,'Données projet'!$E$11+1,1))-AVERAGE(OFFSET($H$3,0,0,'Données projet'!$E$11+1,1))</f>
        <v>711.91538686535682</v>
      </c>
      <c r="BJ47" s="59">
        <f t="shared" si="38"/>
        <v>313.24593837351722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15.178254229759307</v>
      </c>
      <c r="BR47" s="21">
        <f>EXP(-LN(2)/2)*BR46+(1-EXP(-LN(2)/2))/(LN(2)/2)*BL47*BO47*VLOOKUP('Données projet'!$B$11,Paramètres!$A$1:$I$89,3,0)*0.475*44/12</f>
        <v>3.996375803338208</v>
      </c>
      <c r="BS47" s="22">
        <f t="shared" si="9"/>
        <v>19.174630033097515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10.110000000000001</v>
      </c>
      <c r="BY47" s="12">
        <f>IF('Données projet'!$A$114&gt;35,BY46+BX47-CG46,IF(A47&lt;'Données projet'!$A$114,$BV$205^A47,IF(A47='Données projet'!$A$114,'Données projet'!$B$114,BY46+BX47-CG46)))</f>
        <v>147.67000000000013</v>
      </c>
      <c r="BZ47" s="13">
        <f>BY47*VLOOKUP('Données projet'!$B$12,Paramètres!$A$1:$I$89,3,0)*VLOOKUP('Données projet'!$B$12,Paramètres!$A$1:$I$89,5,0)</f>
        <v>133.61181600000012</v>
      </c>
      <c r="CA47" s="13">
        <f t="shared" si="39"/>
        <v>34.829608206917271</v>
      </c>
      <c r="CB47" s="20">
        <f t="shared" si="10"/>
        <v>293.36881382704775</v>
      </c>
      <c r="CC47" s="59">
        <f t="shared" si="11"/>
        <v>544.25928256518523</v>
      </c>
      <c r="CD47" s="59">
        <f ca="1">AVERAGE(OFFSET($CC$3,0,0,'Données projet'!$E$12+1,1))-AVERAGE(OFFSET($H$3,0,0,'Données projet'!$E$12+1,1))</f>
        <v>681.47578137804555</v>
      </c>
      <c r="CE47" s="59">
        <f t="shared" si="40"/>
        <v>300.88511065995885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14.431782710262945</v>
      </c>
      <c r="CM47" s="21">
        <f>EXP(-LN(2)/2)*CM46+(1-EXP(-LN(2)/2))/(LN(2)/2)*CG47*CJ47*VLOOKUP('Données projet'!$B$12,Paramètres!$A$1:$I$89,3,0)*0.475*44/12</f>
        <v>3.7998327310428874</v>
      </c>
      <c r="CN47" s="22">
        <f t="shared" si="12"/>
        <v>18.231615441305834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3.0769230769230775</v>
      </c>
      <c r="CT47" s="12">
        <f>IF('Données projet'!$A$140&gt;35,CT46+CS47-DB46,IF(A47&lt;'Données projet'!$A$140,$CQ$205^A47,IF(A47='Données projet'!$A$140,'Données projet'!$B$140,CT46+CS47-DB46)))</f>
        <v>78.333333333333343</v>
      </c>
      <c r="CU47" s="17">
        <f>CT47*VLOOKUP('Données projet'!$B$13,Paramètres!$A$1:$I$89,3,0)*VLOOKUP('Données projet'!$B$13,Paramètres!$A$1:$I$89,5,0)</f>
        <v>63.544000000000018</v>
      </c>
      <c r="CV47" s="13">
        <f t="shared" si="41"/>
        <v>18.06128879147133</v>
      </c>
      <c r="CW47" s="20">
        <f t="shared" si="13"/>
        <v>142.12921131181261</v>
      </c>
      <c r="CX47" s="59">
        <f t="shared" si="14"/>
        <v>393.01968004995001</v>
      </c>
      <c r="CY47" s="59">
        <f ca="1">AVERAGE(OFFSET($CX$3,0,0,'Données projet'!$E$13+1,1))-AVERAGE(OFFSET($H$3,0,0,'Données projet'!$E$13+1,1))</f>
        <v>186.54446846714993</v>
      </c>
      <c r="CZ47" s="59">
        <f t="shared" si="42"/>
        <v>154.43773051601286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1.9818113029396083</v>
      </c>
      <c r="DH47" s="21">
        <f>EXP(-LN(2)/2)*DH46+(1-EXP(-LN(2)/2))/(LN(2)/2)*DB47*DE47*VLOOKUP('Données projet'!$B$13,Paramètres!$A$1:$I$89,3,0)*0.475*44/12</f>
        <v>0.3711032942225414</v>
      </c>
      <c r="DI47" s="22">
        <f t="shared" si="15"/>
        <v>2.3529145971621497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3.15468085106383</v>
      </c>
      <c r="DO47" s="12">
        <f>IF('Données projet'!$A$166&gt;35,DO46+DN47-DW46,IF(A47&lt;'Données projet'!$A$166,$DL$205^A47,IF(A47='Données projet'!$A$166,'Données projet'!$B$166,DO46+DN47-DW46)))</f>
        <v>138.80595744680852</v>
      </c>
      <c r="DP47" s="17">
        <f>DO47*VLOOKUP('Données projet'!$B$14,Paramètres!$A$1:$I$89,3,0)*VLOOKUP('Données projet'!$B$14,Paramètres!$A$1:$I$89,5,0)</f>
        <v>158.07222434042555</v>
      </c>
      <c r="DQ47" s="13">
        <f t="shared" si="43"/>
        <v>40.407393944984072</v>
      </c>
      <c r="DR47" s="20">
        <f t="shared" si="16"/>
        <v>345.68533518042176</v>
      </c>
      <c r="DS47" s="59">
        <f t="shared" si="17"/>
        <v>596.57580391855913</v>
      </c>
      <c r="DT47" s="59">
        <f ca="1">AVERAGE(OFFSET($DS$3,0,0,'Données projet'!$E$14+1,1))-AVERAGE(OFFSET($H$3,0,0,'Données projet'!$E$14+1,1))</f>
        <v>651.35546372812314</v>
      </c>
      <c r="DU47" s="59">
        <f t="shared" si="44"/>
        <v>293.6561676213388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0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4.487179487179489</v>
      </c>
      <c r="EJ47" s="12">
        <f>IF('Données projet'!$A$192&gt;35,EJ46+EI47-ER46,IF(A47&lt;'Données projet'!$A$192,$EG$205^A47,IF(A47='Données projet'!$A$192,'Données projet'!$B$192,EJ46+EI47-ER46)))</f>
        <v>110.89743589743593</v>
      </c>
      <c r="EK47" s="17">
        <f>EJ47*VLOOKUP('Données projet'!$B$15,Paramètres!$A$1:$I$89,3,0)*VLOOKUP('Données projet'!$B$15,Paramètres!$A$1:$I$89,5,0)</f>
        <v>115.91000000000004</v>
      </c>
      <c r="EL47" s="13">
        <f t="shared" si="45"/>
        <v>30.719157262842909</v>
      </c>
      <c r="EM47" s="20">
        <f t="shared" si="19"/>
        <v>255.37911556611809</v>
      </c>
      <c r="EN47" s="59">
        <f t="shared" si="20"/>
        <v>506.26958430425555</v>
      </c>
      <c r="EO47" s="59">
        <f ca="1">AVERAGE(OFFSET($EN$3,0,0,'Données projet'!$E$15+1,1))-AVERAGE(OFFSET($H$3,0,0,'Données projet'!$E$15+1,1))</f>
        <v>290.69667785754848</v>
      </c>
      <c r="EP47" s="59">
        <f t="shared" si="46"/>
        <v>256.28124185489082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14.310737127205899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14.310737127205899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10.110000000000001</v>
      </c>
      <c r="N48" s="13">
        <f>IF('Données projet'!$A$36&gt;35,N47+M48-V47,IF(A48&lt;'Données projet'!$A$36,$K$205^A48,IF(A48='Données projet'!$A$36,'Données projet'!$B$36,N47+M48-V47)))</f>
        <v>157.78000000000014</v>
      </c>
      <c r="O48" s="13">
        <f>N48*VLOOKUP('Données projet'!$B$9,Paramètres!$A$1:$I$89,3,0)*VLOOKUP('Données projet'!$B$9,Paramètres!$A$1:$I$89,5,0)</f>
        <v>159.98892000000018</v>
      </c>
      <c r="P48" s="13">
        <f t="shared" si="33"/>
        <v>40.840016271695262</v>
      </c>
      <c r="Q48" s="20">
        <f t="shared" si="53"/>
        <v>349.77706400653625</v>
      </c>
      <c r="R48" s="59">
        <f t="shared" si="0"/>
        <v>601.40382155737041</v>
      </c>
      <c r="S48" s="59">
        <f ca="1">AVERAGE(OFFSET($R$3,0,0,'Données projet'!$E$9+1,1))-AVERAGE(OFFSET($H$3,0,0,'Données projet'!$E$9+1,1))</f>
        <v>752.45542076695506</v>
      </c>
      <c r="T48" s="59">
        <f t="shared" si="34"/>
        <v>329.70629768420724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15.731283025044171</v>
      </c>
      <c r="AB48" s="21">
        <f>EXP(-LN(2)/2)*AB47+(1-EXP(-LN(2)/2))/(LN(2)/2)*V48*Y48*VLOOKUP('Données projet'!$B$9,Paramètres!$A$1:$I$89,3,0)*0.475*44/12</f>
        <v>3.0111670163306301</v>
      </c>
      <c r="AC48" s="22">
        <f t="shared" si="3"/>
        <v>18.742450041374802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242</v>
      </c>
      <c r="AG48" s="12">
        <f>VLOOKUP(A48,'Données projet'!$A$61:$I$81,9,0)</f>
        <v>9.8000000000000007</v>
      </c>
      <c r="AH48" s="12">
        <f t="array" ref="AH48">INDEX(AG:AG,MIN(IF(ISNUMBER(AG48:AG244),ROW(AG48:AG244),"")))</f>
        <v>9.8000000000000007</v>
      </c>
      <c r="AI48" s="13">
        <f>IF('Données projet'!$A$62&gt;35,AI47+AH48-AQ47,IF(A48&lt;'Données projet'!$A$62,$AF$205^A48,IF(A48='Données projet'!$A$62,'Données projet'!$B$62,AI47+AH48-AQ47)))</f>
        <v>242.00000000000006</v>
      </c>
      <c r="AJ48" s="13">
        <f>AI48*VLOOKUP('Données projet'!$B$10,Paramètres!$A$1:$I$89,3,0)*VLOOKUP('Données projet'!$B$10,Paramètres!$A$1:$I$89,5,0)</f>
        <v>211.41120000000006</v>
      </c>
      <c r="AK48" s="13">
        <f t="shared" si="35"/>
        <v>52.243848094411156</v>
      </c>
      <c r="AL48" s="20">
        <f t="shared" si="4"/>
        <v>459.19920876443285</v>
      </c>
      <c r="AM48" s="59">
        <f t="shared" si="5"/>
        <v>710.82596631526701</v>
      </c>
      <c r="AN48" s="59">
        <f ca="1">AVERAGE(OFFSET($AM$3,0,0,'Données projet'!$E$10+1,1))-AVERAGE(OFFSET($H$3,0,0,'Données projet'!$E$10+1,1))</f>
        <v>408.246209980743</v>
      </c>
      <c r="AO48" s="59">
        <f t="shared" si="36"/>
        <v>394.10236303013903</v>
      </c>
      <c r="AP48" s="15">
        <f>IF(ISNA(VLOOKUP(A48,'Données projet'!$A$61:$I$81,3,0)),0,VLOOKUP(A48,'Données projet'!$A$61:$I$81,3,0))</f>
        <v>7</v>
      </c>
      <c r="AQ48" s="15">
        <f>IF(ISNA(VLOOKUP(A48,'Données projet'!$A$61:$I$81,4,0)),0,VLOOKUP(A48,'Données projet'!$A$61:$I$81,4,0))</f>
        <v>24</v>
      </c>
      <c r="AR48" s="16">
        <f>IF(ISNA(VLOOKUP(A48,'Données projet'!$A$61:$I$81,5,0)),0%,VLOOKUP(A48,'Données projet'!$A$61:$I$81,5,0)*VLOOKUP('Données projet'!$B$10,Paramètres!$A$1:$I$89,7,0))</f>
        <v>0.13250000000000001</v>
      </c>
      <c r="AS48" s="16">
        <f>IF(ISNA(VLOOKUP(A48,'Données projet'!$A$61:$I$81,6,0)),0%,VLOOKUP(A48,'Données projet'!$A$61:$I$81,6,0)*VLOOKUP('Données projet'!$B$10,Paramètres!$A$1:$I$89,7,0))</f>
        <v>0.13250000000000001</v>
      </c>
      <c r="AT48" s="16">
        <f>IF(ISNA(VLOOKUP(A48,'Données projet'!$A$61:$I$81,7,0)),0%,VLOOKUP(A48,'Données projet'!$A$61:$I$81,7,0))</f>
        <v>0.25</v>
      </c>
      <c r="AU48" s="21">
        <f>EXP(-LN(2)/35)*AU47+(1-EXP(-LN(2)/35))/(LN(2)/35)*AQ48*AR48*VLOOKUP('Données projet'!$B$10,Paramètres!$A$1:$I$89,3,0)*0.475*44/12</f>
        <v>14.128999920599348</v>
      </c>
      <c r="AV48" s="21">
        <f>EXP(-LN(2)/25)*AV47+(1-EXP(-LN(2)/25))/(LN(2)/25)*Calculateur!AQ48*Calculateur!AS48*VLOOKUP('Données projet'!$B$10,Paramètres!$A$1:$I$89,3,0)*0.475*44/12</f>
        <v>19.834375744211872</v>
      </c>
      <c r="AW48" s="21">
        <f>EXP(-LN(2)/2)*AW47+(1-EXP(-LN(2)/2))/(LN(2)/2)*AQ48*AT48*VLOOKUP('Données projet'!$B$10,Paramètres!$A$1:$I$89,3,0)*0.475*44/12</f>
        <v>6.494278135076808</v>
      </c>
      <c r="AX48" s="21">
        <f t="shared" si="6"/>
        <v>40.457653799888035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10.110000000000001</v>
      </c>
      <c r="BD48" s="12">
        <f>IF('Données projet'!$A$88&gt;35,BD47+BC48-BL47,IF(A48&lt;'Données projet'!$A$88,$BA$205^A48,IF(A48='Données projet'!$A$88,'Données projet'!$B$88,BD47+BC48-BL47)))</f>
        <v>157.78000000000014</v>
      </c>
      <c r="BE48" s="13">
        <f>BD48*VLOOKUP('Données projet'!$B$11,Paramètres!$A$1:$I$89,3,0)*VLOOKUP('Données projet'!$B$11,Paramètres!$A$1:$I$89,5,0)</f>
        <v>150.14344800000015</v>
      </c>
      <c r="BF48" s="13">
        <f t="shared" si="37"/>
        <v>38.611182879849288</v>
      </c>
      <c r="BG48" s="20">
        <f t="shared" si="7"/>
        <v>328.74764878240444</v>
      </c>
      <c r="BH48" s="59">
        <f t="shared" si="8"/>
        <v>580.37440633323854</v>
      </c>
      <c r="BI48" s="59">
        <f ca="1">AVERAGE(OFFSET($BH$3,0,0,'Données projet'!$E$11+1,1))-AVERAGE(OFFSET($H$3,0,0,'Données projet'!$E$11+1,1))</f>
        <v>711.91538686535682</v>
      </c>
      <c r="BJ48" s="59">
        <f t="shared" si="38"/>
        <v>313.24593837351722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14.76320406965684</v>
      </c>
      <c r="BR48" s="21">
        <f>EXP(-LN(2)/2)*BR47+(1-EXP(-LN(2)/2))/(LN(2)/2)*BL48*BO48*VLOOKUP('Données projet'!$B$11,Paramètres!$A$1:$I$89,3,0)*0.475*44/12</f>
        <v>2.8258644307102836</v>
      </c>
      <c r="BS48" s="22">
        <f t="shared" si="9"/>
        <v>17.589068500367123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10.110000000000001</v>
      </c>
      <c r="BY48" s="12">
        <f>IF('Données projet'!$A$114&gt;35,BY47+BX48-CG47,IF(A48&lt;'Données projet'!$A$114,$BV$205^A48,IF(A48='Données projet'!$A$114,'Données projet'!$B$114,BY47+BX48-CG47)))</f>
        <v>157.78000000000014</v>
      </c>
      <c r="BZ48" s="13">
        <f>BY48*VLOOKUP('Données projet'!$B$12,Paramètres!$A$1:$I$89,3,0)*VLOOKUP('Données projet'!$B$12,Paramètres!$A$1:$I$89,5,0)</f>
        <v>142.75934400000011</v>
      </c>
      <c r="CA48" s="13">
        <f t="shared" si="39"/>
        <v>36.928412609012774</v>
      </c>
      <c r="CB48" s="20">
        <f t="shared" si="10"/>
        <v>312.95617609403075</v>
      </c>
      <c r="CC48" s="59">
        <f t="shared" si="11"/>
        <v>564.58293364486485</v>
      </c>
      <c r="CD48" s="59">
        <f ca="1">AVERAGE(OFFSET($CC$3,0,0,'Données projet'!$E$12+1,1))-AVERAGE(OFFSET($H$3,0,0,'Données projet'!$E$12+1,1))</f>
        <v>681.47578137804555</v>
      </c>
      <c r="CE48" s="59">
        <f t="shared" si="40"/>
        <v>300.88511065995885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14.037144853116336</v>
      </c>
      <c r="CM48" s="21">
        <f>EXP(-LN(2)/2)*CM47+(1-EXP(-LN(2)/2))/(LN(2)/2)*CG48*CJ48*VLOOKUP('Données projet'!$B$12,Paramètres!$A$1:$I$89,3,0)*0.475*44/12</f>
        <v>2.6868874914950243</v>
      </c>
      <c r="CN48" s="22">
        <f t="shared" si="12"/>
        <v>16.724032344611359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81.410256410256409</v>
      </c>
      <c r="CR48" s="12">
        <f>VLOOKUP(A48,'Données projet'!$A$139:$I$159,9,0)</f>
        <v>3.0769230769230775</v>
      </c>
      <c r="CS48" s="12">
        <f t="array" ref="CS48">INDEX(CR:CR,MIN(IF(ISNUMBER(CR48:CR244),ROW(CR48:CR244),"")))</f>
        <v>3.0769230769230775</v>
      </c>
      <c r="CT48" s="12">
        <f>IF('Données projet'!$A$140&gt;35,CT47+CS48-DB47,IF(A48&lt;'Données projet'!$A$140,$CQ$205^A48,IF(A48='Données projet'!$A$140,'Données projet'!$B$140,CT47+CS48-DB47)))</f>
        <v>81.410256410256423</v>
      </c>
      <c r="CU48" s="17">
        <f>CT48*VLOOKUP('Données projet'!$B$13,Paramètres!$A$1:$I$89,3,0)*VLOOKUP('Données projet'!$B$13,Paramètres!$A$1:$I$89,5,0)</f>
        <v>66.04000000000002</v>
      </c>
      <c r="CV48" s="13">
        <f t="shared" si="41"/>
        <v>18.686741897950633</v>
      </c>
      <c r="CW48" s="20">
        <f t="shared" si="13"/>
        <v>147.56574213893074</v>
      </c>
      <c r="CX48" s="59">
        <f t="shared" si="14"/>
        <v>399.19249968976487</v>
      </c>
      <c r="CY48" s="59">
        <f ca="1">AVERAGE(OFFSET($CX$3,0,0,'Données projet'!$E$13+1,1))-AVERAGE(OFFSET($H$3,0,0,'Données projet'!$E$13+1,1))</f>
        <v>186.54446846714993</v>
      </c>
      <c r="CZ48" s="59">
        <f t="shared" si="42"/>
        <v>154.43773051601286</v>
      </c>
      <c r="DA48" s="15">
        <f>IF(ISNA(VLOOKUP(A48,'Données projet'!$A$139:$I$159,3,0)),0,VLOOKUP(A48,'Données projet'!$A$139:$I$159,3,0))</f>
        <v>7</v>
      </c>
      <c r="DB48" s="15">
        <f>IF(ISNA(VLOOKUP(A48,'Données projet'!$A$139:$I$159,4,0)),0,VLOOKUP(A48,'Données projet'!$A$139:$I$159,4,0))</f>
        <v>7.0512820512820511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0.1075</v>
      </c>
      <c r="DE48" s="16">
        <f>IF(ISNA(VLOOKUP(A48,'Données projet'!$A$139:$I$159,7,0)),0%,VLOOKUP(A48,'Données projet'!$A$139:$I$159,7,0))</f>
        <v>0.25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2.6046958555500215</v>
      </c>
      <c r="DH48" s="21">
        <f>EXP(-LN(2)/2)*DH47+(1-EXP(-LN(2)/2))/(LN(2)/2)*DB48*DE48*VLOOKUP('Données projet'!$B$13,Paramètres!$A$1:$I$89,3,0)*0.475*44/12</f>
        <v>1.611653143751131</v>
      </c>
      <c r="DI48" s="22">
        <f t="shared" si="15"/>
        <v>4.216348999301152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3.15468085106383</v>
      </c>
      <c r="DO48" s="12">
        <f>IF('Données projet'!$A$166&gt;35,DO47+DN48-DW47,IF(A48&lt;'Données projet'!$A$166,$DL$205^A48,IF(A48='Données projet'!$A$166,'Données projet'!$B$166,DO47+DN48-DW47)))</f>
        <v>141.96063829787235</v>
      </c>
      <c r="DP48" s="17">
        <f>DO48*VLOOKUP('Données projet'!$B$14,Paramètres!$A$1:$I$89,3,0)*VLOOKUP('Données projet'!$B$14,Paramètres!$A$1:$I$89,5,0)</f>
        <v>161.66477489361702</v>
      </c>
      <c r="DQ48" s="13">
        <f t="shared" si="43"/>
        <v>41.217783521284481</v>
      </c>
      <c r="DR48" s="20">
        <f t="shared" si="16"/>
        <v>353.35378923928675</v>
      </c>
      <c r="DS48" s="59">
        <f t="shared" si="17"/>
        <v>604.98054679012091</v>
      </c>
      <c r="DT48" s="59">
        <f ca="1">AVERAGE(OFFSET($DS$3,0,0,'Données projet'!$E$14+1,1))-AVERAGE(OFFSET($H$3,0,0,'Données projet'!$E$14+1,1))</f>
        <v>651.35546372812314</v>
      </c>
      <c r="DU48" s="59">
        <f t="shared" si="44"/>
        <v>293.6561676213388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0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115.38461538461539</v>
      </c>
      <c r="EH48" s="12">
        <f>VLOOKUP(A48,'Données projet'!$A$191:$I$211,9,0)</f>
        <v>4.487179487179489</v>
      </c>
      <c r="EI48" s="12">
        <f t="array" ref="EI48">INDEX(EH:EH,MIN(IF(ISNUMBER(EH48:EH244),ROW(EH48:EH244),"")))</f>
        <v>4.487179487179489</v>
      </c>
      <c r="EJ48" s="12">
        <f>IF('Données projet'!$A$192&gt;35,EJ47+EI48-ER47,IF(A48&lt;'Données projet'!$A$192,$EG$205^A48,IF(A48='Données projet'!$A$192,'Données projet'!$B$192,EJ47+EI48-ER47)))</f>
        <v>115.38461538461542</v>
      </c>
      <c r="EK48" s="17">
        <f>EJ48*VLOOKUP('Données projet'!$B$15,Paramètres!$A$1:$I$89,3,0)*VLOOKUP('Données projet'!$B$15,Paramètres!$A$1:$I$89,5,0)</f>
        <v>120.60000000000005</v>
      </c>
      <c r="EL48" s="13">
        <f t="shared" si="45"/>
        <v>31.814898793993059</v>
      </c>
      <c r="EM48" s="20">
        <f t="shared" si="19"/>
        <v>265.45594873287132</v>
      </c>
      <c r="EN48" s="59">
        <f t="shared" si="20"/>
        <v>517.08270628370542</v>
      </c>
      <c r="EO48" s="59">
        <f ca="1">AVERAGE(OFFSET($EN$3,0,0,'Données projet'!$E$15+1,1))-AVERAGE(OFFSET($H$3,0,0,'Données projet'!$E$15+1,1))</f>
        <v>290.69667785754848</v>
      </c>
      <c r="EP48" s="59">
        <f t="shared" si="46"/>
        <v>256.28124185489082</v>
      </c>
      <c r="EQ48" s="15">
        <f>IF(ISNA(VLOOKUP(A48,'Données projet'!$A$191:$I$211,3,0)),0,VLOOKUP(A48,'Données projet'!$A$191:$I$211,3,0))</f>
        <v>6</v>
      </c>
      <c r="ER48" s="15">
        <f>IF(ISNA(VLOOKUP(A48,'Données projet'!$A$191:$I$211,4,0)),0,VLOOKUP(A48,'Données projet'!$A$191:$I$211,4,0))</f>
        <v>14.102564102564102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0.215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0</v>
      </c>
      <c r="EW48" s="21">
        <f>EXP(-LN(2)/25)*EW47+(1-EXP(-LN(2)/25))/(LN(2)/25)*Calculateur!ER48*Calculateur!ET48*VLOOKUP('Données projet'!$B$15,Paramètres!$A$1:$I$89,3,0)*0.475*44/12</f>
        <v>17.408961438882034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17.408961438882034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10.110000000000001</v>
      </c>
      <c r="N49" s="13">
        <f>IF('Données projet'!$A$36&gt;35,N48+M49-V48,IF(A49&lt;'Données projet'!$A$36,$K$205^A49,IF(A49='Données projet'!$A$36,'Données projet'!$B$36,N48+M49-V48)))</f>
        <v>167.89000000000016</v>
      </c>
      <c r="O49" s="13">
        <f>N49*VLOOKUP('Données projet'!$B$9,Paramètres!$A$1:$I$89,3,0)*VLOOKUP('Données projet'!$B$9,Paramètres!$A$1:$I$89,5,0)</f>
        <v>170.24046000000016</v>
      </c>
      <c r="P49" s="13">
        <f t="shared" si="33"/>
        <v>43.143874195121747</v>
      </c>
      <c r="Q49" s="20">
        <f t="shared" si="53"/>
        <v>371.64438205650396</v>
      </c>
      <c r="R49" s="59">
        <f t="shared" si="0"/>
        <v>623.99465545522958</v>
      </c>
      <c r="S49" s="59">
        <f ca="1">AVERAGE(OFFSET($R$3,0,0,'Données projet'!$E$9+1,1))-AVERAGE(OFFSET($H$3,0,0,'Données projet'!$E$9+1,1))</f>
        <v>752.45542076695506</v>
      </c>
      <c r="T49" s="59">
        <f t="shared" si="34"/>
        <v>329.70629768420724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15.301110263452118</v>
      </c>
      <c r="AB49" s="21">
        <f>EXP(-LN(2)/2)*AB48+(1-EXP(-LN(2)/2))/(LN(2)/2)*V49*Y49*VLOOKUP('Données projet'!$B$9,Paramètres!$A$1:$I$89,3,0)*0.475*44/12</f>
        <v>2.129216616532652</v>
      </c>
      <c r="AC49" s="22">
        <f t="shared" si="3"/>
        <v>17.430326879984769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8.6</v>
      </c>
      <c r="AI49" s="13">
        <f>IF('Données projet'!$A$62&gt;35,AI48+AH49-AQ48,IF(A49&lt;'Données projet'!$A$62,$AF$205^A49,IF(A49='Données projet'!$A$62,'Données projet'!$B$62,AI48+AH49-AQ48)))</f>
        <v>226.60000000000005</v>
      </c>
      <c r="AJ49" s="13">
        <f>AI49*VLOOKUP('Données projet'!$B$10,Paramètres!$A$1:$I$89,3,0)*VLOOKUP('Données projet'!$B$10,Paramètres!$A$1:$I$89,5,0)</f>
        <v>197.95776000000006</v>
      </c>
      <c r="AK49" s="13">
        <f t="shared" si="35"/>
        <v>49.295077435194649</v>
      </c>
      <c r="AL49" s="20">
        <f t="shared" si="4"/>
        <v>430.63202519963079</v>
      </c>
      <c r="AM49" s="59">
        <f t="shared" si="5"/>
        <v>682.98229859835646</v>
      </c>
      <c r="AN49" s="59">
        <f ca="1">AVERAGE(OFFSET($AM$3,0,0,'Données projet'!$E$10+1,1))-AVERAGE(OFFSET($H$3,0,0,'Données projet'!$E$10+1,1))</f>
        <v>408.246209980743</v>
      </c>
      <c r="AO49" s="59">
        <f t="shared" si="36"/>
        <v>394.10236303013903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13.851938849995406</v>
      </c>
      <c r="AV49" s="21">
        <f>EXP(-LN(2)/25)*AV48+(1-EXP(-LN(2)/25))/(LN(2)/25)*Calculateur!AQ49*Calculateur!AS49*VLOOKUP('Données projet'!$B$10,Paramètres!$A$1:$I$89,3,0)*0.475*44/12</f>
        <v>19.29200369644191</v>
      </c>
      <c r="AW49" s="21">
        <f>EXP(-LN(2)/2)*AW48+(1-EXP(-LN(2)/2))/(LN(2)/2)*AQ49*AT49*VLOOKUP('Données projet'!$B$10,Paramètres!$A$1:$I$89,3,0)*0.475*44/12</f>
        <v>4.5921481082243369</v>
      </c>
      <c r="AX49" s="21">
        <f t="shared" si="6"/>
        <v>37.736090654661652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10.110000000000001</v>
      </c>
      <c r="BD49" s="12">
        <f>IF('Données projet'!$A$88&gt;35,BD48+BC49-BL48,IF(A49&lt;'Données projet'!$A$88,$BA$205^A49,IF(A49='Données projet'!$A$88,'Données projet'!$B$88,BD48+BC49-BL48)))</f>
        <v>167.89000000000016</v>
      </c>
      <c r="BE49" s="13">
        <f>BD49*VLOOKUP('Données projet'!$B$11,Paramètres!$A$1:$I$89,3,0)*VLOOKUP('Données projet'!$B$11,Paramètres!$A$1:$I$89,5,0)</f>
        <v>159.76412400000015</v>
      </c>
      <c r="BF49" s="13">
        <f t="shared" si="37"/>
        <v>40.78930834921298</v>
      </c>
      <c r="BG49" s="20">
        <f t="shared" si="7"/>
        <v>349.29722800821287</v>
      </c>
      <c r="BH49" s="59">
        <f t="shared" si="8"/>
        <v>601.64750140693855</v>
      </c>
      <c r="BI49" s="59">
        <f ca="1">AVERAGE(OFFSET($BH$3,0,0,'Données projet'!$E$11+1,1))-AVERAGE(OFFSET($H$3,0,0,'Données projet'!$E$11+1,1))</f>
        <v>711.91538686535682</v>
      </c>
      <c r="BJ49" s="59">
        <f t="shared" si="38"/>
        <v>313.24593837351722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14.359503478008914</v>
      </c>
      <c r="BR49" s="21">
        <f>EXP(-LN(2)/2)*BR48+(1-EXP(-LN(2)/2))/(LN(2)/2)*BL49*BO49*VLOOKUP('Données projet'!$B$11,Paramètres!$A$1:$I$89,3,0)*0.475*44/12</f>
        <v>1.9981879016691044</v>
      </c>
      <c r="BS49" s="22">
        <f t="shared" si="9"/>
        <v>16.35769137967802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10.110000000000001</v>
      </c>
      <c r="BY49" s="12">
        <f>IF('Données projet'!$A$114&gt;35,BY48+BX49-CG48,IF(A49&lt;'Données projet'!$A$114,$BV$205^A49,IF(A49='Données projet'!$A$114,'Données projet'!$B$114,BY48+BX49-CG48)))</f>
        <v>167.89000000000016</v>
      </c>
      <c r="BZ49" s="13">
        <f>BY49*VLOOKUP('Données projet'!$B$12,Paramètres!$A$1:$I$89,3,0)*VLOOKUP('Données projet'!$B$12,Paramètres!$A$1:$I$89,5,0)</f>
        <v>151.90687200000013</v>
      </c>
      <c r="CA49" s="13">
        <f t="shared" si="39"/>
        <v>39.011610015763097</v>
      </c>
      <c r="CB49" s="20">
        <f t="shared" si="10"/>
        <v>332.51635617745427</v>
      </c>
      <c r="CC49" s="59">
        <f t="shared" si="11"/>
        <v>584.86662957617989</v>
      </c>
      <c r="CD49" s="59">
        <f ca="1">AVERAGE(OFFSET($CC$3,0,0,'Données projet'!$E$12+1,1))-AVERAGE(OFFSET($H$3,0,0,'Données projet'!$E$12+1,1))</f>
        <v>681.47578137804555</v>
      </c>
      <c r="CE49" s="59">
        <f t="shared" si="40"/>
        <v>300.88511065995885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13.653298388926505</v>
      </c>
      <c r="CM49" s="21">
        <f>EXP(-LN(2)/2)*CM48+(1-EXP(-LN(2)/2))/(LN(2)/2)*CG49*CJ49*VLOOKUP('Données projet'!$B$12,Paramètres!$A$1:$I$89,3,0)*0.475*44/12</f>
        <v>1.8999163655214437</v>
      </c>
      <c r="CN49" s="22">
        <f t="shared" si="12"/>
        <v>15.553214754447948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2.9487179487179445</v>
      </c>
      <c r="CT49" s="12">
        <f>IF('Données projet'!$A$140&gt;35,CT48+CS49-DB48,IF(A49&lt;'Données projet'!$A$140,$CQ$205^A49,IF(A49='Données projet'!$A$140,'Données projet'!$B$140,CT48+CS49-DB48)))</f>
        <v>77.307692307692321</v>
      </c>
      <c r="CU49" s="17">
        <f>CT49*VLOOKUP('Données projet'!$B$13,Paramètres!$A$1:$I$89,3,0)*VLOOKUP('Données projet'!$B$13,Paramètres!$A$1:$I$89,5,0)</f>
        <v>62.712000000000018</v>
      </c>
      <c r="CV49" s="13">
        <f t="shared" si="41"/>
        <v>17.85217356216183</v>
      </c>
      <c r="CW49" s="20">
        <f t="shared" si="13"/>
        <v>140.3159356207652</v>
      </c>
      <c r="CX49" s="59">
        <f t="shared" si="14"/>
        <v>392.66620901949085</v>
      </c>
      <c r="CY49" s="59">
        <f ca="1">AVERAGE(OFFSET($CX$3,0,0,'Données projet'!$E$13+1,1))-AVERAGE(OFFSET($H$3,0,0,'Données projet'!$E$13+1,1))</f>
        <v>186.54446846714993</v>
      </c>
      <c r="CZ49" s="59">
        <f t="shared" si="42"/>
        <v>154.43773051601286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2.5334703104050043</v>
      </c>
      <c r="DH49" s="21">
        <f>EXP(-LN(2)/2)*DH48+(1-EXP(-LN(2)/2))/(LN(2)/2)*DB49*DE49*VLOOKUP('Données projet'!$B$13,Paramètres!$A$1:$I$89,3,0)*0.475*44/12</f>
        <v>1.1396108668670424</v>
      </c>
      <c r="DI49" s="22">
        <f t="shared" si="15"/>
        <v>3.6730811772720466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3.15468085106383</v>
      </c>
      <c r="DO49" s="12">
        <f>IF('Données projet'!$A$166&gt;35,DO48+DN49-DW48,IF(A49&lt;'Données projet'!$A$166,$DL$205^A49,IF(A49='Données projet'!$A$166,'Données projet'!$B$166,DO48+DN49-DW48)))</f>
        <v>145.11531914893618</v>
      </c>
      <c r="DP49" s="17">
        <f>DO49*VLOOKUP('Données projet'!$B$14,Paramètres!$A$1:$I$89,3,0)*VLOOKUP('Données projet'!$B$14,Paramètres!$A$1:$I$89,5,0)</f>
        <v>165.25732544680852</v>
      </c>
      <c r="DQ49" s="13">
        <f t="shared" si="43"/>
        <v>42.026079416505624</v>
      </c>
      <c r="DR49" s="20">
        <f t="shared" si="16"/>
        <v>361.01859680360548</v>
      </c>
      <c r="DS49" s="59">
        <f t="shared" si="17"/>
        <v>613.3688702023311</v>
      </c>
      <c r="DT49" s="59">
        <f ca="1">AVERAGE(OFFSET($DS$3,0,0,'Données projet'!$E$14+1,1))-AVERAGE(OFFSET($H$3,0,0,'Données projet'!$E$14+1,1))</f>
        <v>651.35546372812314</v>
      </c>
      <c r="DU49" s="59">
        <f t="shared" si="44"/>
        <v>293.6561676213388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0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4.2307692307692291</v>
      </c>
      <c r="EJ49" s="12">
        <f>IF('Données projet'!$A$192&gt;35,EJ48+EI49-ER48,IF(A49&lt;'Données projet'!$A$192,$EG$205^A49,IF(A49='Données projet'!$A$192,'Données projet'!$B$192,EJ48+EI49-ER48)))</f>
        <v>105.51282051282054</v>
      </c>
      <c r="EK49" s="17">
        <f>EJ49*VLOOKUP('Données projet'!$B$15,Paramètres!$A$1:$I$89,3,0)*VLOOKUP('Données projet'!$B$15,Paramètres!$A$1:$I$89,5,0)</f>
        <v>110.28200000000004</v>
      </c>
      <c r="EL49" s="13">
        <f t="shared" si="45"/>
        <v>29.397416068224018</v>
      </c>
      <c r="EM49" s="20">
        <f t="shared" si="19"/>
        <v>243.2749829854902</v>
      </c>
      <c r="EN49" s="59">
        <f t="shared" si="20"/>
        <v>495.62525638421585</v>
      </c>
      <c r="EO49" s="59">
        <f ca="1">AVERAGE(OFFSET($EN$3,0,0,'Données projet'!$E$15+1,1))-AVERAGE(OFFSET($H$3,0,0,'Données projet'!$E$15+1,1))</f>
        <v>290.69667785754848</v>
      </c>
      <c r="EP49" s="59">
        <f t="shared" si="46"/>
        <v>256.28124185489082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0</v>
      </c>
      <c r="EW49" s="21">
        <f>EXP(-LN(2)/25)*EW48+(1-EXP(-LN(2)/25))/(LN(2)/25)*Calculateur!ER49*Calculateur!ET49*VLOOKUP('Données projet'!$B$15,Paramètres!$A$1:$I$89,3,0)*0.475*44/12</f>
        <v>16.932912472838311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16.932912472838311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10.110000000000001</v>
      </c>
      <c r="N50" s="13">
        <f>IF('Données projet'!$A$36&gt;35,N49+M50-V49,IF(A50&lt;'Données projet'!$A$36,$K$205^A50,IF(A50='Données projet'!$A$36,'Données projet'!$B$36,N49+M50-V49)))</f>
        <v>178.00000000000017</v>
      </c>
      <c r="O50" s="13">
        <f>N50*VLOOKUP('Données projet'!$B$9,Paramètres!$A$1:$I$89,3,0)*VLOOKUP('Données projet'!$B$9,Paramètres!$A$1:$I$89,5,0)</f>
        <v>180.49200000000019</v>
      </c>
      <c r="P50" s="13">
        <f t="shared" si="33"/>
        <v>45.431629706642696</v>
      </c>
      <c r="Q50" s="20">
        <f t="shared" si="53"/>
        <v>393.48365507240305</v>
      </c>
      <c r="R50" s="59">
        <f t="shared" si="0"/>
        <v>646.54489293659844</v>
      </c>
      <c r="S50" s="59">
        <f ca="1">AVERAGE(OFFSET($R$3,0,0,'Données projet'!$E$9+1,1))-AVERAGE(OFFSET($H$3,0,0,'Données projet'!$E$9+1,1))</f>
        <v>752.45542076695506</v>
      </c>
      <c r="T50" s="59">
        <f t="shared" si="34"/>
        <v>329.70629768420724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14.882700598647602</v>
      </c>
      <c r="AB50" s="21">
        <f>EXP(-LN(2)/2)*AB49+(1-EXP(-LN(2)/2))/(LN(2)/2)*V50*Y50*VLOOKUP('Données projet'!$B$9,Paramètres!$A$1:$I$89,3,0)*0.475*44/12</f>
        <v>1.5055835081653151</v>
      </c>
      <c r="AC50" s="22">
        <f t="shared" si="3"/>
        <v>16.388284106812918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8.6</v>
      </c>
      <c r="AI50" s="13">
        <f>IF('Données projet'!$A$62&gt;35,AI49+AH50-AQ49,IF(A50&lt;'Données projet'!$A$62,$AF$205^A50,IF(A50='Données projet'!$A$62,'Données projet'!$B$62,AI49+AH50-AQ49)))</f>
        <v>235.20000000000005</v>
      </c>
      <c r="AJ50" s="13">
        <f>AI50*VLOOKUP('Données projet'!$B$10,Paramètres!$A$1:$I$89,3,0)*VLOOKUP('Données projet'!$B$10,Paramètres!$A$1:$I$89,5,0)</f>
        <v>205.47072000000009</v>
      </c>
      <c r="AK50" s="13">
        <f t="shared" si="35"/>
        <v>50.944571570352757</v>
      </c>
      <c r="AL50" s="20">
        <f t="shared" si="4"/>
        <v>446.58996615169781</v>
      </c>
      <c r="AM50" s="59">
        <f t="shared" si="5"/>
        <v>699.6512040158932</v>
      </c>
      <c r="AN50" s="59">
        <f ca="1">AVERAGE(OFFSET($AM$3,0,0,'Données projet'!$E$10+1,1))-AVERAGE(OFFSET($H$3,0,0,'Données projet'!$E$10+1,1))</f>
        <v>408.246209980743</v>
      </c>
      <c r="AO50" s="59">
        <f t="shared" si="36"/>
        <v>394.10236303013903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13.58031077799544</v>
      </c>
      <c r="AV50" s="21">
        <f>EXP(-LN(2)/25)*AV49+(1-EXP(-LN(2)/25))/(LN(2)/25)*Calculateur!AQ50*Calculateur!AS50*VLOOKUP('Données projet'!$B$10,Paramètres!$A$1:$I$89,3,0)*0.475*44/12</f>
        <v>18.764462840840324</v>
      </c>
      <c r="AW50" s="21">
        <f>EXP(-LN(2)/2)*AW49+(1-EXP(-LN(2)/2))/(LN(2)/2)*AQ50*AT50*VLOOKUP('Données projet'!$B$10,Paramètres!$A$1:$I$89,3,0)*0.475*44/12</f>
        <v>3.2471390675384044</v>
      </c>
      <c r="AX50" s="21">
        <f t="shared" si="6"/>
        <v>35.591912686374165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10.110000000000001</v>
      </c>
      <c r="BD50" s="12">
        <f>IF('Données projet'!$A$88&gt;35,BD49+BC50-BL49,IF(A50&lt;'Données projet'!$A$88,$BA$205^A50,IF(A50='Données projet'!$A$88,'Données projet'!$B$88,BD49+BC50-BL49)))</f>
        <v>178.00000000000017</v>
      </c>
      <c r="BE50" s="13">
        <f>BD50*VLOOKUP('Données projet'!$B$11,Paramètres!$A$1:$I$89,3,0)*VLOOKUP('Données projet'!$B$11,Paramètres!$A$1:$I$89,5,0)</f>
        <v>169.38480000000015</v>
      </c>
      <c r="BF50" s="13">
        <f t="shared" si="37"/>
        <v>42.952210191662502</v>
      </c>
      <c r="BG50" s="20">
        <f t="shared" si="7"/>
        <v>369.82029275047915</v>
      </c>
      <c r="BH50" s="59">
        <f t="shared" si="8"/>
        <v>622.8815306146746</v>
      </c>
      <c r="BI50" s="59">
        <f ca="1">AVERAGE(OFFSET($BH$3,0,0,'Données projet'!$E$11+1,1))-AVERAGE(OFFSET($H$3,0,0,'Données projet'!$E$11+1,1))</f>
        <v>711.91538686535682</v>
      </c>
      <c r="BJ50" s="59">
        <f t="shared" si="38"/>
        <v>313.24593837351722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13.966842100269291</v>
      </c>
      <c r="BR50" s="21">
        <f>EXP(-LN(2)/2)*BR49+(1-EXP(-LN(2)/2))/(LN(2)/2)*BL50*BO50*VLOOKUP('Données projet'!$B$11,Paramètres!$A$1:$I$89,3,0)*0.475*44/12</f>
        <v>1.412932215355142</v>
      </c>
      <c r="BS50" s="22">
        <f t="shared" si="9"/>
        <v>15.379774315624433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10.110000000000001</v>
      </c>
      <c r="BY50" s="12">
        <f>IF('Données projet'!$A$114&gt;35,BY49+BX50-CG49,IF(A50&lt;'Données projet'!$A$114,$BV$205^A50,IF(A50='Données projet'!$A$114,'Données projet'!$B$114,BY49+BX50-CG49)))</f>
        <v>178.00000000000017</v>
      </c>
      <c r="BZ50" s="13">
        <f>BY50*VLOOKUP('Données projet'!$B$12,Paramètres!$A$1:$I$89,3,0)*VLOOKUP('Données projet'!$B$12,Paramètres!$A$1:$I$89,5,0)</f>
        <v>161.05440000000016</v>
      </c>
      <c r="CA50" s="13">
        <f t="shared" si="39"/>
        <v>41.080247278685491</v>
      </c>
      <c r="CB50" s="20">
        <f t="shared" si="10"/>
        <v>352.05117734371078</v>
      </c>
      <c r="CC50" s="59">
        <f t="shared" si="11"/>
        <v>605.11241520790622</v>
      </c>
      <c r="CD50" s="59">
        <f ca="1">AVERAGE(OFFSET($CC$3,0,0,'Données projet'!$E$12+1,1))-AVERAGE(OFFSET($H$3,0,0,'Données projet'!$E$12+1,1))</f>
        <v>681.47578137804555</v>
      </c>
      <c r="CE50" s="59">
        <f t="shared" si="40"/>
        <v>300.88511065995885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13.279948226485553</v>
      </c>
      <c r="CM50" s="21">
        <f>EXP(-LN(2)/2)*CM49+(1-EXP(-LN(2)/2))/(LN(2)/2)*CG50*CJ50*VLOOKUP('Données projet'!$B$12,Paramètres!$A$1:$I$89,3,0)*0.475*44/12</f>
        <v>1.3434437457475121</v>
      </c>
      <c r="CN50" s="22">
        <f t="shared" si="12"/>
        <v>14.623391972233065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2.9487179487179445</v>
      </c>
      <c r="CT50" s="12">
        <f>IF('Données projet'!$A$140&gt;35,CT49+CS50-DB49,IF(A50&lt;'Données projet'!$A$140,$CQ$205^A50,IF(A50='Données projet'!$A$140,'Données projet'!$B$140,CT49+CS50-DB49)))</f>
        <v>80.256410256410263</v>
      </c>
      <c r="CU50" s="17">
        <f>CT50*VLOOKUP('Données projet'!$B$13,Paramètres!$A$1:$I$89,3,0)*VLOOKUP('Données projet'!$B$13,Paramètres!$A$1:$I$89,5,0)</f>
        <v>65.104000000000013</v>
      </c>
      <c r="CV50" s="13">
        <f t="shared" si="41"/>
        <v>18.452525080925881</v>
      </c>
      <c r="CW50" s="20">
        <f t="shared" si="13"/>
        <v>145.52761451594594</v>
      </c>
      <c r="CX50" s="59">
        <f t="shared" si="14"/>
        <v>398.58885238014136</v>
      </c>
      <c r="CY50" s="59">
        <f ca="1">AVERAGE(OFFSET($CX$3,0,0,'Données projet'!$E$13+1,1))-AVERAGE(OFFSET($H$3,0,0,'Données projet'!$E$13+1,1))</f>
        <v>186.54446846714993</v>
      </c>
      <c r="CZ50" s="59">
        <f t="shared" si="42"/>
        <v>154.43773051601286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2.4641924315375663</v>
      </c>
      <c r="DH50" s="21">
        <f>EXP(-LN(2)/2)*DH49+(1-EXP(-LN(2)/2))/(LN(2)/2)*DB50*DE50*VLOOKUP('Données projet'!$B$13,Paramètres!$A$1:$I$89,3,0)*0.475*44/12</f>
        <v>0.8058265718755655</v>
      </c>
      <c r="DI50" s="22">
        <f t="shared" si="15"/>
        <v>3.2700190034131316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>
        <f>VLOOKUP(A50,'Données projet'!$A$165:$I$185,2,0)</f>
        <v>148.27000000000001</v>
      </c>
      <c r="DM50" s="12">
        <f>VLOOKUP(A50,'Données projet'!$A$165:$I$185,9,0)</f>
        <v>3.15468085106383</v>
      </c>
      <c r="DN50" s="12">
        <f t="array" ref="DN50">INDEX(DM:DM,MIN(IF(ISNUMBER(DM50:DM246),ROW(DM50:DM246),"")))</f>
        <v>3.15468085106383</v>
      </c>
      <c r="DO50" s="12">
        <f>IF('Données projet'!$A$166&gt;35,DO49+DN50-DW49,IF(A50&lt;'Données projet'!$A$166,$DL$205^A50,IF(A50='Données projet'!$A$166,'Données projet'!$B$166,DO49+DN50-DW49)))</f>
        <v>148.27000000000001</v>
      </c>
      <c r="DP50" s="17">
        <f>DO50*VLOOKUP('Données projet'!$B$14,Paramètres!$A$1:$I$89,3,0)*VLOOKUP('Données projet'!$B$14,Paramètres!$A$1:$I$89,5,0)</f>
        <v>168.84987599999999</v>
      </c>
      <c r="DQ50" s="13">
        <f t="shared" si="43"/>
        <v>42.832332387217257</v>
      </c>
      <c r="DR50" s="20">
        <f t="shared" si="16"/>
        <v>368.67984627440336</v>
      </c>
      <c r="DS50" s="59">
        <f t="shared" si="17"/>
        <v>621.74108413859881</v>
      </c>
      <c r="DT50" s="59">
        <f ca="1">AVERAGE(OFFSET($DS$3,0,0,'Données projet'!$E$14+1,1))-AVERAGE(OFFSET($H$3,0,0,'Données projet'!$E$14+1,1))</f>
        <v>651.35546372812314</v>
      </c>
      <c r="DU50" s="59">
        <f t="shared" si="44"/>
        <v>293.6561676213388</v>
      </c>
      <c r="DV50" s="15">
        <f>IF(ISNA(VLOOKUP(A50,'Données projet'!$A$165:$I$185,3,0)),0,VLOOKUP(A50,'Données projet'!$A$165:$I$185,3,0))</f>
        <v>1</v>
      </c>
      <c r="DW50" s="15">
        <f>IF(ISNA(VLOOKUP(A50,'Données projet'!$A$165:$I$185,4,0)),0,VLOOKUP(A50,'Données projet'!$A$165:$I$185,4,0))</f>
        <v>54.050000000000011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0.34400000000000003</v>
      </c>
      <c r="DZ50" s="16">
        <f>IF(ISNA(VLOOKUP(A50,'Données projet'!$A$165:$I$185,7,0)),0%,VLOOKUP(A50,'Données projet'!$A$165:$I$185,7,0))</f>
        <v>0.2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23.314996338235066</v>
      </c>
      <c r="EC50" s="21">
        <f>EXP(-LN(2)/2)*EC49+(1-EXP(-LN(2)/2))/(LN(2)/2)*DW50*DZ50*VLOOKUP('Données projet'!$B$14,Paramètres!$A$1:$I$89,3,0)*0.475*44/12</f>
        <v>11.615220148311783</v>
      </c>
      <c r="ED50" s="22">
        <f t="shared" si="18"/>
        <v>34.930216486546847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4.2307692307692291</v>
      </c>
      <c r="EJ50" s="12">
        <f>IF('Données projet'!$A$192&gt;35,EJ49+EI50-ER49,IF(A50&lt;'Données projet'!$A$192,$EG$205^A50,IF(A50='Données projet'!$A$192,'Données projet'!$B$192,EJ49+EI50-ER49)))</f>
        <v>109.74358974358977</v>
      </c>
      <c r="EK50" s="17">
        <f>EJ50*VLOOKUP('Données projet'!$B$15,Paramètres!$A$1:$I$89,3,0)*VLOOKUP('Données projet'!$B$15,Paramètres!$A$1:$I$89,5,0)</f>
        <v>114.70400000000002</v>
      </c>
      <c r="EL50" s="13">
        <f t="shared" si="45"/>
        <v>30.436568208065971</v>
      </c>
      <c r="EM50" s="20">
        <f t="shared" si="19"/>
        <v>252.78648962904825</v>
      </c>
      <c r="EN50" s="59">
        <f t="shared" si="20"/>
        <v>505.84772749324361</v>
      </c>
      <c r="EO50" s="59">
        <f ca="1">AVERAGE(OFFSET($EN$3,0,0,'Données projet'!$E$15+1,1))-AVERAGE(OFFSET($H$3,0,0,'Données projet'!$E$15+1,1))</f>
        <v>290.69667785754848</v>
      </c>
      <c r="EP50" s="59">
        <f t="shared" si="46"/>
        <v>256.28124185489082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0</v>
      </c>
      <c r="EW50" s="21">
        <f>EXP(-LN(2)/25)*EW49+(1-EXP(-LN(2)/25))/(LN(2)/25)*Calculateur!ER50*Calculateur!ET50*VLOOKUP('Données projet'!$B$15,Paramètres!$A$1:$I$89,3,0)*0.475*44/12</f>
        <v>16.46988109080538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16.46988109080538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10.110000000000001</v>
      </c>
      <c r="N51" s="13">
        <f>IF('Données projet'!$A$36&gt;35,N50+M51-V50,IF(A51&lt;'Données projet'!$A$36,$K$205^A51,IF(A51='Données projet'!$A$36,'Données projet'!$B$36,N50+M51-V50)))</f>
        <v>188.11000000000018</v>
      </c>
      <c r="O51" s="13">
        <f>N51*VLOOKUP('Données projet'!$B$9,Paramètres!$A$1:$I$89,3,0)*VLOOKUP('Données projet'!$B$9,Paramètres!$A$1:$I$89,5,0)</f>
        <v>190.74354000000019</v>
      </c>
      <c r="P51" s="13">
        <f t="shared" si="33"/>
        <v>47.704301602434754</v>
      </c>
      <c r="Q51" s="20">
        <f t="shared" si="53"/>
        <v>415.29665745757416</v>
      </c>
      <c r="R51" s="59">
        <f t="shared" si="0"/>
        <v>669.05652614324185</v>
      </c>
      <c r="S51" s="59">
        <f ca="1">AVERAGE(OFFSET($R$3,0,0,'Données projet'!$E$9+1,1))-AVERAGE(OFFSET($H$3,0,0,'Données projet'!$E$9+1,1))</f>
        <v>752.45542076695506</v>
      </c>
      <c r="T51" s="59">
        <f t="shared" si="34"/>
        <v>329.70629768420724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14.475732368130375</v>
      </c>
      <c r="AB51" s="21">
        <f>EXP(-LN(2)/2)*AB50+(1-EXP(-LN(2)/2))/(LN(2)/2)*V51*Y51*VLOOKUP('Données projet'!$B$9,Paramètres!$A$1:$I$89,3,0)*0.475*44/12</f>
        <v>1.064608308266326</v>
      </c>
      <c r="AC51" s="22">
        <f t="shared" si="3"/>
        <v>15.540340676396701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8.6</v>
      </c>
      <c r="AI51" s="13">
        <f>IF('Données projet'!$A$62&gt;35,AI50+AH51-AQ50,IF(A51&lt;'Données projet'!$A$62,$AF$205^A51,IF(A51='Données projet'!$A$62,'Données projet'!$B$62,AI50+AH51-AQ50)))</f>
        <v>243.80000000000004</v>
      </c>
      <c r="AJ51" s="13">
        <f>AI51*VLOOKUP('Données projet'!$B$10,Paramètres!$A$1:$I$89,3,0)*VLOOKUP('Données projet'!$B$10,Paramètres!$A$1:$I$89,5,0)</f>
        <v>212.98368000000008</v>
      </c>
      <c r="AK51" s="13">
        <f t="shared" si="35"/>
        <v>52.587058525970363</v>
      </c>
      <c r="AL51" s="20">
        <f t="shared" si="4"/>
        <v>462.53570293273191</v>
      </c>
      <c r="AM51" s="59">
        <f t="shared" si="5"/>
        <v>716.29557161839966</v>
      </c>
      <c r="AN51" s="59">
        <f ca="1">AVERAGE(OFFSET($AM$3,0,0,'Données projet'!$E$10+1,1))-AVERAGE(OFFSET($H$3,0,0,'Données projet'!$E$10+1,1))</f>
        <v>408.246209980743</v>
      </c>
      <c r="AO51" s="59">
        <f t="shared" si="36"/>
        <v>394.10236303013903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13.314009166810628</v>
      </c>
      <c r="AV51" s="21">
        <f>EXP(-LN(2)/25)*AV50+(1-EXP(-LN(2)/25))/(LN(2)/25)*Calculateur!AQ51*Calculateur!AS51*VLOOKUP('Données projet'!$B$10,Paramètres!$A$1:$I$89,3,0)*0.475*44/12</f>
        <v>18.251347617677332</v>
      </c>
      <c r="AW51" s="21">
        <f>EXP(-LN(2)/2)*AW50+(1-EXP(-LN(2)/2))/(LN(2)/2)*AQ51*AT51*VLOOKUP('Données projet'!$B$10,Paramètres!$A$1:$I$89,3,0)*0.475*44/12</f>
        <v>2.2960740541121685</v>
      </c>
      <c r="AX51" s="21">
        <f t="shared" si="6"/>
        <v>33.861430838600128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10.110000000000001</v>
      </c>
      <c r="BD51" s="12">
        <f>IF('Données projet'!$A$88&gt;35,BD50+BC51-BL50,IF(A51&lt;'Données projet'!$A$88,$BA$205^A51,IF(A51='Données projet'!$A$88,'Données projet'!$B$88,BD50+BC51-BL50)))</f>
        <v>188.11000000000018</v>
      </c>
      <c r="BE51" s="13">
        <f>BD51*VLOOKUP('Données projet'!$B$11,Paramètres!$A$1:$I$89,3,0)*VLOOKUP('Données projet'!$B$11,Paramètres!$A$1:$I$89,5,0)</f>
        <v>179.00547600000019</v>
      </c>
      <c r="BF51" s="13">
        <f t="shared" si="37"/>
        <v>45.100851602834986</v>
      </c>
      <c r="BG51" s="20">
        <f t="shared" si="7"/>
        <v>390.31852057493785</v>
      </c>
      <c r="BH51" s="59">
        <f t="shared" si="8"/>
        <v>644.07838926060549</v>
      </c>
      <c r="BI51" s="59">
        <f ca="1">AVERAGE(OFFSET($BH$3,0,0,'Données projet'!$E$11+1,1))-AVERAGE(OFFSET($H$3,0,0,'Données projet'!$E$11+1,1))</f>
        <v>711.91538686535682</v>
      </c>
      <c r="BJ51" s="59">
        <f t="shared" si="38"/>
        <v>313.24593837351722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13.584918068553122</v>
      </c>
      <c r="BR51" s="21">
        <f>EXP(-LN(2)/2)*BR50+(1-EXP(-LN(2)/2))/(LN(2)/2)*BL51*BO51*VLOOKUP('Données projet'!$B$11,Paramètres!$A$1:$I$89,3,0)*0.475*44/12</f>
        <v>0.99909395083455232</v>
      </c>
      <c r="BS51" s="22">
        <f t="shared" si="9"/>
        <v>14.584012019387675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10.110000000000001</v>
      </c>
      <c r="BY51" s="12">
        <f>IF('Données projet'!$A$114&gt;35,BY50+BX51-CG50,IF(A51&lt;'Données projet'!$A$114,$BV$205^A51,IF(A51='Données projet'!$A$114,'Données projet'!$B$114,BY50+BX51-CG50)))</f>
        <v>188.11000000000018</v>
      </c>
      <c r="BZ51" s="13">
        <f>BY51*VLOOKUP('Données projet'!$B$12,Paramètres!$A$1:$I$89,3,0)*VLOOKUP('Données projet'!$B$12,Paramètres!$A$1:$I$89,5,0)</f>
        <v>170.20192800000018</v>
      </c>
      <c r="CA51" s="13">
        <f t="shared" si="39"/>
        <v>43.135245614983553</v>
      </c>
      <c r="CB51" s="20">
        <f t="shared" si="10"/>
        <v>371.56224404609662</v>
      </c>
      <c r="CC51" s="59">
        <f t="shared" si="11"/>
        <v>625.32211273176426</v>
      </c>
      <c r="CD51" s="59">
        <f ca="1">AVERAGE(OFFSET($CC$3,0,0,'Données projet'!$E$12+1,1))-AVERAGE(OFFSET($H$3,0,0,'Données projet'!$E$12+1,1))</f>
        <v>681.47578137804555</v>
      </c>
      <c r="CE51" s="59">
        <f t="shared" si="40"/>
        <v>300.88511065995885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12.916807343870181</v>
      </c>
      <c r="CM51" s="21">
        <f>EXP(-LN(2)/2)*CM50+(1-EXP(-LN(2)/2))/(LN(2)/2)*CG51*CJ51*VLOOKUP('Données projet'!$B$12,Paramètres!$A$1:$I$89,3,0)*0.475*44/12</f>
        <v>0.94995818276072186</v>
      </c>
      <c r="CN51" s="22">
        <f t="shared" si="12"/>
        <v>13.866765526630903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2.9487179487179445</v>
      </c>
      <c r="CT51" s="12">
        <f>IF('Données projet'!$A$140&gt;35,CT50+CS51-DB50,IF(A51&lt;'Données projet'!$A$140,$CQ$205^A51,IF(A51='Données projet'!$A$140,'Données projet'!$B$140,CT50+CS51-DB50)))</f>
        <v>83.205128205128204</v>
      </c>
      <c r="CU51" s="17">
        <f>CT51*VLOOKUP('Données projet'!$B$13,Paramètres!$A$1:$I$89,3,0)*VLOOKUP('Données projet'!$B$13,Paramètres!$A$1:$I$89,5,0)</f>
        <v>67.495999999999995</v>
      </c>
      <c r="CV51" s="13">
        <f t="shared" si="41"/>
        <v>19.050313963345932</v>
      </c>
      <c r="CW51" s="20">
        <f t="shared" si="13"/>
        <v>150.73483015282747</v>
      </c>
      <c r="CX51" s="59">
        <f t="shared" si="14"/>
        <v>404.4946988384952</v>
      </c>
      <c r="CY51" s="59">
        <f ca="1">AVERAGE(OFFSET($CX$3,0,0,'Données projet'!$E$13+1,1))-AVERAGE(OFFSET($H$3,0,0,'Données projet'!$E$13+1,1))</f>
        <v>186.54446846714993</v>
      </c>
      <c r="CZ51" s="59">
        <f t="shared" si="42"/>
        <v>154.43773051601286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2.3968089599109237</v>
      </c>
      <c r="DH51" s="21">
        <f>EXP(-LN(2)/2)*DH50+(1-EXP(-LN(2)/2))/(LN(2)/2)*DB51*DE51*VLOOKUP('Données projet'!$B$13,Paramètres!$A$1:$I$89,3,0)*0.475*44/12</f>
        <v>0.56980543343352119</v>
      </c>
      <c r="DI51" s="22">
        <f t="shared" si="15"/>
        <v>2.9666143933444449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6.9862500000000018</v>
      </c>
      <c r="DO51" s="12">
        <f>IF('Données projet'!$A$166&gt;35,DO50+DN51-DW50,IF(A51&lt;'Données projet'!$A$166,$DL$205^A51,IF(A51='Données projet'!$A$166,'Données projet'!$B$166,DO50+DN51-DW50)))</f>
        <v>101.20625000000001</v>
      </c>
      <c r="DP51" s="17">
        <f>DO51*VLOOKUP('Données projet'!$B$14,Paramètres!$A$1:$I$89,3,0)*VLOOKUP('Données projet'!$B$14,Paramètres!$A$1:$I$89,5,0)</f>
        <v>115.25367750000002</v>
      </c>
      <c r="DQ51" s="13">
        <f t="shared" si="43"/>
        <v>30.565410920892418</v>
      </c>
      <c r="DR51" s="20">
        <f t="shared" si="16"/>
        <v>253.96824566638767</v>
      </c>
      <c r="DS51" s="59">
        <f t="shared" si="17"/>
        <v>507.7281143520554</v>
      </c>
      <c r="DT51" s="59">
        <f ca="1">AVERAGE(OFFSET($DS$3,0,0,'Données projet'!$E$14+1,1))-AVERAGE(OFFSET($H$3,0,0,'Données projet'!$E$14+1,1))</f>
        <v>651.35546372812314</v>
      </c>
      <c r="DU51" s="59">
        <f t="shared" si="44"/>
        <v>293.6561676213388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22.677446537283657</v>
      </c>
      <c r="EC51" s="21">
        <f>EXP(-LN(2)/2)*EC50+(1-EXP(-LN(2)/2))/(LN(2)/2)*DW51*DZ51*VLOOKUP('Données projet'!$B$14,Paramètres!$A$1:$I$89,3,0)*0.475*44/12</f>
        <v>8.2132009318458792</v>
      </c>
      <c r="ED51" s="22">
        <f t="shared" si="18"/>
        <v>30.890647469129537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4.2307692307692291</v>
      </c>
      <c r="EJ51" s="12">
        <f>IF('Données projet'!$A$192&gt;35,EJ50+EI51-ER50,IF(A51&lt;'Données projet'!$A$192,$EG$205^A51,IF(A51='Données projet'!$A$192,'Données projet'!$B$192,EJ50+EI51-ER50)))</f>
        <v>113.97435897435899</v>
      </c>
      <c r="EK51" s="17">
        <f>EJ51*VLOOKUP('Données projet'!$B$15,Paramètres!$A$1:$I$89,3,0)*VLOOKUP('Données projet'!$B$15,Paramètres!$A$1:$I$89,5,0)</f>
        <v>119.12600000000003</v>
      </c>
      <c r="EL51" s="13">
        <f t="shared" si="45"/>
        <v>31.471066503383746</v>
      </c>
      <c r="EM51" s="20">
        <f t="shared" si="19"/>
        <v>262.28989082672678</v>
      </c>
      <c r="EN51" s="59">
        <f t="shared" si="20"/>
        <v>516.04975951239453</v>
      </c>
      <c r="EO51" s="59">
        <f ca="1">AVERAGE(OFFSET($EN$3,0,0,'Données projet'!$E$15+1,1))-AVERAGE(OFFSET($H$3,0,0,'Données projet'!$E$15+1,1))</f>
        <v>290.69667785754848</v>
      </c>
      <c r="EP51" s="59">
        <f t="shared" si="46"/>
        <v>256.28124185489082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0</v>
      </c>
      <c r="EW51" s="21">
        <f>EXP(-LN(2)/25)*EW50+(1-EXP(-LN(2)/25))/(LN(2)/25)*Calculateur!ER51*Calculateur!ET51*VLOOKUP('Données projet'!$B$15,Paramètres!$A$1:$I$89,3,0)*0.475*44/12</f>
        <v>16.019511326263903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16.019511326263903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10.110000000000001</v>
      </c>
      <c r="N52" s="13">
        <f>IF('Données projet'!$A$36&gt;35,N51+M52-V51,IF(A52&lt;'Données projet'!$A$36,$K$205^A52,IF(A52='Données projet'!$A$36,'Données projet'!$B$36,N51+M52-V51)))</f>
        <v>198.2200000000002</v>
      </c>
      <c r="O52" s="13">
        <f>N52*VLOOKUP('Données projet'!$B$9,Paramètres!$A$1:$I$89,3,0)*VLOOKUP('Données projet'!$B$9,Paramètres!$A$1:$I$89,5,0)</f>
        <v>200.9950800000002</v>
      </c>
      <c r="P52" s="13">
        <f t="shared" si="33"/>
        <v>49.962792983004405</v>
      </c>
      <c r="Q52" s="20">
        <f t="shared" si="53"/>
        <v>437.08496211206631</v>
      </c>
      <c r="R52" s="59">
        <f t="shared" si="0"/>
        <v>691.53134193635833</v>
      </c>
      <c r="S52" s="59">
        <f ca="1">AVERAGE(OFFSET($R$3,0,0,'Données projet'!$E$9+1,1))-AVERAGE(OFFSET($H$3,0,0,'Données projet'!$E$9+1,1))</f>
        <v>752.45542076695506</v>
      </c>
      <c r="T52" s="59">
        <f t="shared" si="34"/>
        <v>329.70629768420724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14.079892705278169</v>
      </c>
      <c r="AB52" s="21">
        <f>EXP(-LN(2)/2)*AB51+(1-EXP(-LN(2)/2))/(LN(2)/2)*V52*Y52*VLOOKUP('Données projet'!$B$9,Paramètres!$A$1:$I$89,3,0)*0.475*44/12</f>
        <v>0.75279175408265753</v>
      </c>
      <c r="AC52" s="22">
        <f t="shared" si="3"/>
        <v>14.832684459360827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8.6</v>
      </c>
      <c r="AI52" s="13">
        <f>IF('Données projet'!$A$62&gt;35,AI51+AH52-AQ51,IF(A52&lt;'Données projet'!$A$62,$AF$205^A52,IF(A52='Données projet'!$A$62,'Données projet'!$B$62,AI51+AH52-AQ51)))</f>
        <v>252.40000000000003</v>
      </c>
      <c r="AJ52" s="13">
        <f>AI52*VLOOKUP('Données projet'!$B$10,Paramètres!$A$1:$I$89,3,0)*VLOOKUP('Données projet'!$B$10,Paramètres!$A$1:$I$89,5,0)</f>
        <v>220.49664000000004</v>
      </c>
      <c r="AK52" s="13">
        <f t="shared" si="35"/>
        <v>54.222813800824916</v>
      </c>
      <c r="AL52" s="20">
        <f t="shared" si="4"/>
        <v>478.46971536977009</v>
      </c>
      <c r="AM52" s="59">
        <f t="shared" si="5"/>
        <v>732.91609519406211</v>
      </c>
      <c r="AN52" s="59">
        <f ca="1">AVERAGE(OFFSET($AM$3,0,0,'Données projet'!$E$10+1,1))-AVERAGE(OFFSET($H$3,0,0,'Données projet'!$E$10+1,1))</f>
        <v>408.246209980743</v>
      </c>
      <c r="AO52" s="59">
        <f t="shared" si="36"/>
        <v>394.10236303013903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13.052929567793207</v>
      </c>
      <c r="AV52" s="21">
        <f>EXP(-LN(2)/25)*AV51+(1-EXP(-LN(2)/25))/(LN(2)/25)*Calculateur!AQ52*Calculateur!AS52*VLOOKUP('Données projet'!$B$10,Paramètres!$A$1:$I$89,3,0)*0.475*44/12</f>
        <v>17.752263557275288</v>
      </c>
      <c r="AW52" s="21">
        <f>EXP(-LN(2)/2)*AW51+(1-EXP(-LN(2)/2))/(LN(2)/2)*AQ52*AT52*VLOOKUP('Données projet'!$B$10,Paramètres!$A$1:$I$89,3,0)*0.475*44/12</f>
        <v>1.6235695337692022</v>
      </c>
      <c r="AX52" s="21">
        <f t="shared" si="6"/>
        <v>32.428762658837698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10.110000000000001</v>
      </c>
      <c r="BD52" s="12">
        <f>IF('Données projet'!$A$88&gt;35,BD51+BC52-BL51,IF(A52&lt;'Données projet'!$A$88,$BA$205^A52,IF(A52='Données projet'!$A$88,'Données projet'!$B$88,BD51+BC52-BL51)))</f>
        <v>198.2200000000002</v>
      </c>
      <c r="BE52" s="13">
        <f>BD52*VLOOKUP('Données projet'!$B$11,Paramètres!$A$1:$I$89,3,0)*VLOOKUP('Données projet'!$B$11,Paramètres!$A$1:$I$89,5,0)</f>
        <v>188.62615200000019</v>
      </c>
      <c r="BF52" s="13">
        <f t="shared" si="37"/>
        <v>47.236086396758743</v>
      </c>
      <c r="BG52" s="20">
        <f t="shared" si="7"/>
        <v>410.79339854102176</v>
      </c>
      <c r="BH52" s="59">
        <f t="shared" si="8"/>
        <v>665.23977836531367</v>
      </c>
      <c r="BI52" s="59">
        <f ca="1">AVERAGE(OFFSET($BH$3,0,0,'Données projet'!$E$11+1,1))-AVERAGE(OFFSET($H$3,0,0,'Données projet'!$E$11+1,1))</f>
        <v>711.91538686535682</v>
      </c>
      <c r="BJ52" s="59">
        <f t="shared" si="38"/>
        <v>313.24593837351722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13.213437769568745</v>
      </c>
      <c r="BR52" s="21">
        <f>EXP(-LN(2)/2)*BR51+(1-EXP(-LN(2)/2))/(LN(2)/2)*BL52*BO52*VLOOKUP('Données projet'!$B$11,Paramètres!$A$1:$I$89,3,0)*0.475*44/12</f>
        <v>0.70646610767757112</v>
      </c>
      <c r="BS52" s="22">
        <f t="shared" si="9"/>
        <v>13.919903877246316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10.110000000000001</v>
      </c>
      <c r="BY52" s="12">
        <f>IF('Données projet'!$A$114&gt;35,BY51+BX52-CG51,IF(A52&lt;'Données projet'!$A$114,$BV$205^A52,IF(A52='Données projet'!$A$114,'Données projet'!$B$114,BY51+BX52-CG51)))</f>
        <v>198.2200000000002</v>
      </c>
      <c r="BZ52" s="13">
        <f>BY52*VLOOKUP('Données projet'!$B$12,Paramètres!$A$1:$I$89,3,0)*VLOOKUP('Données projet'!$B$12,Paramètres!$A$1:$I$89,5,0)</f>
        <v>179.34945600000017</v>
      </c>
      <c r="CA52" s="13">
        <f t="shared" si="39"/>
        <v>45.177421627371096</v>
      </c>
      <c r="CB52" s="20">
        <f t="shared" si="10"/>
        <v>391.0509785343383</v>
      </c>
      <c r="CC52" s="59">
        <f t="shared" si="11"/>
        <v>645.49735835863021</v>
      </c>
      <c r="CD52" s="59">
        <f ca="1">AVERAGE(OFFSET($CC$3,0,0,'Données projet'!$E$12+1,1))-AVERAGE(OFFSET($H$3,0,0,'Données projet'!$E$12+1,1))</f>
        <v>681.47578137804555</v>
      </c>
      <c r="CE52" s="59">
        <f t="shared" si="40"/>
        <v>300.88511065995885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12.563596567786675</v>
      </c>
      <c r="CM52" s="21">
        <f>EXP(-LN(2)/2)*CM51+(1-EXP(-LN(2)/2))/(LN(2)/2)*CG52*CJ52*VLOOKUP('Données projet'!$B$12,Paramètres!$A$1:$I$89,3,0)*0.475*44/12</f>
        <v>0.67172187287375607</v>
      </c>
      <c r="CN52" s="22">
        <f t="shared" si="12"/>
        <v>13.23531844066043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2.9487179487179445</v>
      </c>
      <c r="CT52" s="12">
        <f>IF('Données projet'!$A$140&gt;35,CT51+CS52-DB51,IF(A52&lt;'Données projet'!$A$140,$CQ$205^A52,IF(A52='Données projet'!$A$140,'Données projet'!$B$140,CT51+CS52-DB51)))</f>
        <v>86.153846153846146</v>
      </c>
      <c r="CU52" s="17">
        <f>CT52*VLOOKUP('Données projet'!$B$13,Paramètres!$A$1:$I$89,3,0)*VLOOKUP('Données projet'!$B$13,Paramètres!$A$1:$I$89,5,0)</f>
        <v>69.887999999999991</v>
      </c>
      <c r="CV52" s="13">
        <f t="shared" si="41"/>
        <v>19.645641432461961</v>
      </c>
      <c r="CW52" s="20">
        <f t="shared" si="13"/>
        <v>155.93775882820455</v>
      </c>
      <c r="CX52" s="59">
        <f t="shared" si="14"/>
        <v>410.38413865249652</v>
      </c>
      <c r="CY52" s="59">
        <f ca="1">AVERAGE(OFFSET($CX$3,0,0,'Données projet'!$E$13+1,1))-AVERAGE(OFFSET($H$3,0,0,'Données projet'!$E$13+1,1))</f>
        <v>186.54446846714993</v>
      </c>
      <c r="CZ52" s="59">
        <f t="shared" si="42"/>
        <v>154.43773051601286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2.3312680928594545</v>
      </c>
      <c r="DH52" s="21">
        <f>EXP(-LN(2)/2)*DH51+(1-EXP(-LN(2)/2))/(LN(2)/2)*DB52*DE52*VLOOKUP('Données projet'!$B$13,Paramètres!$A$1:$I$89,3,0)*0.475*44/12</f>
        <v>0.40291328593778275</v>
      </c>
      <c r="DI52" s="22">
        <f t="shared" si="15"/>
        <v>2.7341813787972371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6.9862500000000018</v>
      </c>
      <c r="DO52" s="12">
        <f>IF('Données projet'!$A$166&gt;35,DO51+DN52-DW51,IF(A52&lt;'Données projet'!$A$166,$DL$205^A52,IF(A52='Données projet'!$A$166,'Données projet'!$B$166,DO51+DN52-DW51)))</f>
        <v>108.19250000000001</v>
      </c>
      <c r="DP52" s="17">
        <f>DO52*VLOOKUP('Données projet'!$B$14,Paramètres!$A$1:$I$89,3,0)*VLOOKUP('Données projet'!$B$14,Paramètres!$A$1:$I$89,5,0)</f>
        <v>123.209619</v>
      </c>
      <c r="DQ52" s="13">
        <f t="shared" si="43"/>
        <v>32.422436349772852</v>
      </c>
      <c r="DR52" s="20">
        <f t="shared" si="16"/>
        <v>271.05916306752107</v>
      </c>
      <c r="DS52" s="59">
        <f t="shared" si="17"/>
        <v>525.50554289181309</v>
      </c>
      <c r="DT52" s="59">
        <f ca="1">AVERAGE(OFFSET($DS$3,0,0,'Données projet'!$E$14+1,1))-AVERAGE(OFFSET($H$3,0,0,'Données projet'!$E$14+1,1))</f>
        <v>651.35546372812314</v>
      </c>
      <c r="DU52" s="59">
        <f t="shared" si="44"/>
        <v>293.6561676213388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22.057330569166552</v>
      </c>
      <c r="EC52" s="21">
        <f>EXP(-LN(2)/2)*EC51+(1-EXP(-LN(2)/2))/(LN(2)/2)*DW52*DZ52*VLOOKUP('Données projet'!$B$14,Paramètres!$A$1:$I$89,3,0)*0.475*44/12</f>
        <v>5.8076100741558925</v>
      </c>
      <c r="ED52" s="22">
        <f t="shared" si="18"/>
        <v>27.864940643322445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4.2307692307692291</v>
      </c>
      <c r="EJ52" s="12">
        <f>IF('Données projet'!$A$192&gt;35,EJ51+EI52-ER51,IF(A52&lt;'Données projet'!$A$192,$EG$205^A52,IF(A52='Données projet'!$A$192,'Données projet'!$B$192,EJ51+EI52-ER51)))</f>
        <v>118.20512820512822</v>
      </c>
      <c r="EK52" s="17">
        <f>EJ52*VLOOKUP('Données projet'!$B$15,Paramètres!$A$1:$I$89,3,0)*VLOOKUP('Données projet'!$B$15,Paramètres!$A$1:$I$89,5,0)</f>
        <v>123.54800000000002</v>
      </c>
      <c r="EL52" s="13">
        <f t="shared" si="45"/>
        <v>32.501103488858256</v>
      </c>
      <c r="EM52" s="20">
        <f t="shared" si="19"/>
        <v>271.78552190976148</v>
      </c>
      <c r="EN52" s="59">
        <f t="shared" si="20"/>
        <v>526.23190173405351</v>
      </c>
      <c r="EO52" s="59">
        <f ca="1">AVERAGE(OFFSET($EN$3,0,0,'Données projet'!$E$15+1,1))-AVERAGE(OFFSET($H$3,0,0,'Données projet'!$E$15+1,1))</f>
        <v>290.69667785754848</v>
      </c>
      <c r="EP52" s="59">
        <f t="shared" si="46"/>
        <v>256.28124185489082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0</v>
      </c>
      <c r="EW52" s="21">
        <f>EXP(-LN(2)/25)*EW51+(1-EXP(-LN(2)/25))/(LN(2)/25)*Calculateur!ER52*Calculateur!ET52*VLOOKUP('Données projet'!$B$15,Paramètres!$A$1:$I$89,3,0)*0.475*44/12</f>
        <v>15.581456946617729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15.581456946617729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208.33</v>
      </c>
      <c r="L53" s="12">
        <f>VLOOKUP(A53,'Données projet'!$A$35:$I$55,9,0)</f>
        <v>10.110000000000001</v>
      </c>
      <c r="M53" s="12">
        <f t="array" ref="M53">INDEX(L:L,MIN(IF(ISNUMBER(L53:L249),ROW(L53:L249),"")))</f>
        <v>10.110000000000001</v>
      </c>
      <c r="N53" s="13">
        <f>IF('Données projet'!$A$36&gt;35,N52+M53-V52,IF(A53&lt;'Données projet'!$A$36,$K$205^A53,IF(A53='Données projet'!$A$36,'Données projet'!$B$36,N52+M53-V52)))</f>
        <v>208.33000000000021</v>
      </c>
      <c r="O53" s="13">
        <f>N53*VLOOKUP('Données projet'!$B$9,Paramètres!$A$1:$I$89,3,0)*VLOOKUP('Données projet'!$B$9,Paramètres!$A$1:$I$89,5,0)</f>
        <v>211.24662000000023</v>
      </c>
      <c r="P53" s="13">
        <f t="shared" si="33"/>
        <v>52.207909621932217</v>
      </c>
      <c r="Q53" s="20">
        <f t="shared" si="53"/>
        <v>458.84997242486565</v>
      </c>
      <c r="R53" s="59">
        <f t="shared" si="0"/>
        <v>713.97095395433576</v>
      </c>
      <c r="S53" s="59">
        <f ca="1">AVERAGE(OFFSET($R$3,0,0,'Données projet'!$E$9+1,1))-AVERAGE(OFFSET($H$3,0,0,'Données projet'!$E$9+1,1))</f>
        <v>752.45542076695506</v>
      </c>
      <c r="T53" s="59">
        <f t="shared" si="34"/>
        <v>329.70629768420724</v>
      </c>
      <c r="U53" s="15">
        <f>IF(ISNA(VLOOKUP(A53,'Données projet'!$A$35:$I$55,3,0)),0,VLOOKUP(A53,'Données projet'!$A$35:$I$55,3,0))</f>
        <v>2</v>
      </c>
      <c r="V53" s="15">
        <f>IF(ISNA(VLOOKUP(A53,'Données projet'!$A$35:$I$55,4,0)),0,VLOOKUP(A53,'Données projet'!$A$35:$I$55,4,0))</f>
        <v>37.54000000000002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0.34400000000000003</v>
      </c>
      <c r="Y53" s="16">
        <f>IF(ISNA(VLOOKUP(A53,'Données projet'!$A$35:$I$55,7,0)),0%,VLOOKUP(A53,'Données projet'!$A$35:$I$55,7,0))</f>
        <v>0.2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28.113521264944488</v>
      </c>
      <c r="AB53" s="21">
        <f>EXP(-LN(2)/2)*AB52+(1-EXP(-LN(2)/2))/(LN(2)/2)*V53*Y53*VLOOKUP('Données projet'!$B$9,Paramètres!$A$1:$I$89,3,0)*0.475*44/12</f>
        <v>7.7154802300384224</v>
      </c>
      <c r="AC53" s="22">
        <f t="shared" si="3"/>
        <v>35.829001494982911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261</v>
      </c>
      <c r="AG53" s="12">
        <f>VLOOKUP(A53,'Données projet'!$A$61:$I$81,9,0)</f>
        <v>8.6</v>
      </c>
      <c r="AH53" s="12">
        <f t="array" ref="AH53">INDEX(AG:AG,MIN(IF(ISNUMBER(AG53:AG249),ROW(AG53:AG249),"")))</f>
        <v>8.6</v>
      </c>
      <c r="AI53" s="13">
        <f>IF('Données projet'!$A$62&gt;35,AI52+AH53-AQ52,IF(A53&lt;'Données projet'!$A$62,$AF$205^A53,IF(A53='Données projet'!$A$62,'Données projet'!$B$62,AI52+AH53-AQ52)))</f>
        <v>261.00000000000006</v>
      </c>
      <c r="AJ53" s="13">
        <f>AI53*VLOOKUP('Données projet'!$B$10,Paramètres!$A$1:$I$89,3,0)*VLOOKUP('Données projet'!$B$10,Paramètres!$A$1:$I$89,5,0)</f>
        <v>228.00960000000009</v>
      </c>
      <c r="AK53" s="13">
        <f t="shared" si="35"/>
        <v>55.852093054619878</v>
      </c>
      <c r="AL53" s="20">
        <f t="shared" si="4"/>
        <v>494.3924487367965</v>
      </c>
      <c r="AM53" s="59">
        <f t="shared" si="5"/>
        <v>749.5134302662666</v>
      </c>
      <c r="AN53" s="59">
        <f ca="1">AVERAGE(OFFSET($AM$3,0,0,'Données projet'!$E$10+1,1))-AVERAGE(OFFSET($H$3,0,0,'Données projet'!$E$10+1,1))</f>
        <v>408.246209980743</v>
      </c>
      <c r="AO53" s="59">
        <f t="shared" si="36"/>
        <v>394.10236303013903</v>
      </c>
      <c r="AP53" s="15">
        <f>IF(ISNA(VLOOKUP(A53,'Données projet'!$A$61:$I$81,3,0)),0,VLOOKUP(A53,'Données projet'!$A$61:$I$81,3,0))</f>
        <v>8</v>
      </c>
      <c r="AQ53" s="15">
        <f>IF(ISNA(VLOOKUP(A53,'Données projet'!$A$61:$I$81,4,0)),0,VLOOKUP(A53,'Données projet'!$A$61:$I$81,4,0))</f>
        <v>19</v>
      </c>
      <c r="AR53" s="16">
        <f>IF(ISNA(VLOOKUP(A53,'Données projet'!$A$61:$I$81,5,0)),0%,VLOOKUP(A53,'Données projet'!$A$61:$I$81,5,0)*VLOOKUP('Données projet'!$B$10,Paramètres!$A$1:$I$89,7,0))</f>
        <v>0.13250000000000001</v>
      </c>
      <c r="AS53" s="16">
        <f>IF(ISNA(VLOOKUP(A53,'Données projet'!$A$61:$I$81,6,0)),0%,VLOOKUP(A53,'Données projet'!$A$61:$I$81,6,0)*VLOOKUP('Données projet'!$B$10,Paramètres!$A$1:$I$89,7,0))</f>
        <v>0.13250000000000001</v>
      </c>
      <c r="AT53" s="16">
        <f>IF(ISNA(VLOOKUP(A53,'Données projet'!$A$61:$I$81,7,0)),0%,VLOOKUP(A53,'Données projet'!$A$61:$I$81,7,0))</f>
        <v>0.25</v>
      </c>
      <c r="AU53" s="21">
        <f>EXP(-LN(2)/35)*AU52+(1-EXP(-LN(2)/35))/(LN(2)/35)*AQ53*AR53*VLOOKUP('Données projet'!$B$10,Paramètres!$A$1:$I$89,3,0)*0.475*44/12</f>
        <v>15.228217320531948</v>
      </c>
      <c r="AV53" s="21">
        <f>EXP(-LN(2)/25)*AV52+(1-EXP(-LN(2)/25))/(LN(2)/25)*Calculateur!AQ53*Calculateur!AS53*VLOOKUP('Données projet'!$B$10,Paramètres!$A$1:$I$89,3,0)*0.475*44/12</f>
        <v>19.68850196808225</v>
      </c>
      <c r="AW53" s="21">
        <f>EXP(-LN(2)/2)*AW52+(1-EXP(-LN(2)/2))/(LN(2)/2)*AQ53*AT53*VLOOKUP('Données projet'!$B$10,Paramètres!$A$1:$I$89,3,0)*0.475*44/12</f>
        <v>5.0632963119026035</v>
      </c>
      <c r="AX53" s="21">
        <f t="shared" si="6"/>
        <v>39.980015600516801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208.33</v>
      </c>
      <c r="BB53" s="12">
        <f>VLOOKUP(A53,'Données projet'!$A$87:$I$107,9,0)</f>
        <v>10.110000000000001</v>
      </c>
      <c r="BC53" s="12">
        <f t="array" ref="BC53">INDEX(BB:BB,MIN(IF(ISNUMBER(BB53:BB249),ROW(BB53:BB249),"")))</f>
        <v>10.110000000000001</v>
      </c>
      <c r="BD53" s="12">
        <f>IF('Données projet'!$A$88&gt;35,BD52+BC53-BL52,IF(A53&lt;'Données projet'!$A$88,$BA$205^A53,IF(A53='Données projet'!$A$88,'Données projet'!$B$88,BD52+BC53-BL52)))</f>
        <v>208.33000000000021</v>
      </c>
      <c r="BE53" s="13">
        <f>BD53*VLOOKUP('Données projet'!$B$11,Paramètres!$A$1:$I$89,3,0)*VLOOKUP('Données projet'!$B$11,Paramètres!$A$1:$I$89,5,0)</f>
        <v>198.24682800000019</v>
      </c>
      <c r="BF53" s="13">
        <f t="shared" si="37"/>
        <v>49.358676372128407</v>
      </c>
      <c r="BG53" s="20">
        <f t="shared" si="7"/>
        <v>431.24625344812392</v>
      </c>
      <c r="BH53" s="59">
        <f t="shared" si="8"/>
        <v>686.36723497759408</v>
      </c>
      <c r="BI53" s="59">
        <f ca="1">AVERAGE(OFFSET($BH$3,0,0,'Données projet'!$E$11+1,1))-AVERAGE(OFFSET($H$3,0,0,'Données projet'!$E$11+1,1))</f>
        <v>711.91538686535682</v>
      </c>
      <c r="BJ53" s="59">
        <f t="shared" si="38"/>
        <v>313.24593837351722</v>
      </c>
      <c r="BK53" s="15">
        <f>IF(ISNA(VLOOKUP(A53,'Données projet'!$A$87:$I$107,3,0)),0,VLOOKUP(A53,'Données projet'!$A$87:$I$107,3,0))</f>
        <v>2</v>
      </c>
      <c r="BL53" s="15">
        <f>IF(ISNA(VLOOKUP(A53,'Données projet'!$A$87:$I$107,4,0)),0,VLOOKUP(A53,'Données projet'!$A$87:$I$107,4,0))</f>
        <v>37.54000000000002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0.34400000000000003</v>
      </c>
      <c r="BO53" s="16">
        <f>IF(ISNA(VLOOKUP(A53,'Données projet'!$A$87:$I$107,7,0)),0%,VLOOKUP(A53,'Données projet'!$A$87:$I$107,7,0))</f>
        <v>0.2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26.383458417870983</v>
      </c>
      <c r="BR53" s="21">
        <f>EXP(-LN(2)/2)*BR52+(1-EXP(-LN(2)/2))/(LN(2)/2)*BL53*BO53*VLOOKUP('Données projet'!$B$11,Paramètres!$A$1:$I$89,3,0)*0.475*44/12</f>
        <v>7.2406814466514442</v>
      </c>
      <c r="BS53" s="22">
        <f t="shared" si="9"/>
        <v>33.624139864522427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208.33</v>
      </c>
      <c r="BW53" s="12">
        <f>VLOOKUP(A53,'Données projet'!$A$113:$I$133,9,0)</f>
        <v>10.110000000000001</v>
      </c>
      <c r="BX53" s="12">
        <f t="array" ref="BX53">INDEX(BW:BW,MIN(IF(ISNUMBER(BW53:BW249),ROW(BW53:BW249),"")))</f>
        <v>10.110000000000001</v>
      </c>
      <c r="BY53" s="12">
        <f>IF('Données projet'!$A$114&gt;35,BY52+BX53-CG52,IF(A53&lt;'Données projet'!$A$114,$BV$205^A53,IF(A53='Données projet'!$A$114,'Données projet'!$B$114,BY52+BX53-CG52)))</f>
        <v>208.33000000000021</v>
      </c>
      <c r="BZ53" s="13">
        <f>BY53*VLOOKUP('Données projet'!$B$12,Paramètres!$A$1:$I$89,3,0)*VLOOKUP('Données projet'!$B$12,Paramètres!$A$1:$I$89,5,0)</f>
        <v>188.4969840000002</v>
      </c>
      <c r="CA53" s="13">
        <f t="shared" si="39"/>
        <v>47.207503913482938</v>
      </c>
      <c r="CB53" s="20">
        <f t="shared" si="10"/>
        <v>410.51864978264985</v>
      </c>
      <c r="CC53" s="59">
        <f t="shared" si="11"/>
        <v>665.63963131211995</v>
      </c>
      <c r="CD53" s="59">
        <f ca="1">AVERAGE(OFFSET($CC$3,0,0,'Données projet'!$E$12+1,1))-AVERAGE(OFFSET($H$3,0,0,'Données projet'!$E$12+1,1))</f>
        <v>681.47578137804555</v>
      </c>
      <c r="CE53" s="59">
        <f t="shared" si="40"/>
        <v>300.88511065995885</v>
      </c>
      <c r="CF53" s="15">
        <f>IF(ISNA(VLOOKUP(A53,'Données projet'!$A$113:$I$133,3,0)),0,VLOOKUP(A53,'Données projet'!$A$113:$I$133,3,0))</f>
        <v>2</v>
      </c>
      <c r="CG53" s="15">
        <f>IF(ISNA(VLOOKUP(A53,'Données projet'!$A$113:$I$133,4,0)),0,VLOOKUP(A53,'Données projet'!$A$113:$I$133,4,0))</f>
        <v>37.54000000000002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0.34400000000000003</v>
      </c>
      <c r="CJ53" s="16">
        <f>IF(ISNA(VLOOKUP(A53,'Données projet'!$A$113:$I$133,7,0)),0%,VLOOKUP(A53,'Données projet'!$A$113:$I$133,7,0))</f>
        <v>0.2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25.085911282565853</v>
      </c>
      <c r="CM53" s="21">
        <f>EXP(-LN(2)/2)*CM52+(1-EXP(-LN(2)/2))/(LN(2)/2)*CG53*CJ53*VLOOKUP('Données projet'!$B$12,Paramètres!$A$1:$I$89,3,0)*0.475*44/12</f>
        <v>6.8845823591112083</v>
      </c>
      <c r="CN53" s="22">
        <f t="shared" si="12"/>
        <v>31.970493641677059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89.102564102564088</v>
      </c>
      <c r="CR53" s="12">
        <f>VLOOKUP(A53,'Données projet'!$A$139:$I$159,9,0)</f>
        <v>2.9487179487179445</v>
      </c>
      <c r="CS53" s="12">
        <f t="array" ref="CS53">INDEX(CR:CR,MIN(IF(ISNUMBER(CR53:CR249),ROW(CR53:CR249),"")))</f>
        <v>2.9487179487179445</v>
      </c>
      <c r="CT53" s="12">
        <f>IF('Données projet'!$A$140&gt;35,CT52+CS53-DB52,IF(A53&lt;'Données projet'!$A$140,$CQ$205^A53,IF(A53='Données projet'!$A$140,'Données projet'!$B$140,CT52+CS53-DB52)))</f>
        <v>89.102564102564088</v>
      </c>
      <c r="CU53" s="17">
        <f>CT53*VLOOKUP('Données projet'!$B$13,Paramètres!$A$1:$I$89,3,0)*VLOOKUP('Données projet'!$B$13,Paramètres!$A$1:$I$89,5,0)</f>
        <v>72.28</v>
      </c>
      <c r="CV53" s="13">
        <f t="shared" si="41"/>
        <v>20.238601389325545</v>
      </c>
      <c r="CW53" s="20">
        <f t="shared" si="13"/>
        <v>161.13656408640864</v>
      </c>
      <c r="CX53" s="59">
        <f t="shared" si="14"/>
        <v>416.25754561587871</v>
      </c>
      <c r="CY53" s="59">
        <f ca="1">AVERAGE(OFFSET($CX$3,0,0,'Données projet'!$E$13+1,1))-AVERAGE(OFFSET($H$3,0,0,'Données projet'!$E$13+1,1))</f>
        <v>186.54446846714993</v>
      </c>
      <c r="CZ53" s="59">
        <f t="shared" si="42"/>
        <v>154.43773051601286</v>
      </c>
      <c r="DA53" s="15">
        <f>IF(ISNA(VLOOKUP(A53,'Données projet'!$A$139:$I$159,3,0)),0,VLOOKUP(A53,'Données projet'!$A$139:$I$159,3,0))</f>
        <v>8</v>
      </c>
      <c r="DB53" s="15">
        <f>IF(ISNA(VLOOKUP(A53,'Données projet'!$A$139:$I$159,4,0)),0,VLOOKUP(A53,'Données projet'!$A$139:$I$159,4,0))</f>
        <v>7.0512820512820511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0.1075</v>
      </c>
      <c r="DE53" s="16">
        <f>IF(ISNA(VLOOKUP(A53,'Données projet'!$A$139:$I$159,7,0)),0%,VLOOKUP(A53,'Données projet'!$A$139:$I$159,7,0))</f>
        <v>0.25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2.9445967311723757</v>
      </c>
      <c r="DH53" s="21">
        <f>EXP(-LN(2)/2)*DH52+(1-EXP(-LN(2)/2))/(LN(2)/2)*DB53*DE53*VLOOKUP('Données projet'!$B$13,Paramètres!$A$1:$I$89,3,0)*0.475*44/12</f>
        <v>1.634146204602466</v>
      </c>
      <c r="DI53" s="22">
        <f t="shared" si="15"/>
        <v>4.5787429357748417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6.9862500000000018</v>
      </c>
      <c r="DO53" s="12">
        <f>IF('Données projet'!$A$166&gt;35,DO52+DN53-DW52,IF(A53&lt;'Données projet'!$A$166,$DL$205^A53,IF(A53='Données projet'!$A$166,'Données projet'!$B$166,DO52+DN53-DW52)))</f>
        <v>115.17875000000001</v>
      </c>
      <c r="DP53" s="17">
        <f>DO53*VLOOKUP('Données projet'!$B$14,Paramètres!$A$1:$I$89,3,0)*VLOOKUP('Données projet'!$B$14,Paramètres!$A$1:$I$89,5,0)</f>
        <v>131.1655605</v>
      </c>
      <c r="DQ53" s="13">
        <f t="shared" si="43"/>
        <v>34.265546070805485</v>
      </c>
      <c r="DR53" s="20">
        <f t="shared" si="16"/>
        <v>288.12584394415285</v>
      </c>
      <c r="DS53" s="59">
        <f t="shared" si="17"/>
        <v>543.24682547362295</v>
      </c>
      <c r="DT53" s="59">
        <f ca="1">AVERAGE(OFFSET($DS$3,0,0,'Données projet'!$E$14+1,1))-AVERAGE(OFFSET($H$3,0,0,'Données projet'!$E$14+1,1))</f>
        <v>651.35546372812314</v>
      </c>
      <c r="DU53" s="59">
        <f t="shared" si="44"/>
        <v>293.6561676213388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21.45417170480809</v>
      </c>
      <c r="EC53" s="21">
        <f>EXP(-LN(2)/2)*EC52+(1-EXP(-LN(2)/2))/(LN(2)/2)*DW53*DZ53*VLOOKUP('Données projet'!$B$14,Paramètres!$A$1:$I$89,3,0)*0.475*44/12</f>
        <v>4.1066004659229396</v>
      </c>
      <c r="ED53" s="22">
        <f t="shared" si="18"/>
        <v>25.560772170731028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122.43589743589743</v>
      </c>
      <c r="EH53" s="12">
        <f>VLOOKUP(A53,'Données projet'!$A$191:$I$211,9,0)</f>
        <v>4.2307692307692291</v>
      </c>
      <c r="EI53" s="12">
        <f t="array" ref="EI53">INDEX(EH:EH,MIN(IF(ISNUMBER(EH53:EH249),ROW(EH53:EH249),"")))</f>
        <v>4.2307692307692291</v>
      </c>
      <c r="EJ53" s="12">
        <f>IF('Données projet'!$A$192&gt;35,EJ52+EI53-ER52,IF(A53&lt;'Données projet'!$A$192,$EG$205^A53,IF(A53='Données projet'!$A$192,'Données projet'!$B$192,EJ52+EI53-ER52)))</f>
        <v>122.43589743589745</v>
      </c>
      <c r="EK53" s="17">
        <f>EJ53*VLOOKUP('Données projet'!$B$15,Paramètres!$A$1:$I$89,3,0)*VLOOKUP('Données projet'!$B$15,Paramètres!$A$1:$I$89,5,0)</f>
        <v>127.97000000000003</v>
      </c>
      <c r="EL53" s="13">
        <f t="shared" si="45"/>
        <v>33.526857135589701</v>
      </c>
      <c r="EM53" s="20">
        <f t="shared" si="19"/>
        <v>281.27369284448542</v>
      </c>
      <c r="EN53" s="59">
        <f t="shared" si="20"/>
        <v>536.39467437395547</v>
      </c>
      <c r="EO53" s="59">
        <f ca="1">AVERAGE(OFFSET($EN$3,0,0,'Données projet'!$E$15+1,1))-AVERAGE(OFFSET($H$3,0,0,'Données projet'!$E$15+1,1))</f>
        <v>290.69667785754848</v>
      </c>
      <c r="EP53" s="59">
        <f t="shared" si="46"/>
        <v>256.28124185489082</v>
      </c>
      <c r="EQ53" s="15">
        <f>IF(ISNA(VLOOKUP(A53,'Données projet'!$A$191:$I$211,3,0)),0,VLOOKUP(A53,'Données projet'!$A$191:$I$211,3,0))</f>
        <v>7</v>
      </c>
      <c r="ER53" s="15">
        <f>IF(ISNA(VLOOKUP(A53,'Données projet'!$A$191:$I$211,4,0)),0,VLOOKUP(A53,'Données projet'!$A$191:$I$211,4,0))</f>
        <v>13.461538461538462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0.215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0</v>
      </c>
      <c r="EW53" s="21">
        <f>EXP(-LN(2)/25)*EW52+(1-EXP(-LN(2)/25))/(LN(2)/25)*Calculateur!ER53*Calculateur!ET53*VLOOKUP('Données projet'!$B$15,Paramètres!$A$1:$I$89,3,0)*0.475*44/12</f>
        <v>18.486317350235591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18.486317350235591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10.36375</v>
      </c>
      <c r="N54" s="13">
        <f>IF('Données projet'!$A$36&gt;35,N53+M54-V53,IF(A54&lt;'Données projet'!$A$36,$K$205^A54,IF(A54='Données projet'!$A$36,'Données projet'!$B$36,N53+M54-V53)))</f>
        <v>181.1537500000002</v>
      </c>
      <c r="O54" s="13">
        <f>N54*VLOOKUP('Données projet'!$B$9,Paramètres!$A$1:$I$89,3,0)*VLOOKUP('Données projet'!$B$9,Paramètres!$A$1:$I$89,5,0)</f>
        <v>183.68990250000022</v>
      </c>
      <c r="P54" s="13">
        <f t="shared" si="33"/>
        <v>46.142149449949819</v>
      </c>
      <c r="Q54" s="20">
        <f t="shared" si="53"/>
        <v>400.29082381282961</v>
      </c>
      <c r="R54" s="59">
        <f t="shared" si="0"/>
        <v>656.0747042160765</v>
      </c>
      <c r="S54" s="59">
        <f ca="1">AVERAGE(OFFSET($R$3,0,0,'Données projet'!$E$9+1,1))-AVERAGE(OFFSET($H$3,0,0,'Données projet'!$E$9+1,1))</f>
        <v>752.45542076695506</v>
      </c>
      <c r="T54" s="59">
        <f t="shared" si="34"/>
        <v>329.70629768420724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27.344755547528752</v>
      </c>
      <c r="AB54" s="21">
        <f>EXP(-LN(2)/2)*AB53+(1-EXP(-LN(2)/2))/(LN(2)/2)*V54*Y54*VLOOKUP('Données projet'!$B$9,Paramètres!$A$1:$I$89,3,0)*0.475*44/12</f>
        <v>5.4556683907709127</v>
      </c>
      <c r="AC54" s="22">
        <f t="shared" si="3"/>
        <v>32.800423938299666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7.4</v>
      </c>
      <c r="AI54" s="13">
        <f>IF('Données projet'!$A$62&gt;35,AI53+AH54-AQ53,IF(A54&lt;'Données projet'!$A$62,$AF$205^A54,IF(A54='Données projet'!$A$62,'Données projet'!$B$62,AI53+AH54-AQ53)))</f>
        <v>249.40000000000003</v>
      </c>
      <c r="AJ54" s="13">
        <f>AI54*VLOOKUP('Données projet'!$B$10,Paramètres!$A$1:$I$89,3,0)*VLOOKUP('Données projet'!$B$10,Paramètres!$A$1:$I$89,5,0)</f>
        <v>217.87584000000007</v>
      </c>
      <c r="AK54" s="13">
        <f t="shared" si="35"/>
        <v>53.652949670124926</v>
      </c>
      <c r="AL54" s="20">
        <f t="shared" si="4"/>
        <v>472.91264200880101</v>
      </c>
      <c r="AM54" s="59">
        <f t="shared" si="5"/>
        <v>728.6965224120479</v>
      </c>
      <c r="AN54" s="59">
        <f ca="1">AVERAGE(OFFSET($AM$3,0,0,'Données projet'!$E$10+1,1))-AVERAGE(OFFSET($H$3,0,0,'Données projet'!$E$10+1,1))</f>
        <v>408.246209980743</v>
      </c>
      <c r="AO54" s="59">
        <f t="shared" si="36"/>
        <v>394.10236303013903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14.929601267171739</v>
      </c>
      <c r="AV54" s="21">
        <f>EXP(-LN(2)/25)*AV53+(1-EXP(-LN(2)/25))/(LN(2)/25)*Calculateur!AQ54*Calculateur!AS54*VLOOKUP('Données projet'!$B$10,Paramètres!$A$1:$I$89,3,0)*0.475*44/12</f>
        <v>19.15011884639172</v>
      </c>
      <c r="AW54" s="21">
        <f>EXP(-LN(2)/2)*AW53+(1-EXP(-LN(2)/2))/(LN(2)/2)*AQ54*AT54*VLOOKUP('Données projet'!$B$10,Paramètres!$A$1:$I$89,3,0)*0.475*44/12</f>
        <v>3.5802911573031677</v>
      </c>
      <c r="AX54" s="21">
        <f t="shared" si="6"/>
        <v>37.660011270866626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10.36375</v>
      </c>
      <c r="BD54" s="12">
        <f>IF('Données projet'!$A$88&gt;35,BD53+BC54-BL53,IF(A54&lt;'Données projet'!$A$88,$BA$205^A54,IF(A54='Données projet'!$A$88,'Données projet'!$B$88,BD53+BC54-BL53)))</f>
        <v>181.1537500000002</v>
      </c>
      <c r="BE54" s="13">
        <f>BD54*VLOOKUP('Données projet'!$B$11,Paramètres!$A$1:$I$89,3,0)*VLOOKUP('Données projet'!$B$11,Paramètres!$A$1:$I$89,5,0)</f>
        <v>172.3859085000002</v>
      </c>
      <c r="BF54" s="13">
        <f t="shared" si="37"/>
        <v>43.623953502587391</v>
      </c>
      <c r="BG54" s="20">
        <f t="shared" si="7"/>
        <v>376.21717632117338</v>
      </c>
      <c r="BH54" s="59">
        <f t="shared" si="8"/>
        <v>632.00105672442021</v>
      </c>
      <c r="BI54" s="59">
        <f ca="1">AVERAGE(OFFSET($BH$3,0,0,'Données projet'!$E$11+1,1))-AVERAGE(OFFSET($H$3,0,0,'Données projet'!$E$11+1,1))</f>
        <v>711.91538686535682</v>
      </c>
      <c r="BJ54" s="59">
        <f t="shared" si="38"/>
        <v>313.24593837351722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25.662001359988523</v>
      </c>
      <c r="BR54" s="21">
        <f>EXP(-LN(2)/2)*BR53+(1-EXP(-LN(2)/2))/(LN(2)/2)*BL54*BO54*VLOOKUP('Données projet'!$B$11,Paramètres!$A$1:$I$89,3,0)*0.475*44/12</f>
        <v>5.1199349513388572</v>
      </c>
      <c r="BS54" s="22">
        <f t="shared" si="9"/>
        <v>30.781936311327378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10.36375</v>
      </c>
      <c r="BY54" s="12">
        <f>IF('Données projet'!$A$114&gt;35,BY53+BX54-CG53,IF(A54&lt;'Données projet'!$A$114,$BV$205^A54,IF(A54='Données projet'!$A$114,'Données projet'!$B$114,BY53+BX54-CG53)))</f>
        <v>181.1537500000002</v>
      </c>
      <c r="BZ54" s="13">
        <f>BY54*VLOOKUP('Données projet'!$B$12,Paramètres!$A$1:$I$89,3,0)*VLOOKUP('Données projet'!$B$12,Paramètres!$A$1:$I$89,5,0)</f>
        <v>163.90791300000018</v>
      </c>
      <c r="CA54" s="13">
        <f t="shared" si="39"/>
        <v>41.72271436472046</v>
      </c>
      <c r="CB54" s="20">
        <f t="shared" si="10"/>
        <v>358.14000932688845</v>
      </c>
      <c r="CC54" s="59">
        <f t="shared" si="11"/>
        <v>613.92388973013522</v>
      </c>
      <c r="CD54" s="59">
        <f ca="1">AVERAGE(OFFSET($CC$3,0,0,'Données projet'!$E$12+1,1))-AVERAGE(OFFSET($H$3,0,0,'Données projet'!$E$12+1,1))</f>
        <v>681.47578137804555</v>
      </c>
      <c r="CE54" s="59">
        <f t="shared" si="40"/>
        <v>300.88511065995885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24.399935719333349</v>
      </c>
      <c r="CM54" s="21">
        <f>EXP(-LN(2)/2)*CM53+(1-EXP(-LN(2)/2))/(LN(2)/2)*CG54*CJ54*VLOOKUP('Données projet'!$B$12,Paramètres!$A$1:$I$89,3,0)*0.475*44/12</f>
        <v>4.8681348717648145</v>
      </c>
      <c r="CN54" s="22">
        <f t="shared" si="12"/>
        <v>29.268070591098166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2.8205128205128234</v>
      </c>
      <c r="CT54" s="12">
        <f>IF('Données projet'!$A$140&gt;35,CT53+CS54-DB53,IF(A54&lt;'Données projet'!$A$140,$CQ$205^A54,IF(A54='Données projet'!$A$140,'Données projet'!$B$140,CT53+CS54-DB53)))</f>
        <v>84.871794871794862</v>
      </c>
      <c r="CU54" s="17">
        <f>CT54*VLOOKUP('Données projet'!$B$13,Paramètres!$A$1:$I$89,3,0)*VLOOKUP('Données projet'!$B$13,Paramètres!$A$1:$I$89,5,0)</f>
        <v>68.847999999999999</v>
      </c>
      <c r="CV54" s="13">
        <f t="shared" si="41"/>
        <v>19.387099665751713</v>
      </c>
      <c r="CW54" s="20">
        <f t="shared" si="13"/>
        <v>153.67613191785088</v>
      </c>
      <c r="CX54" s="59">
        <f t="shared" si="14"/>
        <v>409.46001232109768</v>
      </c>
      <c r="CY54" s="59">
        <f ca="1">AVERAGE(OFFSET($CX$3,0,0,'Données projet'!$E$13+1,1))-AVERAGE(OFFSET($H$3,0,0,'Données projet'!$E$13+1,1))</f>
        <v>186.54446846714993</v>
      </c>
      <c r="CZ54" s="59">
        <f t="shared" si="42"/>
        <v>154.43773051601286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2.8640765787088549</v>
      </c>
      <c r="DH54" s="21">
        <f>EXP(-LN(2)/2)*DH53+(1-EXP(-LN(2)/2))/(LN(2)/2)*DB54*DE54*VLOOKUP('Données projet'!$B$13,Paramètres!$A$1:$I$89,3,0)*0.475*44/12</f>
        <v>1.1555158627246631</v>
      </c>
      <c r="DI54" s="22">
        <f t="shared" si="15"/>
        <v>4.0195924414335185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6.9862500000000018</v>
      </c>
      <c r="DO54" s="12">
        <f>IF('Données projet'!$A$166&gt;35,DO53+DN54-DW53,IF(A54&lt;'Données projet'!$A$166,$DL$205^A54,IF(A54='Données projet'!$A$166,'Données projet'!$B$166,DO53+DN54-DW53)))</f>
        <v>122.16500000000001</v>
      </c>
      <c r="DP54" s="17">
        <f>DO54*VLOOKUP('Données projet'!$B$14,Paramètres!$A$1:$I$89,3,0)*VLOOKUP('Données projet'!$B$14,Paramètres!$A$1:$I$89,5,0)</f>
        <v>139.12150200000002</v>
      </c>
      <c r="DQ54" s="13">
        <f t="shared" si="43"/>
        <v>36.095680269376004</v>
      </c>
      <c r="DR54" s="20">
        <f t="shared" si="16"/>
        <v>305.16992578582989</v>
      </c>
      <c r="DS54" s="59">
        <f t="shared" si="17"/>
        <v>560.95380618907666</v>
      </c>
      <c r="DT54" s="59">
        <f ca="1">AVERAGE(OFFSET($DS$3,0,0,'Données projet'!$E$14+1,1))-AVERAGE(OFFSET($H$3,0,0,'Données projet'!$E$14+1,1))</f>
        <v>651.35546372812314</v>
      </c>
      <c r="DU54" s="59">
        <f t="shared" si="44"/>
        <v>293.6561676213388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20.867506251314257</v>
      </c>
      <c r="EC54" s="21">
        <f>EXP(-LN(2)/2)*EC53+(1-EXP(-LN(2)/2))/(LN(2)/2)*DW54*DZ54*VLOOKUP('Données projet'!$B$14,Paramètres!$A$1:$I$89,3,0)*0.475*44/12</f>
        <v>2.9038050370779462</v>
      </c>
      <c r="ED54" s="22">
        <f t="shared" si="18"/>
        <v>23.771311288392205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3.9743589743589753</v>
      </c>
      <c r="EJ54" s="12">
        <f>IF('Données projet'!$A$192&gt;35,EJ53+EI54-ER53,IF(A54&lt;'Données projet'!$A$192,$EG$205^A54,IF(A54='Données projet'!$A$192,'Données projet'!$B$192,EJ53+EI54-ER53)))</f>
        <v>112.94871794871796</v>
      </c>
      <c r="EK54" s="17">
        <f>EJ54*VLOOKUP('Données projet'!$B$15,Paramètres!$A$1:$I$89,3,0)*VLOOKUP('Données projet'!$B$15,Paramètres!$A$1:$I$89,5,0)</f>
        <v>118.05400000000003</v>
      </c>
      <c r="EL54" s="13">
        <f t="shared" si="45"/>
        <v>31.220695774110773</v>
      </c>
      <c r="EM54" s="20">
        <f t="shared" si="19"/>
        <v>259.98676180657628</v>
      </c>
      <c r="EN54" s="59">
        <f t="shared" si="20"/>
        <v>515.77064220982311</v>
      </c>
      <c r="EO54" s="59">
        <f ca="1">AVERAGE(OFFSET($EN$3,0,0,'Données projet'!$E$15+1,1))-AVERAGE(OFFSET($H$3,0,0,'Données projet'!$E$15+1,1))</f>
        <v>290.69667785754848</v>
      </c>
      <c r="EP54" s="59">
        <f t="shared" si="46"/>
        <v>256.28124185489082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0</v>
      </c>
      <c r="EW54" s="21">
        <f>EXP(-LN(2)/25)*EW53+(1-EXP(-LN(2)/25))/(LN(2)/25)*Calculateur!ER54*Calculateur!ET54*VLOOKUP('Données projet'!$B$15,Paramètres!$A$1:$I$89,3,0)*0.475*44/12</f>
        <v>17.980808030140221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17.980808030140221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10.36375</v>
      </c>
      <c r="N55" s="13">
        <f>IF('Données projet'!$A$36&gt;35,N54+M55-V54,IF(A55&lt;'Données projet'!$A$36,$K$205^A55,IF(A55='Données projet'!$A$36,'Données projet'!$B$36,N54+M55-V54)))</f>
        <v>191.51750000000021</v>
      </c>
      <c r="O55" s="13">
        <f>N55*VLOOKUP('Données projet'!$B$9,Paramètres!$A$1:$I$89,3,0)*VLOOKUP('Données projet'!$B$9,Paramètres!$A$1:$I$89,5,0)</f>
        <v>194.19874500000023</v>
      </c>
      <c r="P55" s="13">
        <f t="shared" si="33"/>
        <v>48.467051557519213</v>
      </c>
      <c r="Q55" s="20">
        <f t="shared" si="53"/>
        <v>422.64292900434634</v>
      </c>
      <c r="R55" s="59">
        <f t="shared" si="0"/>
        <v>679.0782084679297</v>
      </c>
      <c r="S55" s="59">
        <f ca="1">AVERAGE(OFFSET($R$3,0,0,'Données projet'!$E$9+1,1))-AVERAGE(OFFSET($H$3,0,0,'Données projet'!$E$9+1,1))</f>
        <v>752.45542076695506</v>
      </c>
      <c r="T55" s="59">
        <f t="shared" si="34"/>
        <v>329.70629768420724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26.59701176908338</v>
      </c>
      <c r="AB55" s="21">
        <f>EXP(-LN(2)/2)*AB54+(1-EXP(-LN(2)/2))/(LN(2)/2)*V55*Y55*VLOOKUP('Données projet'!$B$9,Paramètres!$A$1:$I$89,3,0)*0.475*44/12</f>
        <v>3.8577401150192121</v>
      </c>
      <c r="AC55" s="22">
        <f t="shared" si="3"/>
        <v>30.454751884102592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7.4</v>
      </c>
      <c r="AI55" s="13">
        <f>IF('Données projet'!$A$62&gt;35,AI54+AH55-AQ54,IF(A55&lt;'Données projet'!$A$62,$AF$205^A55,IF(A55='Données projet'!$A$62,'Données projet'!$B$62,AI54+AH55-AQ54)))</f>
        <v>256.8</v>
      </c>
      <c r="AJ55" s="13">
        <f>AI55*VLOOKUP('Données projet'!$B$10,Paramètres!$A$1:$I$89,3,0)*VLOOKUP('Données projet'!$B$10,Paramètres!$A$1:$I$89,5,0)</f>
        <v>224.34048000000004</v>
      </c>
      <c r="AK55" s="13">
        <f t="shared" si="35"/>
        <v>55.057192232003722</v>
      </c>
      <c r="AL55" s="20">
        <f t="shared" si="4"/>
        <v>486.61761247073986</v>
      </c>
      <c r="AM55" s="59">
        <f t="shared" si="5"/>
        <v>743.05289193432327</v>
      </c>
      <c r="AN55" s="59">
        <f ca="1">AVERAGE(OFFSET($AM$3,0,0,'Données projet'!$E$10+1,1))-AVERAGE(OFFSET($H$3,0,0,'Données projet'!$E$10+1,1))</f>
        <v>408.246209980743</v>
      </c>
      <c r="AO55" s="59">
        <f t="shared" si="36"/>
        <v>394.10236303013903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14.636840892480116</v>
      </c>
      <c r="AV55" s="21">
        <f>EXP(-LN(2)/25)*AV54+(1-EXP(-LN(2)/25))/(LN(2)/25)*Calculateur!AQ55*Calculateur!AS55*VLOOKUP('Données projet'!$B$10,Paramètres!$A$1:$I$89,3,0)*0.475*44/12</f>
        <v>18.626457839476156</v>
      </c>
      <c r="AW55" s="21">
        <f>EXP(-LN(2)/2)*AW54+(1-EXP(-LN(2)/2))/(LN(2)/2)*AQ55*AT55*VLOOKUP('Données projet'!$B$10,Paramètres!$A$1:$I$89,3,0)*0.475*44/12</f>
        <v>2.5316481559513022</v>
      </c>
      <c r="AX55" s="21">
        <f t="shared" si="6"/>
        <v>35.794946887907571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10.36375</v>
      </c>
      <c r="BD55" s="12">
        <f>IF('Données projet'!$A$88&gt;35,BD54+BC55-BL54,IF(A55&lt;'Données projet'!$A$88,$BA$205^A55,IF(A55='Données projet'!$A$88,'Données projet'!$B$88,BD54+BC55-BL54)))</f>
        <v>191.51750000000021</v>
      </c>
      <c r="BE55" s="13">
        <f>BD55*VLOOKUP('Données projet'!$B$11,Paramètres!$A$1:$I$89,3,0)*VLOOKUP('Données projet'!$B$11,Paramètres!$A$1:$I$89,5,0)</f>
        <v>182.2480530000002</v>
      </c>
      <c r="BF55" s="13">
        <f t="shared" si="37"/>
        <v>45.821974675153001</v>
      </c>
      <c r="BG55" s="20">
        <f t="shared" si="7"/>
        <v>397.22196486755848</v>
      </c>
      <c r="BH55" s="59">
        <f t="shared" si="8"/>
        <v>653.65724433114178</v>
      </c>
      <c r="BI55" s="59">
        <f ca="1">AVERAGE(OFFSET($BH$3,0,0,'Données projet'!$E$11+1,1))-AVERAGE(OFFSET($H$3,0,0,'Données projet'!$E$11+1,1))</f>
        <v>711.91538686535682</v>
      </c>
      <c r="BJ55" s="59">
        <f t="shared" si="38"/>
        <v>313.24593837351722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24.960272583293637</v>
      </c>
      <c r="BR55" s="21">
        <f>EXP(-LN(2)/2)*BR54+(1-EXP(-LN(2)/2))/(LN(2)/2)*BL55*BO55*VLOOKUP('Données projet'!$B$11,Paramètres!$A$1:$I$89,3,0)*0.475*44/12</f>
        <v>3.6203407233257225</v>
      </c>
      <c r="BS55" s="22">
        <f t="shared" si="9"/>
        <v>28.580613306619359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10.36375</v>
      </c>
      <c r="BY55" s="12">
        <f>IF('Données projet'!$A$114&gt;35,BY54+BX55-CG54,IF(A55&lt;'Données projet'!$A$114,$BV$205^A55,IF(A55='Données projet'!$A$114,'Données projet'!$B$114,BY54+BX55-CG54)))</f>
        <v>191.51750000000021</v>
      </c>
      <c r="BZ55" s="13">
        <f>BY55*VLOOKUP('Données projet'!$B$12,Paramètres!$A$1:$I$89,3,0)*VLOOKUP('Données projet'!$B$12,Paramètres!$A$1:$I$89,5,0)</f>
        <v>173.28503400000019</v>
      </c>
      <c r="CA55" s="13">
        <f t="shared" si="39"/>
        <v>43.82494037101592</v>
      </c>
      <c r="CB55" s="20">
        <f t="shared" si="10"/>
        <v>378.133205362853</v>
      </c>
      <c r="CC55" s="59">
        <f t="shared" si="11"/>
        <v>634.56848482643636</v>
      </c>
      <c r="CD55" s="59">
        <f ca="1">AVERAGE(OFFSET($CC$3,0,0,'Données projet'!$E$12+1,1))-AVERAGE(OFFSET($H$3,0,0,'Données projet'!$E$12+1,1))</f>
        <v>681.47578137804555</v>
      </c>
      <c r="CE55" s="59">
        <f t="shared" si="40"/>
        <v>300.88511065995885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23.732718193951328</v>
      </c>
      <c r="CM55" s="21">
        <f>EXP(-LN(2)/2)*CM54+(1-EXP(-LN(2)/2))/(LN(2)/2)*CG55*CJ55*VLOOKUP('Données projet'!$B$12,Paramètres!$A$1:$I$89,3,0)*0.475*44/12</f>
        <v>3.4422911795556046</v>
      </c>
      <c r="CN55" s="22">
        <f t="shared" si="12"/>
        <v>27.175009373506931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2.8205128205128234</v>
      </c>
      <c r="CT55" s="12">
        <f>IF('Données projet'!$A$140&gt;35,CT54+CS55-DB54,IF(A55&lt;'Données projet'!$A$140,$CQ$205^A55,IF(A55='Données projet'!$A$140,'Données projet'!$B$140,CT54+CS55-DB54)))</f>
        <v>87.692307692307679</v>
      </c>
      <c r="CU55" s="17">
        <f>CT55*VLOOKUP('Données projet'!$B$13,Paramètres!$A$1:$I$89,3,0)*VLOOKUP('Données projet'!$B$13,Paramètres!$A$1:$I$89,5,0)</f>
        <v>71.135999999999996</v>
      </c>
      <c r="CV55" s="13">
        <f t="shared" si="41"/>
        <v>19.955301551927469</v>
      </c>
      <c r="CW55" s="20">
        <f t="shared" si="13"/>
        <v>158.65068353627368</v>
      </c>
      <c r="CX55" s="59">
        <f t="shared" si="14"/>
        <v>415.08596299985703</v>
      </c>
      <c r="CY55" s="59">
        <f ca="1">AVERAGE(OFFSET($CX$3,0,0,'Données projet'!$E$13+1,1))-AVERAGE(OFFSET($H$3,0,0,'Données projet'!$E$13+1,1))</f>
        <v>186.54446846714993</v>
      </c>
      <c r="CZ55" s="59">
        <f t="shared" si="42"/>
        <v>154.43773051601286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2.7857582540488197</v>
      </c>
      <c r="DH55" s="21">
        <f>EXP(-LN(2)/2)*DH54+(1-EXP(-LN(2)/2))/(LN(2)/2)*DB55*DE55*VLOOKUP('Données projet'!$B$13,Paramètres!$A$1:$I$89,3,0)*0.475*44/12</f>
        <v>0.81707310230123309</v>
      </c>
      <c r="DI55" s="22">
        <f t="shared" si="15"/>
        <v>3.6028313563500527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6.9862500000000018</v>
      </c>
      <c r="DO55" s="12">
        <f>IF('Données projet'!$A$166&gt;35,DO54+DN55-DW54,IF(A55&lt;'Données projet'!$A$166,$DL$205^A55,IF(A55='Données projet'!$A$166,'Données projet'!$B$166,DO54+DN55-DW54)))</f>
        <v>129.15125</v>
      </c>
      <c r="DP55" s="17">
        <f>DO55*VLOOKUP('Données projet'!$B$14,Paramètres!$A$1:$I$89,3,0)*VLOOKUP('Données projet'!$B$14,Paramètres!$A$1:$I$89,5,0)</f>
        <v>147.07744349999999</v>
      </c>
      <c r="DQ55" s="13">
        <f t="shared" si="43"/>
        <v>37.913665524315533</v>
      </c>
      <c r="DR55" s="20">
        <f t="shared" si="16"/>
        <v>322.19284821734954</v>
      </c>
      <c r="DS55" s="59">
        <f t="shared" si="17"/>
        <v>578.62812768093295</v>
      </c>
      <c r="DT55" s="59">
        <f ca="1">AVERAGE(OFFSET($DS$3,0,0,'Données projet'!$E$14+1,1))-AVERAGE(OFFSET($H$3,0,0,'Données projet'!$E$14+1,1))</f>
        <v>651.35546372812314</v>
      </c>
      <c r="DU55" s="59">
        <f t="shared" si="44"/>
        <v>293.6561676213388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20.296883195497607</v>
      </c>
      <c r="EC55" s="21">
        <f>EXP(-LN(2)/2)*EC54+(1-EXP(-LN(2)/2))/(LN(2)/2)*DW55*DZ55*VLOOKUP('Données projet'!$B$14,Paramètres!$A$1:$I$89,3,0)*0.475*44/12</f>
        <v>2.0533002329614698</v>
      </c>
      <c r="ED55" s="22">
        <f t="shared" si="18"/>
        <v>22.350183428459076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3.9743589743589753</v>
      </c>
      <c r="EJ55" s="12">
        <f>IF('Données projet'!$A$192&gt;35,EJ54+EI55-ER54,IF(A55&lt;'Données projet'!$A$192,$EG$205^A55,IF(A55='Données projet'!$A$192,'Données projet'!$B$192,EJ54+EI55-ER54)))</f>
        <v>116.92307692307693</v>
      </c>
      <c r="EK55" s="17">
        <f>EJ55*VLOOKUP('Données projet'!$B$15,Paramètres!$A$1:$I$89,3,0)*VLOOKUP('Données projet'!$B$15,Paramètres!$A$1:$I$89,5,0)</f>
        <v>122.20800000000001</v>
      </c>
      <c r="EL55" s="13">
        <f t="shared" si="45"/>
        <v>32.189431292929825</v>
      </c>
      <c r="EM55" s="20">
        <f t="shared" si="19"/>
        <v>268.90885950185276</v>
      </c>
      <c r="EN55" s="59">
        <f t="shared" si="20"/>
        <v>525.34413896543606</v>
      </c>
      <c r="EO55" s="59">
        <f ca="1">AVERAGE(OFFSET($EN$3,0,0,'Données projet'!$E$15+1,1))-AVERAGE(OFFSET($H$3,0,0,'Données projet'!$E$15+1,1))</f>
        <v>290.69667785754848</v>
      </c>
      <c r="EP55" s="59">
        <f t="shared" si="46"/>
        <v>256.28124185489082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0</v>
      </c>
      <c r="EW55" s="21">
        <f>EXP(-LN(2)/25)*EW54+(1-EXP(-LN(2)/25))/(LN(2)/25)*Calculateur!ER55*Calculateur!ET55*VLOOKUP('Données projet'!$B$15,Paramètres!$A$1:$I$89,3,0)*0.475*44/12</f>
        <v>17.489121888986439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17.489121888986439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10.36375</v>
      </c>
      <c r="N56" s="13">
        <f>IF('Données projet'!$A$36&gt;35,N55+M56-V55,IF(A56&lt;'Données projet'!$A$36,$K$205^A56,IF(A56='Données projet'!$A$36,'Données projet'!$B$36,N55+M56-V55)))</f>
        <v>201.88125000000022</v>
      </c>
      <c r="O56" s="13">
        <f>N56*VLOOKUP('Données projet'!$B$9,Paramètres!$A$1:$I$89,3,0)*VLOOKUP('Données projet'!$B$9,Paramètres!$A$1:$I$89,5,0)</f>
        <v>204.70758750000024</v>
      </c>
      <c r="P56" s="13">
        <f t="shared" si="33"/>
        <v>50.777347948807439</v>
      </c>
      <c r="Q56" s="20">
        <f t="shared" si="53"/>
        <v>444.96959590667331</v>
      </c>
      <c r="R56" s="59">
        <f t="shared" si="0"/>
        <v>702.04497411320654</v>
      </c>
      <c r="S56" s="59">
        <f ca="1">AVERAGE(OFFSET($R$3,0,0,'Données projet'!$E$9+1,1))-AVERAGE(OFFSET($H$3,0,0,'Données projet'!$E$9+1,1))</f>
        <v>752.45542076695506</v>
      </c>
      <c r="T56" s="59">
        <f t="shared" si="34"/>
        <v>329.70629768420724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25.869715083581735</v>
      </c>
      <c r="AB56" s="21">
        <f>EXP(-LN(2)/2)*AB55+(1-EXP(-LN(2)/2))/(LN(2)/2)*V56*Y56*VLOOKUP('Données projet'!$B$9,Paramètres!$A$1:$I$89,3,0)*0.475*44/12</f>
        <v>2.7278341953854568</v>
      </c>
      <c r="AC56" s="22">
        <f t="shared" si="3"/>
        <v>28.597549278967193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7.4</v>
      </c>
      <c r="AI56" s="13">
        <f>IF('Données projet'!$A$62&gt;35,AI55+AH56-AQ55,IF(A56&lt;'Données projet'!$A$62,$AF$205^A56,IF(A56='Données projet'!$A$62,'Données projet'!$B$62,AI55+AH56-AQ55)))</f>
        <v>264.2</v>
      </c>
      <c r="AJ56" s="13">
        <f>AI56*VLOOKUP('Données projet'!$B$10,Paramètres!$A$1:$I$89,3,0)*VLOOKUP('Données projet'!$B$10,Paramètres!$A$1:$I$89,5,0)</f>
        <v>230.80512000000002</v>
      </c>
      <c r="AK56" s="13">
        <f t="shared" si="35"/>
        <v>56.456731878408327</v>
      </c>
      <c r="AL56" s="20">
        <f t="shared" si="4"/>
        <v>500.3143920215611</v>
      </c>
      <c r="AM56" s="59">
        <f t="shared" si="5"/>
        <v>757.38977022809433</v>
      </c>
      <c r="AN56" s="59">
        <f ca="1">AVERAGE(OFFSET($AM$3,0,0,'Données projet'!$E$10+1,1))-AVERAGE(OFFSET($H$3,0,0,'Données projet'!$E$10+1,1))</f>
        <v>408.246209980743</v>
      </c>
      <c r="AO56" s="59">
        <f t="shared" si="36"/>
        <v>394.10236303013903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14.349821370169998</v>
      </c>
      <c r="AV56" s="21">
        <f>EXP(-LN(2)/25)*AV55+(1-EXP(-LN(2)/25))/(LN(2)/25)*Calculateur!AQ56*Calculateur!AS56*VLOOKUP('Données projet'!$B$10,Paramètres!$A$1:$I$89,3,0)*0.475*44/12</f>
        <v>18.117116370332834</v>
      </c>
      <c r="AW56" s="21">
        <f>EXP(-LN(2)/2)*AW55+(1-EXP(-LN(2)/2))/(LN(2)/2)*AQ56*AT56*VLOOKUP('Données projet'!$B$10,Paramètres!$A$1:$I$89,3,0)*0.475*44/12</f>
        <v>1.7901455786515841</v>
      </c>
      <c r="AX56" s="21">
        <f t="shared" si="6"/>
        <v>34.257083319154411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10.36375</v>
      </c>
      <c r="BD56" s="12">
        <f>IF('Données projet'!$A$88&gt;35,BD55+BC56-BL55,IF(A56&lt;'Données projet'!$A$88,$BA$205^A56,IF(A56='Données projet'!$A$88,'Données projet'!$B$88,BD55+BC56-BL55)))</f>
        <v>201.88125000000022</v>
      </c>
      <c r="BE56" s="13">
        <f>BD56*VLOOKUP('Données projet'!$B$11,Paramètres!$A$1:$I$89,3,0)*VLOOKUP('Données projet'!$B$11,Paramètres!$A$1:$I$89,5,0)</f>
        <v>192.11019750000023</v>
      </c>
      <c r="BF56" s="13">
        <f t="shared" si="37"/>
        <v>48.00618723464968</v>
      </c>
      <c r="BG56" s="20">
        <f t="shared" si="7"/>
        <v>418.20270341284862</v>
      </c>
      <c r="BH56" s="59">
        <f t="shared" si="8"/>
        <v>675.27808161938185</v>
      </c>
      <c r="BI56" s="59">
        <f ca="1">AVERAGE(OFFSET($BH$3,0,0,'Données projet'!$E$11+1,1))-AVERAGE(OFFSET($H$3,0,0,'Données projet'!$E$11+1,1))</f>
        <v>711.91538686535682</v>
      </c>
      <c r="BJ56" s="59">
        <f t="shared" si="38"/>
        <v>313.24593837351722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24.277732616899787</v>
      </c>
      <c r="BR56" s="21">
        <f>EXP(-LN(2)/2)*BR55+(1-EXP(-LN(2)/2))/(LN(2)/2)*BL56*BO56*VLOOKUP('Données projet'!$B$11,Paramètres!$A$1:$I$89,3,0)*0.475*44/12</f>
        <v>2.5599674756694291</v>
      </c>
      <c r="BS56" s="22">
        <f t="shared" si="9"/>
        <v>26.837700092569214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10.36375</v>
      </c>
      <c r="BY56" s="12">
        <f>IF('Données projet'!$A$114&gt;35,BY55+BX56-CG55,IF(A56&lt;'Données projet'!$A$114,$BV$205^A56,IF(A56='Données projet'!$A$114,'Données projet'!$B$114,BY55+BX56-CG55)))</f>
        <v>201.88125000000022</v>
      </c>
      <c r="BZ56" s="13">
        <f>BY56*VLOOKUP('Données projet'!$B$12,Paramètres!$A$1:$I$89,3,0)*VLOOKUP('Données projet'!$B$12,Paramètres!$A$1:$I$89,5,0)</f>
        <v>182.66215500000018</v>
      </c>
      <c r="CA56" s="13">
        <f t="shared" si="39"/>
        <v>45.913959577546748</v>
      </c>
      <c r="CB56" s="20">
        <f t="shared" si="10"/>
        <v>398.10339955589421</v>
      </c>
      <c r="CC56" s="59">
        <f t="shared" si="11"/>
        <v>655.17877776242744</v>
      </c>
      <c r="CD56" s="59">
        <f ca="1">AVERAGE(OFFSET($CC$3,0,0,'Données projet'!$E$12+1,1))-AVERAGE(OFFSET($H$3,0,0,'Données projet'!$E$12+1,1))</f>
        <v>681.47578137804555</v>
      </c>
      <c r="CE56" s="59">
        <f t="shared" si="40"/>
        <v>300.88511065995885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23.08374576688832</v>
      </c>
      <c r="CM56" s="21">
        <f>EXP(-LN(2)/2)*CM55+(1-EXP(-LN(2)/2))/(LN(2)/2)*CG56*CJ56*VLOOKUP('Données projet'!$B$12,Paramètres!$A$1:$I$89,3,0)*0.475*44/12</f>
        <v>2.4340674358824077</v>
      </c>
      <c r="CN56" s="22">
        <f t="shared" si="12"/>
        <v>25.517813202770729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2.8205128205128234</v>
      </c>
      <c r="CT56" s="12">
        <f>IF('Données projet'!$A$140&gt;35,CT55+CS56-DB55,IF(A56&lt;'Données projet'!$A$140,$CQ$205^A56,IF(A56='Données projet'!$A$140,'Données projet'!$B$140,CT55+CS56-DB55)))</f>
        <v>90.512820512820497</v>
      </c>
      <c r="CU56" s="17">
        <f>CT56*VLOOKUP('Données projet'!$B$13,Paramètres!$A$1:$I$89,3,0)*VLOOKUP('Données projet'!$B$13,Paramètres!$A$1:$I$89,5,0)</f>
        <v>73.423999999999992</v>
      </c>
      <c r="CV56" s="13">
        <f t="shared" si="41"/>
        <v>20.521379760278482</v>
      </c>
      <c r="CW56" s="20">
        <f t="shared" si="13"/>
        <v>163.62153641581833</v>
      </c>
      <c r="CX56" s="59">
        <f t="shared" si="14"/>
        <v>420.69691462235153</v>
      </c>
      <c r="CY56" s="59">
        <f ca="1">AVERAGE(OFFSET($CX$3,0,0,'Données projet'!$E$13+1,1))-AVERAGE(OFFSET($H$3,0,0,'Données projet'!$E$13+1,1))</f>
        <v>186.54446846714993</v>
      </c>
      <c r="CZ56" s="59">
        <f t="shared" si="42"/>
        <v>154.43773051601286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2.709581548095195</v>
      </c>
      <c r="DH56" s="21">
        <f>EXP(-LN(2)/2)*DH55+(1-EXP(-LN(2)/2))/(LN(2)/2)*DB56*DE56*VLOOKUP('Données projet'!$B$13,Paramètres!$A$1:$I$89,3,0)*0.475*44/12</f>
        <v>0.57775793136233167</v>
      </c>
      <c r="DI56" s="22">
        <f t="shared" si="15"/>
        <v>3.2873394794575268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6.9862500000000018</v>
      </c>
      <c r="DO56" s="12">
        <f>IF('Données projet'!$A$166&gt;35,DO55+DN56-DW55,IF(A56&lt;'Données projet'!$A$166,$DL$205^A56,IF(A56='Données projet'!$A$166,'Données projet'!$B$166,DO55+DN56-DW55)))</f>
        <v>136.13750000000002</v>
      </c>
      <c r="DP56" s="17">
        <f>DO56*VLOOKUP('Données projet'!$B$14,Paramètres!$A$1:$I$89,3,0)*VLOOKUP('Données projet'!$B$14,Paramètres!$A$1:$I$89,5,0)</f>
        <v>155.03338500000004</v>
      </c>
      <c r="DQ56" s="13">
        <f t="shared" si="43"/>
        <v>39.72023393872756</v>
      </c>
      <c r="DR56" s="20">
        <f t="shared" si="16"/>
        <v>339.19588631828384</v>
      </c>
      <c r="DS56" s="59">
        <f t="shared" si="17"/>
        <v>596.27126452481707</v>
      </c>
      <c r="DT56" s="59">
        <f ca="1">AVERAGE(OFFSET($DS$3,0,0,'Données projet'!$E$14+1,1))-AVERAGE(OFFSET($H$3,0,0,'Données projet'!$E$14+1,1))</f>
        <v>651.35546372812314</v>
      </c>
      <c r="DU56" s="59">
        <f t="shared" si="44"/>
        <v>293.6561676213388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19.741863857150026</v>
      </c>
      <c r="EC56" s="21">
        <f>EXP(-LN(2)/2)*EC55+(1-EXP(-LN(2)/2))/(LN(2)/2)*DW56*DZ56*VLOOKUP('Données projet'!$B$14,Paramètres!$A$1:$I$89,3,0)*0.475*44/12</f>
        <v>1.4519025185389731</v>
      </c>
      <c r="ED56" s="22">
        <f t="shared" si="18"/>
        <v>21.193766375688998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3.9743589743589753</v>
      </c>
      <c r="EJ56" s="12">
        <f>IF('Données projet'!$A$192&gt;35,EJ55+EI56-ER55,IF(A56&lt;'Données projet'!$A$192,$EG$205^A56,IF(A56='Données projet'!$A$192,'Données projet'!$B$192,EJ55+EI56-ER55)))</f>
        <v>120.89743589743591</v>
      </c>
      <c r="EK56" s="17">
        <f>EJ56*VLOOKUP('Données projet'!$B$15,Paramètres!$A$1:$I$89,3,0)*VLOOKUP('Données projet'!$B$15,Paramètres!$A$1:$I$89,5,0)</f>
        <v>126.36200000000002</v>
      </c>
      <c r="EL56" s="13">
        <f t="shared" si="45"/>
        <v>33.15434072740662</v>
      </c>
      <c r="EM56" s="20">
        <f t="shared" si="19"/>
        <v>277.8242934335666</v>
      </c>
      <c r="EN56" s="59">
        <f t="shared" si="20"/>
        <v>534.89967164009977</v>
      </c>
      <c r="EO56" s="59">
        <f ca="1">AVERAGE(OFFSET($EN$3,0,0,'Données projet'!$E$15+1,1))-AVERAGE(OFFSET($H$3,0,0,'Données projet'!$E$15+1,1))</f>
        <v>290.69667785754848</v>
      </c>
      <c r="EP56" s="59">
        <f t="shared" si="46"/>
        <v>256.28124185489082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0</v>
      </c>
      <c r="EW56" s="21">
        <f>EXP(-LN(2)/25)*EW55+(1-EXP(-LN(2)/25))/(LN(2)/25)*Calculateur!ER56*Calculateur!ET56*VLOOKUP('Données projet'!$B$15,Paramètres!$A$1:$I$89,3,0)*0.475*44/12</f>
        <v>17.010880931219155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17.010880931219155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10.36375</v>
      </c>
      <c r="N57" s="13">
        <f>IF('Données projet'!$A$36&gt;35,N56+M57-V56,IF(A57&lt;'Données projet'!$A$36,$K$205^A57,IF(A57='Données projet'!$A$36,'Données projet'!$B$36,N56+M57-V56)))</f>
        <v>212.24500000000023</v>
      </c>
      <c r="O57" s="13">
        <f>N57*VLOOKUP('Données projet'!$B$9,Paramètres!$A$1:$I$89,3,0)*VLOOKUP('Données projet'!$B$9,Paramètres!$A$1:$I$89,5,0)</f>
        <v>215.21643000000026</v>
      </c>
      <c r="P57" s="13">
        <f t="shared" si="33"/>
        <v>53.073873953396202</v>
      </c>
      <c r="Q57" s="20">
        <f t="shared" si="53"/>
        <v>467.27227938549885</v>
      </c>
      <c r="R57" s="59">
        <f t="shared" si="0"/>
        <v>724.97665205283818</v>
      </c>
      <c r="S57" s="59">
        <f ca="1">AVERAGE(OFFSET($R$3,0,0,'Données projet'!$E$9+1,1))-AVERAGE(OFFSET($H$3,0,0,'Données projet'!$E$9+1,1))</f>
        <v>752.45542076695506</v>
      </c>
      <c r="T57" s="59">
        <f t="shared" si="34"/>
        <v>329.70629768420724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25.162306364192002</v>
      </c>
      <c r="AB57" s="21">
        <f>EXP(-LN(2)/2)*AB56+(1-EXP(-LN(2)/2))/(LN(2)/2)*V57*Y57*VLOOKUP('Données projet'!$B$9,Paramètres!$A$1:$I$89,3,0)*0.475*44/12</f>
        <v>1.9288700575096063</v>
      </c>
      <c r="AC57" s="22">
        <f t="shared" si="3"/>
        <v>27.091176421701608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7.4</v>
      </c>
      <c r="AI57" s="13">
        <f>IF('Données projet'!$A$62&gt;35,AI56+AH57-AQ56,IF(A57&lt;'Données projet'!$A$62,$AF$205^A57,IF(A57='Données projet'!$A$62,'Données projet'!$B$62,AI56+AH57-AQ56)))</f>
        <v>271.59999999999997</v>
      </c>
      <c r="AJ57" s="13">
        <f>AI57*VLOOKUP('Données projet'!$B$10,Paramètres!$A$1:$I$89,3,0)*VLOOKUP('Données projet'!$B$10,Paramètres!$A$1:$I$89,5,0)</f>
        <v>237.26976000000002</v>
      </c>
      <c r="AK57" s="13">
        <f t="shared" si="35"/>
        <v>57.851715465847946</v>
      </c>
      <c r="AL57" s="20">
        <f t="shared" si="4"/>
        <v>514.00323643635181</v>
      </c>
      <c r="AM57" s="59">
        <f t="shared" si="5"/>
        <v>771.70760910369108</v>
      </c>
      <c r="AN57" s="59">
        <f ca="1">AVERAGE(OFFSET($AM$3,0,0,'Données projet'!$E$10+1,1))-AVERAGE(OFFSET($H$3,0,0,'Données projet'!$E$10+1,1))</f>
        <v>408.246209980743</v>
      </c>
      <c r="AO57" s="59">
        <f t="shared" si="36"/>
        <v>394.10236303013903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14.06843012562776</v>
      </c>
      <c r="AV57" s="21">
        <f>EXP(-LN(2)/25)*AV56+(1-EXP(-LN(2)/25))/(LN(2)/25)*Calculateur!AQ57*Calculateur!AS57*VLOOKUP('Données projet'!$B$10,Paramètres!$A$1:$I$89,3,0)*0.475*44/12</f>
        <v>17.621702870448338</v>
      </c>
      <c r="AW57" s="21">
        <f>EXP(-LN(2)/2)*AW56+(1-EXP(-LN(2)/2))/(LN(2)/2)*AQ57*AT57*VLOOKUP('Données projet'!$B$10,Paramètres!$A$1:$I$89,3,0)*0.475*44/12</f>
        <v>1.2658240779756513</v>
      </c>
      <c r="AX57" s="21">
        <f t="shared" si="6"/>
        <v>32.955957074051753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10.36375</v>
      </c>
      <c r="BD57" s="12">
        <f>IF('Données projet'!$A$88&gt;35,BD56+BC57-BL56,IF(A57&lt;'Données projet'!$A$88,$BA$205^A57,IF(A57='Données projet'!$A$88,'Données projet'!$B$88,BD56+BC57-BL56)))</f>
        <v>212.24500000000023</v>
      </c>
      <c r="BE57" s="13">
        <f>BD57*VLOOKUP('Données projet'!$B$11,Paramètres!$A$1:$I$89,3,0)*VLOOKUP('Données projet'!$B$11,Paramètres!$A$1:$I$89,5,0)</f>
        <v>201.97234200000022</v>
      </c>
      <c r="BF57" s="13">
        <f t="shared" si="37"/>
        <v>50.177380922761891</v>
      </c>
      <c r="BG57" s="20">
        <f t="shared" si="7"/>
        <v>439.16076742381068</v>
      </c>
      <c r="BH57" s="59">
        <f t="shared" si="8"/>
        <v>696.86514009115001</v>
      </c>
      <c r="BI57" s="59">
        <f ca="1">AVERAGE(OFFSET($BH$3,0,0,'Données projet'!$E$11+1,1))-AVERAGE(OFFSET($H$3,0,0,'Données projet'!$E$11+1,1))</f>
        <v>711.91538686535682</v>
      </c>
      <c r="BJ57" s="59">
        <f t="shared" si="38"/>
        <v>313.24593837351722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23.613856741780189</v>
      </c>
      <c r="BR57" s="21">
        <f>EXP(-LN(2)/2)*BR56+(1-EXP(-LN(2)/2))/(LN(2)/2)*BL57*BO57*VLOOKUP('Données projet'!$B$11,Paramètres!$A$1:$I$89,3,0)*0.475*44/12</f>
        <v>1.8101703616628615</v>
      </c>
      <c r="BS57" s="22">
        <f t="shared" si="9"/>
        <v>25.424027103443052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10.36375</v>
      </c>
      <c r="BY57" s="12">
        <f>IF('Données projet'!$A$114&gt;35,BY56+BX57-CG56,IF(A57&lt;'Données projet'!$A$114,$BV$205^A57,IF(A57='Données projet'!$A$114,'Données projet'!$B$114,BY56+BX57-CG56)))</f>
        <v>212.24500000000023</v>
      </c>
      <c r="BZ57" s="13">
        <f>BY57*VLOOKUP('Données projet'!$B$12,Paramètres!$A$1:$I$89,3,0)*VLOOKUP('Données projet'!$B$12,Paramètres!$A$1:$I$89,5,0)</f>
        <v>192.0392760000002</v>
      </c>
      <c r="CA57" s="13">
        <f t="shared" si="39"/>
        <v>47.990527307113453</v>
      </c>
      <c r="CB57" s="20">
        <f t="shared" si="10"/>
        <v>418.05190742655623</v>
      </c>
      <c r="CC57" s="59">
        <f t="shared" si="11"/>
        <v>675.75628009389561</v>
      </c>
      <c r="CD57" s="59">
        <f ca="1">AVERAGE(OFFSET($CC$3,0,0,'Données projet'!$E$12+1,1))-AVERAGE(OFFSET($H$3,0,0,'Données projet'!$E$12+1,1))</f>
        <v>681.47578137804555</v>
      </c>
      <c r="CE57" s="59">
        <f t="shared" si="40"/>
        <v>300.88511065995885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22.452519524971329</v>
      </c>
      <c r="CM57" s="21">
        <f>EXP(-LN(2)/2)*CM56+(1-EXP(-LN(2)/2))/(LN(2)/2)*CG57*CJ57*VLOOKUP('Données projet'!$B$12,Paramètres!$A$1:$I$89,3,0)*0.475*44/12</f>
        <v>1.7211455897778025</v>
      </c>
      <c r="CN57" s="22">
        <f t="shared" si="12"/>
        <v>24.173665114749131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2.8205128205128234</v>
      </c>
      <c r="CT57" s="12">
        <f>IF('Données projet'!$A$140&gt;35,CT56+CS57-DB56,IF(A57&lt;'Données projet'!$A$140,$CQ$205^A57,IF(A57='Données projet'!$A$140,'Données projet'!$B$140,CT56+CS57-DB56)))</f>
        <v>93.333333333333314</v>
      </c>
      <c r="CU57" s="17">
        <f>CT57*VLOOKUP('Données projet'!$B$13,Paramètres!$A$1:$I$89,3,0)*VLOOKUP('Données projet'!$B$13,Paramètres!$A$1:$I$89,5,0)</f>
        <v>75.711999999999989</v>
      </c>
      <c r="CV57" s="13">
        <f t="shared" si="41"/>
        <v>21.085408061126401</v>
      </c>
      <c r="CW57" s="20">
        <f t="shared" si="13"/>
        <v>168.58881903979511</v>
      </c>
      <c r="CX57" s="59">
        <f t="shared" si="14"/>
        <v>426.29319170713444</v>
      </c>
      <c r="CY57" s="59">
        <f ca="1">AVERAGE(OFFSET($CX$3,0,0,'Données projet'!$E$13+1,1))-AVERAGE(OFFSET($H$3,0,0,'Données projet'!$E$13+1,1))</f>
        <v>186.54446846714993</v>
      </c>
      <c r="CZ57" s="59">
        <f t="shared" si="42"/>
        <v>154.43773051601286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2.635487898171831</v>
      </c>
      <c r="DH57" s="21">
        <f>EXP(-LN(2)/2)*DH56+(1-EXP(-LN(2)/2))/(LN(2)/2)*DB57*DE57*VLOOKUP('Données projet'!$B$13,Paramètres!$A$1:$I$89,3,0)*0.475*44/12</f>
        <v>0.40853655115061666</v>
      </c>
      <c r="DI57" s="22">
        <f t="shared" si="15"/>
        <v>3.0440244493224475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6.9862500000000018</v>
      </c>
      <c r="DO57" s="12">
        <f>IF('Données projet'!$A$166&gt;35,DO56+DN57-DW56,IF(A57&lt;'Données projet'!$A$166,$DL$205^A57,IF(A57='Données projet'!$A$166,'Données projet'!$B$166,DO56+DN57-DW56)))</f>
        <v>143.12375000000003</v>
      </c>
      <c r="DP57" s="17">
        <f>DO57*VLOOKUP('Données projet'!$B$14,Paramètres!$A$1:$I$89,3,0)*VLOOKUP('Données projet'!$B$14,Paramètres!$A$1:$I$89,5,0)</f>
        <v>162.98932650000003</v>
      </c>
      <c r="DQ57" s="13">
        <f t="shared" si="43"/>
        <v>41.516038232016449</v>
      </c>
      <c r="DR57" s="20">
        <f t="shared" si="16"/>
        <v>356.18017690826201</v>
      </c>
      <c r="DS57" s="59">
        <f t="shared" si="17"/>
        <v>613.88454957560134</v>
      </c>
      <c r="DT57" s="59">
        <f ca="1">AVERAGE(OFFSET($DS$3,0,0,'Données projet'!$E$14+1,1))-AVERAGE(OFFSET($H$3,0,0,'Données projet'!$E$14+1,1))</f>
        <v>651.35546372812314</v>
      </c>
      <c r="DU57" s="59">
        <f t="shared" si="44"/>
        <v>293.6561676213388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19.202021551796758</v>
      </c>
      <c r="EC57" s="21">
        <f>EXP(-LN(2)/2)*EC56+(1-EXP(-LN(2)/2))/(LN(2)/2)*DW57*DZ57*VLOOKUP('Données projet'!$B$14,Paramètres!$A$1:$I$89,3,0)*0.475*44/12</f>
        <v>1.0266501164807349</v>
      </c>
      <c r="ED57" s="22">
        <f t="shared" si="18"/>
        <v>20.228671668277492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3.9743589743589753</v>
      </c>
      <c r="EJ57" s="12">
        <f>IF('Données projet'!$A$192&gt;35,EJ56+EI57-ER56,IF(A57&lt;'Données projet'!$A$192,$EG$205^A57,IF(A57='Données projet'!$A$192,'Données projet'!$B$192,EJ56+EI57-ER56)))</f>
        <v>124.87179487179489</v>
      </c>
      <c r="EK57" s="17">
        <f>EJ57*VLOOKUP('Données projet'!$B$15,Paramètres!$A$1:$I$89,3,0)*VLOOKUP('Données projet'!$B$15,Paramètres!$A$1:$I$89,5,0)</f>
        <v>130.51600000000002</v>
      </c>
      <c r="EL57" s="13">
        <f t="shared" si="45"/>
        <v>34.115564279019615</v>
      </c>
      <c r="EM57" s="20">
        <f t="shared" si="19"/>
        <v>286.7333077859592</v>
      </c>
      <c r="EN57" s="59">
        <f t="shared" si="20"/>
        <v>544.43768045329853</v>
      </c>
      <c r="EO57" s="59">
        <f ca="1">AVERAGE(OFFSET($EN$3,0,0,'Données projet'!$E$15+1,1))-AVERAGE(OFFSET($H$3,0,0,'Données projet'!$E$15+1,1))</f>
        <v>290.69667785754848</v>
      </c>
      <c r="EP57" s="59">
        <f t="shared" si="46"/>
        <v>256.28124185489082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0</v>
      </c>
      <c r="EW57" s="21">
        <f>EXP(-LN(2)/25)*EW56+(1-EXP(-LN(2)/25))/(LN(2)/25)*Calculateur!ER57*Calculateur!ET57*VLOOKUP('Données projet'!$B$15,Paramètres!$A$1:$I$89,3,0)*0.475*44/12</f>
        <v>16.545717497591617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16.545717497591617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10.36375</v>
      </c>
      <c r="N58" s="13">
        <f>IF('Données projet'!$A$36&gt;35,N57+M58-V57,IF(A58&lt;'Données projet'!$A$36,$K$205^A58,IF(A58='Données projet'!$A$36,'Données projet'!$B$36,N57+M58-V57)))</f>
        <v>222.60875000000024</v>
      </c>
      <c r="O58" s="13">
        <f>N58*VLOOKUP('Données projet'!$B$9,Paramètres!$A$1:$I$89,3,0)*VLOOKUP('Données projet'!$B$9,Paramètres!$A$1:$I$89,5,0)</f>
        <v>225.72527250000027</v>
      </c>
      <c r="P58" s="13">
        <f t="shared" si="33"/>
        <v>55.357378715128789</v>
      </c>
      <c r="Q58" s="20">
        <f t="shared" si="53"/>
        <v>489.55228419968324</v>
      </c>
      <c r="R58" s="59">
        <f t="shared" si="0"/>
        <v>747.87473968015456</v>
      </c>
      <c r="S58" s="59">
        <f ca="1">AVERAGE(OFFSET($R$3,0,0,'Données projet'!$E$9+1,1))-AVERAGE(OFFSET($H$3,0,0,'Données projet'!$E$9+1,1))</f>
        <v>752.45542076695506</v>
      </c>
      <c r="T58" s="59">
        <f t="shared" si="34"/>
        <v>329.70629768420724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24.47424177343499</v>
      </c>
      <c r="AB58" s="21">
        <f>EXP(-LN(2)/2)*AB57+(1-EXP(-LN(2)/2))/(LN(2)/2)*V58*Y58*VLOOKUP('Données projet'!$B$9,Paramètres!$A$1:$I$89,3,0)*0.475*44/12</f>
        <v>1.3639170976927286</v>
      </c>
      <c r="AC58" s="22">
        <f t="shared" si="3"/>
        <v>25.838158871127717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279</v>
      </c>
      <c r="AG58" s="12">
        <f>VLOOKUP(A58,'Données projet'!$A$61:$I$81,9,0)</f>
        <v>7.4</v>
      </c>
      <c r="AH58" s="12">
        <f t="array" ref="AH58">INDEX(AG:AG,MIN(IF(ISNUMBER(AG58:AG254),ROW(AG58:AG254),"")))</f>
        <v>7.4</v>
      </c>
      <c r="AI58" s="13">
        <f>IF('Données projet'!$A$62&gt;35,AI57+AH58-AQ57,IF(A58&lt;'Données projet'!$A$62,$AF$205^A58,IF(A58='Données projet'!$A$62,'Données projet'!$B$62,AI57+AH58-AQ57)))</f>
        <v>278.99999999999994</v>
      </c>
      <c r="AJ58" s="13">
        <f>AI58*VLOOKUP('Données projet'!$B$10,Paramètres!$A$1:$I$89,3,0)*VLOOKUP('Données projet'!$B$10,Paramètres!$A$1:$I$89,5,0)</f>
        <v>243.73439999999997</v>
      </c>
      <c r="AK58" s="13">
        <f t="shared" si="35"/>
        <v>59.242281392848817</v>
      </c>
      <c r="AL58" s="20">
        <f t="shared" si="4"/>
        <v>527.68438675921152</v>
      </c>
      <c r="AM58" s="59">
        <f t="shared" si="5"/>
        <v>786.0068422396829</v>
      </c>
      <c r="AN58" s="59">
        <f ca="1">AVERAGE(OFFSET($AM$3,0,0,'Données projet'!$E$10+1,1))-AVERAGE(OFFSET($H$3,0,0,'Données projet'!$E$10+1,1))</f>
        <v>408.246209980743</v>
      </c>
      <c r="AO58" s="59">
        <f t="shared" si="36"/>
        <v>394.10236303013903</v>
      </c>
      <c r="AP58" s="15">
        <f>IF(ISNA(VLOOKUP(A58,'Données projet'!$A$61:$I$81,3,0)),0,VLOOKUP(A58,'Données projet'!$A$61:$I$81,3,0))</f>
        <v>9</v>
      </c>
      <c r="AQ58" s="15">
        <f>IF(ISNA(VLOOKUP(A58,'Données projet'!$A$61:$I$81,4,0)),0,VLOOKUP(A58,'Données projet'!$A$61:$I$81,4,0))</f>
        <v>16</v>
      </c>
      <c r="AR58" s="16">
        <f>IF(ISNA(VLOOKUP(A58,'Données projet'!$A$61:$I$81,5,0)),0%,VLOOKUP(A58,'Données projet'!$A$61:$I$81,5,0)*VLOOKUP('Données projet'!$B$10,Paramètres!$A$1:$I$89,7,0))</f>
        <v>0.13250000000000001</v>
      </c>
      <c r="AS58" s="16">
        <f>IF(ISNA(VLOOKUP(A58,'Données projet'!$A$61:$I$81,6,0)),0%,VLOOKUP(A58,'Données projet'!$A$61:$I$81,6,0)*VLOOKUP('Données projet'!$B$10,Paramètres!$A$1:$I$89,7,0))</f>
        <v>0.13250000000000001</v>
      </c>
      <c r="AT58" s="16">
        <f>IF(ISNA(VLOOKUP(A58,'Données projet'!$A$61:$I$81,7,0)),0%,VLOOKUP(A58,'Données projet'!$A$61:$I$81,7,0))</f>
        <v>0.25</v>
      </c>
      <c r="AU58" s="21">
        <f>EXP(-LN(2)/35)*AU57+(1-EXP(-LN(2)/35))/(LN(2)/35)*AQ58*AR58*VLOOKUP('Données projet'!$B$10,Paramètres!$A$1:$I$89,3,0)*0.475*44/12</f>
        <v>15.839923309706451</v>
      </c>
      <c r="AV58" s="21">
        <f>EXP(-LN(2)/25)*AV57+(1-EXP(-LN(2)/25))/(LN(2)/25)*Calculateur!AQ58*Calculateur!AS58*VLOOKUP('Données projet'!$B$10,Paramètres!$A$1:$I$89,3,0)*0.475*44/12</f>
        <v>19.179141734629059</v>
      </c>
      <c r="AW58" s="21">
        <f>EXP(-LN(2)/2)*AW57+(1-EXP(-LN(2)/2))/(LN(2)/2)*AQ58*AT58*VLOOKUP('Données projet'!$B$10,Paramètres!$A$1:$I$89,3,0)*0.475*44/12</f>
        <v>4.1921332397228612</v>
      </c>
      <c r="AX58" s="21">
        <f t="shared" si="6"/>
        <v>39.211198284058376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10.36375</v>
      </c>
      <c r="BD58" s="12">
        <f>IF('Données projet'!$A$88&gt;35,BD57+BC58-BL57,IF(A58&lt;'Données projet'!$A$88,$BA$205^A58,IF(A58='Données projet'!$A$88,'Données projet'!$B$88,BD57+BC58-BL57)))</f>
        <v>222.60875000000024</v>
      </c>
      <c r="BE58" s="13">
        <f>BD58*VLOOKUP('Données projet'!$B$11,Paramètres!$A$1:$I$89,3,0)*VLOOKUP('Données projet'!$B$11,Paramètres!$A$1:$I$89,5,0)</f>
        <v>211.83448650000022</v>
      </c>
      <c r="BF58" s="13">
        <f t="shared" si="37"/>
        <v>52.336263999000323</v>
      </c>
      <c r="BG58" s="20">
        <f t="shared" si="7"/>
        <v>460.09739045242594</v>
      </c>
      <c r="BH58" s="59">
        <f t="shared" si="8"/>
        <v>718.41984593289726</v>
      </c>
      <c r="BI58" s="59">
        <f ca="1">AVERAGE(OFFSET($BH$3,0,0,'Données projet'!$E$11+1,1))-AVERAGE(OFFSET($H$3,0,0,'Données projet'!$E$11+1,1))</f>
        <v>711.91538686535682</v>
      </c>
      <c r="BJ58" s="59">
        <f t="shared" si="38"/>
        <v>313.24593837351722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22.968134587377456</v>
      </c>
      <c r="BR58" s="21">
        <f>EXP(-LN(2)/2)*BR57+(1-EXP(-LN(2)/2))/(LN(2)/2)*BL58*BO58*VLOOKUP('Données projet'!$B$11,Paramètres!$A$1:$I$89,3,0)*0.475*44/12</f>
        <v>1.2799837378347148</v>
      </c>
      <c r="BS58" s="22">
        <f t="shared" si="9"/>
        <v>24.248118325212172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10.36375</v>
      </c>
      <c r="BY58" s="12">
        <f>IF('Données projet'!$A$114&gt;35,BY57+BX58-CG57,IF(A58&lt;'Données projet'!$A$114,$BV$205^A58,IF(A58='Données projet'!$A$114,'Données projet'!$B$114,BY57+BX58-CG57)))</f>
        <v>222.60875000000024</v>
      </c>
      <c r="BZ58" s="13">
        <f>BY58*VLOOKUP('Données projet'!$B$12,Paramètres!$A$1:$I$89,3,0)*VLOOKUP('Données projet'!$B$12,Paramètres!$A$1:$I$89,5,0)</f>
        <v>201.41639700000019</v>
      </c>
      <c r="CA58" s="13">
        <f t="shared" si="39"/>
        <v>50.055320951535919</v>
      </c>
      <c r="CB58" s="20">
        <f t="shared" si="10"/>
        <v>437.97990876559203</v>
      </c>
      <c r="CC58" s="59">
        <f t="shared" si="11"/>
        <v>696.30236424606346</v>
      </c>
      <c r="CD58" s="59">
        <f ca="1">AVERAGE(OFFSET($CC$3,0,0,'Données projet'!$E$12+1,1))-AVERAGE(OFFSET($H$3,0,0,'Données projet'!$E$12+1,1))</f>
        <v>681.47578137804555</v>
      </c>
      <c r="CE58" s="59">
        <f t="shared" si="40"/>
        <v>300.88511065995885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21.838554197834302</v>
      </c>
      <c r="CM58" s="21">
        <f>EXP(-LN(2)/2)*CM57+(1-EXP(-LN(2)/2))/(LN(2)/2)*CG58*CJ58*VLOOKUP('Données projet'!$B$12,Paramètres!$A$1:$I$89,3,0)*0.475*44/12</f>
        <v>1.2170337179412041</v>
      </c>
      <c r="CN58" s="22">
        <f t="shared" si="12"/>
        <v>23.055587915775504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96.15384615384616</v>
      </c>
      <c r="CR58" s="12">
        <f>VLOOKUP(A58,'Données projet'!$A$139:$I$159,9,0)</f>
        <v>2.8205128205128234</v>
      </c>
      <c r="CS58" s="12">
        <f t="array" ref="CS58">INDEX(CR:CR,MIN(IF(ISNUMBER(CR58:CR254),ROW(CR58:CR254),"")))</f>
        <v>2.8205128205128234</v>
      </c>
      <c r="CT58" s="12">
        <f>IF('Données projet'!$A$140&gt;35,CT57+CS58-DB57,IF(A58&lt;'Données projet'!$A$140,$CQ$205^A58,IF(A58='Données projet'!$A$140,'Données projet'!$B$140,CT57+CS58-DB57)))</f>
        <v>96.153846153846132</v>
      </c>
      <c r="CU58" s="17">
        <f>CT58*VLOOKUP('Données projet'!$B$13,Paramètres!$A$1:$I$89,3,0)*VLOOKUP('Données projet'!$B$13,Paramètres!$A$1:$I$89,5,0)</f>
        <v>77.999999999999986</v>
      </c>
      <c r="CV58" s="13">
        <f t="shared" si="41"/>
        <v>21.647455512768612</v>
      </c>
      <c r="CW58" s="20">
        <f t="shared" si="13"/>
        <v>173.55265168473863</v>
      </c>
      <c r="CX58" s="59">
        <f t="shared" si="14"/>
        <v>431.87510716521001</v>
      </c>
      <c r="CY58" s="59">
        <f ca="1">AVERAGE(OFFSET($CX$3,0,0,'Données projet'!$E$13+1,1))-AVERAGE(OFFSET($H$3,0,0,'Données projet'!$E$13+1,1))</f>
        <v>186.54446846714993</v>
      </c>
      <c r="CZ58" s="59">
        <f t="shared" si="42"/>
        <v>154.43773051601286</v>
      </c>
      <c r="DA58" s="15">
        <f>IF(ISNA(VLOOKUP(A58,'Données projet'!$A$139:$I$159,3,0)),0,VLOOKUP(A58,'Données projet'!$A$139:$I$159,3,0))</f>
        <v>9</v>
      </c>
      <c r="DB58" s="15">
        <f>IF(ISNA(VLOOKUP(A58,'Données projet'!$A$139:$I$159,4,0)),0,VLOOKUP(A58,'Données projet'!$A$139:$I$159,4,0))</f>
        <v>7.0512820512820511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0.1075</v>
      </c>
      <c r="DE58" s="16">
        <f>IF(ISNA(VLOOKUP(A58,'Données projet'!$A$139:$I$159,7,0)),0%,VLOOKUP(A58,'Données projet'!$A$139:$I$159,7,0))</f>
        <v>0.25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3.2404976299102612</v>
      </c>
      <c r="DH58" s="21">
        <f>EXP(-LN(2)/2)*DH57+(1-EXP(-LN(2)/2))/(LN(2)/2)*DB58*DE58*VLOOKUP('Données projet'!$B$13,Paramètres!$A$1:$I$89,3,0)*0.475*44/12</f>
        <v>1.6381224535668713</v>
      </c>
      <c r="DI58" s="22">
        <f t="shared" si="15"/>
        <v>4.8786200834771325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150.11000000000001</v>
      </c>
      <c r="DM58" s="12">
        <f>VLOOKUP(A58,'Données projet'!$A$165:$I$185,9,0)</f>
        <v>6.9862500000000018</v>
      </c>
      <c r="DN58" s="12">
        <f t="array" ref="DN58">INDEX(DM:DM,MIN(IF(ISNUMBER(DM58:DM254),ROW(DM58:DM254),"")))</f>
        <v>6.9862500000000018</v>
      </c>
      <c r="DO58" s="12">
        <f>IF('Données projet'!$A$166&gt;35,DO57+DN58-DW57,IF(A58&lt;'Données projet'!$A$166,$DL$205^A58,IF(A58='Données projet'!$A$166,'Données projet'!$B$166,DO57+DN58-DW57)))</f>
        <v>150.11000000000004</v>
      </c>
      <c r="DP58" s="17">
        <f>DO58*VLOOKUP('Données projet'!$B$14,Paramètres!$A$1:$I$89,3,0)*VLOOKUP('Données projet'!$B$14,Paramètres!$A$1:$I$89,5,0)</f>
        <v>170.94526800000003</v>
      </c>
      <c r="DQ58" s="13">
        <f t="shared" si="43"/>
        <v>43.301663801577064</v>
      </c>
      <c r="DR58" s="20">
        <f t="shared" si="16"/>
        <v>373.14673955441344</v>
      </c>
      <c r="DS58" s="59">
        <f t="shared" si="17"/>
        <v>631.46919503488482</v>
      </c>
      <c r="DT58" s="59">
        <f ca="1">AVERAGE(OFFSET($DS$3,0,0,'Données projet'!$E$14+1,1))-AVERAGE(OFFSET($H$3,0,0,'Données projet'!$E$14+1,1))</f>
        <v>651.35546372812314</v>
      </c>
      <c r="DU58" s="59">
        <f t="shared" si="44"/>
        <v>293.6561676213388</v>
      </c>
      <c r="DV58" s="15">
        <f>IF(ISNA(VLOOKUP(A58,'Données projet'!$A$165:$I$185,3,0)),0,VLOOKUP(A58,'Données projet'!$A$165:$I$185,3,0))</f>
        <v>2</v>
      </c>
      <c r="DW58" s="15">
        <f>IF(ISNA(VLOOKUP(A58,'Données projet'!$A$165:$I$185,4,0)),0,VLOOKUP(A58,'Données projet'!$A$165:$I$185,4,0))</f>
        <v>37.430000000000007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0.34400000000000003</v>
      </c>
      <c r="DZ58" s="16">
        <f>IF(ISNA(VLOOKUP(A58,'Données projet'!$A$165:$I$185,7,0)),0%,VLOOKUP(A58,'Données projet'!$A$165:$I$185,7,0))</f>
        <v>0.2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34.82273798681932</v>
      </c>
      <c r="EC58" s="21">
        <f>EXP(-LN(2)/2)*EC57+(1-EXP(-LN(2)/2))/(LN(2)/2)*DW58*DZ58*VLOOKUP('Données projet'!$B$14,Paramètres!$A$1:$I$89,3,0)*0.475*44/12</f>
        <v>8.7695717986091726</v>
      </c>
      <c r="ED58" s="22">
        <f t="shared" si="18"/>
        <v>43.59230978542849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128.84615384615384</v>
      </c>
      <c r="EH58" s="12">
        <f>VLOOKUP(A58,'Données projet'!$A$191:$I$211,9,0)</f>
        <v>3.9743589743589753</v>
      </c>
      <c r="EI58" s="12">
        <f t="array" ref="EI58">INDEX(EH:EH,MIN(IF(ISNUMBER(EH58:EH254),ROW(EH58:EH254),"")))</f>
        <v>3.9743589743589753</v>
      </c>
      <c r="EJ58" s="12">
        <f>IF('Données projet'!$A$192&gt;35,EJ57+EI58-ER57,IF(A58&lt;'Données projet'!$A$192,$EG$205^A58,IF(A58='Données projet'!$A$192,'Données projet'!$B$192,EJ57+EI58-ER57)))</f>
        <v>128.84615384615387</v>
      </c>
      <c r="EK58" s="17">
        <f>EJ58*VLOOKUP('Données projet'!$B$15,Paramètres!$A$1:$I$89,3,0)*VLOOKUP('Données projet'!$B$15,Paramètres!$A$1:$I$89,5,0)</f>
        <v>134.67000000000004</v>
      </c>
      <c r="EL58" s="13">
        <f t="shared" si="45"/>
        <v>35.073232717947938</v>
      </c>
      <c r="EM58" s="20">
        <f t="shared" si="19"/>
        <v>295.63613031709275</v>
      </c>
      <c r="EN58" s="59">
        <f t="shared" si="20"/>
        <v>553.95858579756418</v>
      </c>
      <c r="EO58" s="59">
        <f ca="1">AVERAGE(OFFSET($EN$3,0,0,'Données projet'!$E$15+1,1))-AVERAGE(OFFSET($H$3,0,0,'Données projet'!$E$15+1,1))</f>
        <v>290.69667785754848</v>
      </c>
      <c r="EP58" s="59">
        <f t="shared" si="46"/>
        <v>256.28124185489082</v>
      </c>
      <c r="EQ58" s="15">
        <f>IF(ISNA(VLOOKUP(A58,'Données projet'!$A$191:$I$211,3,0)),0,VLOOKUP(A58,'Données projet'!$A$191:$I$211,3,0))</f>
        <v>8</v>
      </c>
      <c r="ER58" s="15">
        <f>IF(ISNA(VLOOKUP(A58,'Données projet'!$A$191:$I$211,4,0)),0,VLOOKUP(A58,'Données projet'!$A$191:$I$211,4,0))</f>
        <v>12.820512820512819</v>
      </c>
      <c r="ES58" s="16">
        <f>IF(ISNA(VLOOKUP(A58,'Données projet'!$A$191:$I$211,5,0)),0%,VLOOKUP(A58,'Données projet'!$A$191:$I$211,5,0)*VLOOKUP('Données projet'!$B$15,Paramètres!$A$1:$I$89,7,0))</f>
        <v>4.3000000000000003E-2</v>
      </c>
      <c r="ET58" s="16">
        <f>IF(ISNA(VLOOKUP(A58,'Données projet'!$A$191:$I$211,6,0)),0%,VLOOKUP(A58,'Données projet'!$A$191:$I$211,6,0)*VLOOKUP('Données projet'!$B$15,Paramètres!$A$1:$I$89,7,0))</f>
        <v>0.215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0.63697203268688585</v>
      </c>
      <c r="EW58" s="21">
        <f>EXP(-LN(2)/25)*EW57+(1-EXP(-LN(2)/25))/(LN(2)/25)*Calculateur!ER58*Calculateur!ET58*VLOOKUP('Données projet'!$B$15,Paramètres!$A$1:$I$89,3,0)*0.475*44/12</f>
        <v>19.265594137962633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19.902566170649518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10.36375</v>
      </c>
      <c r="N59" s="13">
        <f>IF('Données projet'!$A$36&gt;35,N58+M59-V58,IF(A59&lt;'Données projet'!$A$36,$K$205^A59,IF(A59='Données projet'!$A$36,'Données projet'!$B$36,N58+M59-V58)))</f>
        <v>232.97250000000025</v>
      </c>
      <c r="O59" s="13">
        <f>N59*VLOOKUP('Données projet'!$B$9,Paramètres!$A$1:$I$89,3,0)*VLOOKUP('Données projet'!$B$9,Paramètres!$A$1:$I$89,5,0)</f>
        <v>236.23411500000026</v>
      </c>
      <c r="P59" s="13">
        <f t="shared" si="33"/>
        <v>57.628537681562783</v>
      </c>
      <c r="Q59" s="20">
        <f t="shared" si="53"/>
        <v>511.8107867537222</v>
      </c>
      <c r="R59" s="59">
        <f t="shared" si="0"/>
        <v>770.74060269234394</v>
      </c>
      <c r="S59" s="59">
        <f ca="1">AVERAGE(OFFSET($R$3,0,0,'Données projet'!$E$9+1,1))-AVERAGE(OFFSET($H$3,0,0,'Données projet'!$E$9+1,1))</f>
        <v>752.45542076695506</v>
      </c>
      <c r="T59" s="59">
        <f t="shared" si="34"/>
        <v>329.70629768420724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23.804992345095972</v>
      </c>
      <c r="AB59" s="21">
        <f>EXP(-LN(2)/2)*AB58+(1-EXP(-LN(2)/2))/(LN(2)/2)*V59*Y59*VLOOKUP('Données projet'!$B$9,Paramètres!$A$1:$I$89,3,0)*0.475*44/12</f>
        <v>0.96443502875480325</v>
      </c>
      <c r="AC59" s="22">
        <f t="shared" si="3"/>
        <v>24.769427373850775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6.2</v>
      </c>
      <c r="AI59" s="13">
        <f>IF('Données projet'!$A$62&gt;35,AI58+AH59-AQ58,IF(A59&lt;'Données projet'!$A$62,$AF$205^A59,IF(A59='Données projet'!$A$62,'Données projet'!$B$62,AI58+AH59-AQ58)))</f>
        <v>269.19999999999993</v>
      </c>
      <c r="AJ59" s="13">
        <f>AI59*VLOOKUP('Données projet'!$B$10,Paramètres!$A$1:$I$89,3,0)*VLOOKUP('Données projet'!$B$10,Paramètres!$A$1:$I$89,5,0)</f>
        <v>235.17311999999998</v>
      </c>
      <c r="AK59" s="13">
        <f t="shared" si="35"/>
        <v>57.399778925799218</v>
      </c>
      <c r="AL59" s="20">
        <f t="shared" si="4"/>
        <v>509.56446562910031</v>
      </c>
      <c r="AM59" s="59">
        <f t="shared" si="5"/>
        <v>768.49428156772206</v>
      </c>
      <c r="AN59" s="59">
        <f ca="1">AVERAGE(OFFSET($AM$3,0,0,'Données projet'!$E$10+1,1))-AVERAGE(OFFSET($H$3,0,0,'Données projet'!$E$10+1,1))</f>
        <v>408.246209980743</v>
      </c>
      <c r="AO59" s="59">
        <f t="shared" si="36"/>
        <v>394.10236303013903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15.529312075002343</v>
      </c>
      <c r="AV59" s="21">
        <f>EXP(-LN(2)/25)*AV58+(1-EXP(-LN(2)/25))/(LN(2)/25)*Calculateur!AQ59*Calculateur!AS59*VLOOKUP('Données projet'!$B$10,Paramètres!$A$1:$I$89,3,0)*0.475*44/12</f>
        <v>18.654687095308397</v>
      </c>
      <c r="AW59" s="21">
        <f>EXP(-LN(2)/2)*AW58+(1-EXP(-LN(2)/2))/(LN(2)/2)*AQ59*AT59*VLOOKUP('Données projet'!$B$10,Paramètres!$A$1:$I$89,3,0)*0.475*44/12</f>
        <v>2.9642858414455659</v>
      </c>
      <c r="AX59" s="21">
        <f t="shared" si="6"/>
        <v>37.148285011756307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10.36375</v>
      </c>
      <c r="BD59" s="12">
        <f>IF('Données projet'!$A$88&gt;35,BD58+BC59-BL58,IF(A59&lt;'Données projet'!$A$88,$BA$205^A59,IF(A59='Données projet'!$A$88,'Données projet'!$B$88,BD58+BC59-BL58)))</f>
        <v>232.97250000000025</v>
      </c>
      <c r="BE59" s="13">
        <f>BD59*VLOOKUP('Données projet'!$B$11,Paramètres!$A$1:$I$89,3,0)*VLOOKUP('Données projet'!$B$11,Paramètres!$A$1:$I$89,5,0)</f>
        <v>221.69663100000022</v>
      </c>
      <c r="BF59" s="13">
        <f t="shared" si="37"/>
        <v>54.483475048545635</v>
      </c>
      <c r="BG59" s="20">
        <f t="shared" si="7"/>
        <v>481.0136847012173</v>
      </c>
      <c r="BH59" s="59">
        <f t="shared" si="8"/>
        <v>739.94350063983904</v>
      </c>
      <c r="BI59" s="59">
        <f ca="1">AVERAGE(OFFSET($BH$3,0,0,'Données projet'!$E$11+1,1))-AVERAGE(OFFSET($H$3,0,0,'Données projet'!$E$11+1,1))</f>
        <v>711.91538686535682</v>
      </c>
      <c r="BJ59" s="59">
        <f t="shared" si="38"/>
        <v>313.24593837351722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22.340069739243916</v>
      </c>
      <c r="BR59" s="21">
        <f>EXP(-LN(2)/2)*BR58+(1-EXP(-LN(2)/2))/(LN(2)/2)*BL59*BO59*VLOOKUP('Données projet'!$B$11,Paramètres!$A$1:$I$89,3,0)*0.475*44/12</f>
        <v>0.90508518083143097</v>
      </c>
      <c r="BS59" s="22">
        <f t="shared" si="9"/>
        <v>23.245154920075347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10.36375</v>
      </c>
      <c r="BY59" s="12">
        <f>IF('Données projet'!$A$114&gt;35,BY58+BX59-CG58,IF(A59&lt;'Données projet'!$A$114,$BV$205^A59,IF(A59='Données projet'!$A$114,'Données projet'!$B$114,BY58+BX59-CG58)))</f>
        <v>232.97250000000025</v>
      </c>
      <c r="BZ59" s="13">
        <f>BY59*VLOOKUP('Données projet'!$B$12,Paramètres!$A$1:$I$89,3,0)*VLOOKUP('Données projet'!$B$12,Paramètres!$A$1:$I$89,5,0)</f>
        <v>210.7935180000002</v>
      </c>
      <c r="CA59" s="13">
        <f t="shared" si="39"/>
        <v>52.108951264882847</v>
      </c>
      <c r="CB59" s="20">
        <f t="shared" si="10"/>
        <v>457.88846730300457</v>
      </c>
      <c r="CC59" s="59">
        <f t="shared" si="11"/>
        <v>716.81828324162632</v>
      </c>
      <c r="CD59" s="59">
        <f ca="1">AVERAGE(OFFSET($CC$3,0,0,'Données projet'!$E$12+1,1))-AVERAGE(OFFSET($H$3,0,0,'Données projet'!$E$12+1,1))</f>
        <v>681.47578137804555</v>
      </c>
      <c r="CE59" s="59">
        <f t="shared" si="40"/>
        <v>300.88511065995885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21.241377784854869</v>
      </c>
      <c r="CM59" s="21">
        <f>EXP(-LN(2)/2)*CM58+(1-EXP(-LN(2)/2))/(LN(2)/2)*CG59*CJ59*VLOOKUP('Données projet'!$B$12,Paramètres!$A$1:$I$89,3,0)*0.475*44/12</f>
        <v>0.86057279488890148</v>
      </c>
      <c r="CN59" s="22">
        <f t="shared" si="12"/>
        <v>22.101950579743772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2.6923076923076907</v>
      </c>
      <c r="CT59" s="12">
        <f>IF('Données projet'!$A$140&gt;35,CT58+CS59-DB58,IF(A59&lt;'Données projet'!$A$140,$CQ$205^A59,IF(A59='Données projet'!$A$140,'Données projet'!$B$140,CT58+CS59-DB58)))</f>
        <v>91.794871794871767</v>
      </c>
      <c r="CU59" s="17">
        <f>CT59*VLOOKUP('Données projet'!$B$13,Paramètres!$A$1:$I$89,3,0)*VLOOKUP('Données projet'!$B$13,Paramètres!$A$1:$I$89,5,0)</f>
        <v>74.463999999999984</v>
      </c>
      <c r="CV59" s="13">
        <f t="shared" si="41"/>
        <v>20.778006126410563</v>
      </c>
      <c r="CW59" s="20">
        <f t="shared" si="13"/>
        <v>165.87982733683168</v>
      </c>
      <c r="CX59" s="59">
        <f t="shared" si="14"/>
        <v>424.80964327545342</v>
      </c>
      <c r="CY59" s="59">
        <f ca="1">AVERAGE(OFFSET($CX$3,0,0,'Données projet'!$E$13+1,1))-AVERAGE(OFFSET($H$3,0,0,'Données projet'!$E$13+1,1))</f>
        <v>186.54446846714993</v>
      </c>
      <c r="CZ59" s="59">
        <f t="shared" si="42"/>
        <v>154.43773051601286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3.1518860518100009</v>
      </c>
      <c r="DH59" s="21">
        <f>EXP(-LN(2)/2)*DH58+(1-EXP(-LN(2)/2))/(LN(2)/2)*DB59*DE59*VLOOKUP('Données projet'!$B$13,Paramètres!$A$1:$I$89,3,0)*0.475*44/12</f>
        <v>1.15832749533108</v>
      </c>
      <c r="DI59" s="22">
        <f t="shared" si="15"/>
        <v>4.310213547141081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6.8699999999999974</v>
      </c>
      <c r="DO59" s="12">
        <f>IF('Données projet'!$A$166&gt;35,DO58+DN59-DW58,IF(A59&lt;'Données projet'!$A$166,$DL$205^A59,IF(A59='Données projet'!$A$166,'Données projet'!$B$166,DO58+DN59-DW58)))</f>
        <v>119.55000000000004</v>
      </c>
      <c r="DP59" s="17">
        <f>DO59*VLOOKUP('Données projet'!$B$14,Paramètres!$A$1:$I$89,3,0)*VLOOKUP('Données projet'!$B$14,Paramètres!$A$1:$I$89,5,0)</f>
        <v>136.14354000000006</v>
      </c>
      <c r="DQ59" s="13">
        <f t="shared" si="43"/>
        <v>35.412113577490643</v>
      </c>
      <c r="DR59" s="20">
        <f t="shared" si="16"/>
        <v>298.79276331412967</v>
      </c>
      <c r="DS59" s="59">
        <f t="shared" si="17"/>
        <v>557.72257925275142</v>
      </c>
      <c r="DT59" s="59">
        <f ca="1">AVERAGE(OFFSET($DS$3,0,0,'Données projet'!$E$14+1,1))-AVERAGE(OFFSET($H$3,0,0,'Données projet'!$E$14+1,1))</f>
        <v>651.35546372812314</v>
      </c>
      <c r="DU59" s="59">
        <f t="shared" si="44"/>
        <v>293.6561676213388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33.870508385321543</v>
      </c>
      <c r="EC59" s="21">
        <f>EXP(-LN(2)/2)*EC58+(1-EXP(-LN(2)/2))/(LN(2)/2)*DW59*DZ59*VLOOKUP('Données projet'!$B$14,Paramètres!$A$1:$I$89,3,0)*0.475*44/12</f>
        <v>6.2010236868988544</v>
      </c>
      <c r="ED59" s="22">
        <f t="shared" si="18"/>
        <v>40.0715320722204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3.3333333333333313</v>
      </c>
      <c r="EJ59" s="12">
        <f>IF('Données projet'!$A$192&gt;35,EJ58+EI59-ER58,IF(A59&lt;'Données projet'!$A$192,$EG$205^A59,IF(A59='Données projet'!$A$192,'Données projet'!$B$192,EJ58+EI59-ER58)))</f>
        <v>119.35897435897439</v>
      </c>
      <c r="EK59" s="17">
        <f>EJ59*VLOOKUP('Données projet'!$B$15,Paramètres!$A$1:$I$89,3,0)*VLOOKUP('Données projet'!$B$15,Paramètres!$A$1:$I$89,5,0)</f>
        <v>124.75400000000005</v>
      </c>
      <c r="EL59" s="13">
        <f t="shared" si="45"/>
        <v>32.781272112057287</v>
      </c>
      <c r="EM59" s="20">
        <f t="shared" si="19"/>
        <v>274.3739322618332</v>
      </c>
      <c r="EN59" s="59">
        <f t="shared" si="20"/>
        <v>533.30374820045495</v>
      </c>
      <c r="EO59" s="59">
        <f ca="1">AVERAGE(OFFSET($EN$3,0,0,'Données projet'!$E$15+1,1))-AVERAGE(OFFSET($H$3,0,0,'Données projet'!$E$15+1,1))</f>
        <v>290.69667785754848</v>
      </c>
      <c r="EP59" s="59">
        <f t="shared" si="46"/>
        <v>256.28124185489082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0.62448139964047333</v>
      </c>
      <c r="EW59" s="21">
        <f>EXP(-LN(2)/25)*EW58+(1-EXP(-LN(2)/25))/(LN(2)/25)*Calculateur!ER59*Calculateur!ET59*VLOOKUP('Données projet'!$B$15,Paramètres!$A$1:$I$89,3,0)*0.475*44/12</f>
        <v>18.738775453126483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19.363256852766956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10.36375</v>
      </c>
      <c r="N60" s="13">
        <f>IF('Données projet'!$A$36&gt;35,N59+M60-V59,IF(A60&lt;'Données projet'!$A$36,$K$205^A60,IF(A60='Données projet'!$A$36,'Données projet'!$B$36,N59+M60-V59)))</f>
        <v>243.33625000000026</v>
      </c>
      <c r="O60" s="13">
        <f>N60*VLOOKUP('Données projet'!$B$9,Paramètres!$A$1:$I$89,3,0)*VLOOKUP('Données projet'!$B$9,Paramètres!$A$1:$I$89,5,0)</f>
        <v>246.74295750000027</v>
      </c>
      <c r="P60" s="13">
        <f t="shared" si="33"/>
        <v>59.887962808292784</v>
      </c>
      <c r="Q60" s="20">
        <f t="shared" si="53"/>
        <v>534.04885287027707</v>
      </c>
      <c r="R60" s="59">
        <f t="shared" si="0"/>
        <v>793.57549292095473</v>
      </c>
      <c r="S60" s="59">
        <f ca="1">AVERAGE(OFFSET($R$3,0,0,'Données projet'!$E$9+1,1))-AVERAGE(OFFSET($H$3,0,0,'Données projet'!$E$9+1,1))</f>
        <v>752.45542076695506</v>
      </c>
      <c r="T60" s="59">
        <f t="shared" si="34"/>
        <v>329.70629768420724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23.154043577569183</v>
      </c>
      <c r="AB60" s="21">
        <f>EXP(-LN(2)/2)*AB59+(1-EXP(-LN(2)/2))/(LN(2)/2)*V60*Y60*VLOOKUP('Données projet'!$B$9,Paramètres!$A$1:$I$89,3,0)*0.475*44/12</f>
        <v>0.68195854884636442</v>
      </c>
      <c r="AC60" s="22">
        <f t="shared" si="3"/>
        <v>23.836002126415547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6.2</v>
      </c>
      <c r="AI60" s="13">
        <f>IF('Données projet'!$A$62&gt;35,AI59+AH60-AQ59,IF(A60&lt;'Données projet'!$A$62,$AF$205^A60,IF(A60='Données projet'!$A$62,'Données projet'!$B$62,AI59+AH60-AQ59)))</f>
        <v>275.39999999999992</v>
      </c>
      <c r="AJ60" s="13">
        <f>AI60*VLOOKUP('Données projet'!$B$10,Paramètres!$A$1:$I$89,3,0)*VLOOKUP('Données projet'!$B$10,Paramètres!$A$1:$I$89,5,0)</f>
        <v>240.58943999999994</v>
      </c>
      <c r="AK60" s="13">
        <f t="shared" si="35"/>
        <v>58.56633325847811</v>
      </c>
      <c r="AL60" s="20">
        <f t="shared" si="4"/>
        <v>521.02963842518261</v>
      </c>
      <c r="AM60" s="59">
        <f t="shared" si="5"/>
        <v>780.55627847586038</v>
      </c>
      <c r="AN60" s="59">
        <f ca="1">AVERAGE(OFFSET($AM$3,0,0,'Données projet'!$E$10+1,1))-AVERAGE(OFFSET($H$3,0,0,'Données projet'!$E$10+1,1))</f>
        <v>408.246209980743</v>
      </c>
      <c r="AO60" s="59">
        <f t="shared" si="36"/>
        <v>394.10236303013903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15.224791737156636</v>
      </c>
      <c r="AV60" s="21">
        <f>EXP(-LN(2)/25)*AV59+(1-EXP(-LN(2)/25))/(LN(2)/25)*Calculateur!AQ60*Calculateur!AS60*VLOOKUP('Données projet'!$B$10,Paramètres!$A$1:$I$89,3,0)*0.475*44/12</f>
        <v>18.144573695679831</v>
      </c>
      <c r="AW60" s="21">
        <f>EXP(-LN(2)/2)*AW59+(1-EXP(-LN(2)/2))/(LN(2)/2)*AQ60*AT60*VLOOKUP('Données projet'!$B$10,Paramètres!$A$1:$I$89,3,0)*0.475*44/12</f>
        <v>2.0960666198614311</v>
      </c>
      <c r="AX60" s="21">
        <f t="shared" si="6"/>
        <v>35.465432052697899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10.36375</v>
      </c>
      <c r="BD60" s="12">
        <f>IF('Données projet'!$A$88&gt;35,BD59+BC60-BL59,IF(A60&lt;'Données projet'!$A$88,$BA$205^A60,IF(A60='Données projet'!$A$88,'Données projet'!$B$88,BD59+BC60-BL59)))</f>
        <v>243.33625000000026</v>
      </c>
      <c r="BE60" s="13">
        <f>BD60*VLOOKUP('Données projet'!$B$11,Paramètres!$A$1:$I$89,3,0)*VLOOKUP('Données projet'!$B$11,Paramètres!$A$1:$I$89,5,0)</f>
        <v>231.55877550000022</v>
      </c>
      <c r="BF60" s="13">
        <f t="shared" si="37"/>
        <v>56.619592629673022</v>
      </c>
      <c r="BG60" s="20">
        <f t="shared" si="7"/>
        <v>501.91065782584752</v>
      </c>
      <c r="BH60" s="59">
        <f t="shared" si="8"/>
        <v>761.43729787652524</v>
      </c>
      <c r="BI60" s="59">
        <f ca="1">AVERAGE(OFFSET($BH$3,0,0,'Données projet'!$E$11+1,1))-AVERAGE(OFFSET($H$3,0,0,'Données projet'!$E$11+1,1))</f>
        <v>711.91538686535682</v>
      </c>
      <c r="BJ60" s="59">
        <f t="shared" si="38"/>
        <v>313.24593837351722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21.729179357411081</v>
      </c>
      <c r="BR60" s="21">
        <f>EXP(-LN(2)/2)*BR59+(1-EXP(-LN(2)/2))/(LN(2)/2)*BL60*BO60*VLOOKUP('Données projet'!$B$11,Paramètres!$A$1:$I$89,3,0)*0.475*44/12</f>
        <v>0.63999186891735749</v>
      </c>
      <c r="BS60" s="22">
        <f t="shared" si="9"/>
        <v>22.369171226328437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10.36375</v>
      </c>
      <c r="BY60" s="12">
        <f>IF('Données projet'!$A$114&gt;35,BY59+BX60-CG59,IF(A60&lt;'Données projet'!$A$114,$BV$205^A60,IF(A60='Données projet'!$A$114,'Données projet'!$B$114,BY59+BX60-CG59)))</f>
        <v>243.33625000000026</v>
      </c>
      <c r="BZ60" s="13">
        <f>BY60*VLOOKUP('Données projet'!$B$12,Paramètres!$A$1:$I$89,3,0)*VLOOKUP('Données projet'!$B$12,Paramètres!$A$1:$I$89,5,0)</f>
        <v>220.17063900000025</v>
      </c>
      <c r="CA60" s="13">
        <f t="shared" si="39"/>
        <v>54.151971590437505</v>
      </c>
      <c r="CB60" s="20">
        <f t="shared" si="10"/>
        <v>477.7785467783458</v>
      </c>
      <c r="CC60" s="59">
        <f t="shared" si="11"/>
        <v>737.30518682902357</v>
      </c>
      <c r="CD60" s="59">
        <f ca="1">AVERAGE(OFFSET($CC$3,0,0,'Données projet'!$E$12+1,1))-AVERAGE(OFFSET($H$3,0,0,'Données projet'!$E$12+1,1))</f>
        <v>681.47578137804555</v>
      </c>
      <c r="CE60" s="59">
        <f t="shared" si="40"/>
        <v>300.88511065995885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20.660531192292503</v>
      </c>
      <c r="CM60" s="21">
        <f>EXP(-LN(2)/2)*CM59+(1-EXP(-LN(2)/2))/(LN(2)/2)*CG60*CJ60*VLOOKUP('Données projet'!$B$12,Paramètres!$A$1:$I$89,3,0)*0.475*44/12</f>
        <v>0.60851685897060215</v>
      </c>
      <c r="CN60" s="22">
        <f t="shared" si="12"/>
        <v>21.269048051263105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2.6923076923076907</v>
      </c>
      <c r="CT60" s="12">
        <f>IF('Données projet'!$A$140&gt;35,CT59+CS60-DB59,IF(A60&lt;'Données projet'!$A$140,$CQ$205^A60,IF(A60='Données projet'!$A$140,'Données projet'!$B$140,CT59+CS60-DB59)))</f>
        <v>94.487179487179461</v>
      </c>
      <c r="CU60" s="17">
        <f>CT60*VLOOKUP('Données projet'!$B$13,Paramètres!$A$1:$I$89,3,0)*VLOOKUP('Données projet'!$B$13,Paramètres!$A$1:$I$89,5,0)</f>
        <v>76.647999999999982</v>
      </c>
      <c r="CV60" s="13">
        <f t="shared" si="41"/>
        <v>21.315572215122746</v>
      </c>
      <c r="CW60" s="20">
        <f t="shared" si="13"/>
        <v>170.61988827467206</v>
      </c>
      <c r="CX60" s="59">
        <f t="shared" si="14"/>
        <v>430.14652832534978</v>
      </c>
      <c r="CY60" s="59">
        <f ca="1">AVERAGE(OFFSET($CX$3,0,0,'Données projet'!$E$13+1,1))-AVERAGE(OFFSET($H$3,0,0,'Données projet'!$E$13+1,1))</f>
        <v>186.54446846714993</v>
      </c>
      <c r="CZ60" s="59">
        <f t="shared" si="42"/>
        <v>154.43773051601286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3.0656975619727729</v>
      </c>
      <c r="DH60" s="21">
        <f>EXP(-LN(2)/2)*DH59+(1-EXP(-LN(2)/2))/(LN(2)/2)*DB60*DE60*VLOOKUP('Données projet'!$B$13,Paramètres!$A$1:$I$89,3,0)*0.475*44/12</f>
        <v>0.81906122678343574</v>
      </c>
      <c r="DI60" s="22">
        <f t="shared" si="15"/>
        <v>3.8847587887562085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6.8699999999999974</v>
      </c>
      <c r="DO60" s="12">
        <f>IF('Données projet'!$A$166&gt;35,DO59+DN60-DW59,IF(A60&lt;'Données projet'!$A$166,$DL$205^A60,IF(A60='Données projet'!$A$166,'Données projet'!$B$166,DO59+DN60-DW59)))</f>
        <v>126.42000000000004</v>
      </c>
      <c r="DP60" s="17">
        <f>DO60*VLOOKUP('Données projet'!$B$14,Paramètres!$A$1:$I$89,3,0)*VLOOKUP('Données projet'!$B$14,Paramètres!$A$1:$I$89,5,0)</f>
        <v>143.96709600000005</v>
      </c>
      <c r="DQ60" s="13">
        <f t="shared" si="43"/>
        <v>37.204328269240051</v>
      </c>
      <c r="DR60" s="20">
        <f t="shared" si="16"/>
        <v>315.54023060225984</v>
      </c>
      <c r="DS60" s="59">
        <f t="shared" si="17"/>
        <v>575.0668706529375</v>
      </c>
      <c r="DT60" s="59">
        <f ca="1">AVERAGE(OFFSET($DS$3,0,0,'Données projet'!$E$14+1,1))-AVERAGE(OFFSET($H$3,0,0,'Données projet'!$E$14+1,1))</f>
        <v>651.35546372812314</v>
      </c>
      <c r="DU60" s="59">
        <f t="shared" si="44"/>
        <v>293.6561676213388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32.944317552352302</v>
      </c>
      <c r="EC60" s="21">
        <f>EXP(-LN(2)/2)*EC59+(1-EXP(-LN(2)/2))/(LN(2)/2)*DW60*DZ60*VLOOKUP('Données projet'!$B$14,Paramètres!$A$1:$I$89,3,0)*0.475*44/12</f>
        <v>4.3847858993045872</v>
      </c>
      <c r="ED60" s="22">
        <f t="shared" si="18"/>
        <v>37.329103451656891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3.3333333333333313</v>
      </c>
      <c r="EJ60" s="12">
        <f>IF('Données projet'!$A$192&gt;35,EJ59+EI60-ER59,IF(A60&lt;'Données projet'!$A$192,$EG$205^A60,IF(A60='Données projet'!$A$192,'Données projet'!$B$192,EJ59+EI60-ER59)))</f>
        <v>122.69230769230772</v>
      </c>
      <c r="EK60" s="17">
        <f>EJ60*VLOOKUP('Données projet'!$B$15,Paramètres!$A$1:$I$89,3,0)*VLOOKUP('Données projet'!$B$15,Paramètres!$A$1:$I$89,5,0)</f>
        <v>128.23800000000003</v>
      </c>
      <c r="EL60" s="13">
        <f t="shared" si="45"/>
        <v>33.588890063379708</v>
      </c>
      <c r="EM60" s="20">
        <f t="shared" si="19"/>
        <v>281.8485001937197</v>
      </c>
      <c r="EN60" s="59">
        <f t="shared" si="20"/>
        <v>541.37514024439747</v>
      </c>
      <c r="EO60" s="59">
        <f ca="1">AVERAGE(OFFSET($EN$3,0,0,'Données projet'!$E$15+1,1))-AVERAGE(OFFSET($H$3,0,0,'Données projet'!$E$15+1,1))</f>
        <v>290.69667785754848</v>
      </c>
      <c r="EP60" s="59">
        <f t="shared" si="46"/>
        <v>256.28124185489082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0.61223570028956709</v>
      </c>
      <c r="EW60" s="21">
        <f>EXP(-LN(2)/25)*EW59+(1-EXP(-LN(2)/25))/(LN(2)/25)*Calculateur!ER60*Calculateur!ET60*VLOOKUP('Données projet'!$B$15,Paramètres!$A$1:$I$89,3,0)*0.475*44/12</f>
        <v>18.226362652931368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18.838598353220934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>
        <f>VLOOKUP(A61,'Données projet'!$A$35:$I$55,2,0)</f>
        <v>253.7</v>
      </c>
      <c r="L61" s="12">
        <f>VLOOKUP(A61,'Données projet'!$A$35:$I$55,9,0)</f>
        <v>10.36375</v>
      </c>
      <c r="M61" s="12">
        <f t="array" ref="M61">INDEX(L:L,MIN(IF(ISNUMBER(L61:L257),ROW(L61:L257),"")))</f>
        <v>10.36375</v>
      </c>
      <c r="N61" s="13">
        <f>IF('Données projet'!$A$36&gt;35,N60+M61-V60,IF(A61&lt;'Données projet'!$A$36,$K$205^A61,IF(A61='Données projet'!$A$36,'Données projet'!$B$36,N60+M61-V60)))</f>
        <v>253.70000000000027</v>
      </c>
      <c r="O61" s="13">
        <f>N61*VLOOKUP('Données projet'!$B$9,Paramètres!$A$1:$I$89,3,0)*VLOOKUP('Données projet'!$B$9,Paramètres!$A$1:$I$89,5,0)</f>
        <v>257.25180000000029</v>
      </c>
      <c r="P61" s="13">
        <f t="shared" si="33"/>
        <v>62.136210975836612</v>
      </c>
      <c r="Q61" s="20">
        <f t="shared" si="53"/>
        <v>556.26745244958261</v>
      </c>
      <c r="R61" s="59">
        <f t="shared" si="0"/>
        <v>816.38056304827103</v>
      </c>
      <c r="S61" s="59">
        <f ca="1">AVERAGE(OFFSET($R$3,0,0,'Données projet'!$E$9+1,1))-AVERAGE(OFFSET($H$3,0,0,'Données projet'!$E$9+1,1))</f>
        <v>752.45542076695506</v>
      </c>
      <c r="T61" s="59">
        <f t="shared" si="34"/>
        <v>329.70629768420724</v>
      </c>
      <c r="U61" s="15">
        <f>IF(ISNA(VLOOKUP(A61,'Données projet'!$A$35:$I$55,3,0)),0,VLOOKUP(A61,'Données projet'!$A$35:$I$55,3,0))</f>
        <v>3</v>
      </c>
      <c r="V61" s="15">
        <f>IF(ISNA(VLOOKUP(A61,'Données projet'!$A$35:$I$55,4,0)),0,VLOOKUP(A61,'Données projet'!$A$35:$I$55,4,0))</f>
        <v>47.789999999999992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0.34400000000000003</v>
      </c>
      <c r="Y61" s="16">
        <f>IF(ISNA(VLOOKUP(A61,'Données projet'!$A$35:$I$55,7,0)),0%,VLOOKUP(A61,'Données projet'!$A$35:$I$55,7,0))</f>
        <v>0.2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40.876435665412025</v>
      </c>
      <c r="AB61" s="21">
        <f>EXP(-LN(2)/2)*AB60+(1-EXP(-LN(2)/2))/(LN(2)/2)*V61*Y61*VLOOKUP('Données projet'!$B$9,Paramètres!$A$1:$I$89,3,0)*0.475*44/12</f>
        <v>9.6267029876728749</v>
      </c>
      <c r="AC61" s="22">
        <f t="shared" si="3"/>
        <v>50.503138653084903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6.2</v>
      </c>
      <c r="AI61" s="13">
        <f>IF('Données projet'!$A$62&gt;35,AI60+AH61-AQ60,IF(A61&lt;'Données projet'!$A$62,$AF$205^A61,IF(A61='Données projet'!$A$62,'Données projet'!$B$62,AI60+AH61-AQ60)))</f>
        <v>281.59999999999991</v>
      </c>
      <c r="AJ61" s="13">
        <f>AI61*VLOOKUP('Données projet'!$B$10,Paramètres!$A$1:$I$89,3,0)*VLOOKUP('Données projet'!$B$10,Paramètres!$A$1:$I$89,5,0)</f>
        <v>246.00575999999995</v>
      </c>
      <c r="AK61" s="13">
        <f t="shared" si="35"/>
        <v>59.729834388897928</v>
      </c>
      <c r="AL61" s="20">
        <f t="shared" si="4"/>
        <v>532.48949356066385</v>
      </c>
      <c r="AM61" s="59">
        <f t="shared" si="5"/>
        <v>792.60260415935227</v>
      </c>
      <c r="AN61" s="59">
        <f ca="1">AVERAGE(OFFSET($AM$3,0,0,'Données projet'!$E$10+1,1))-AVERAGE(OFFSET($H$3,0,0,'Données projet'!$E$10+1,1))</f>
        <v>408.246209980743</v>
      </c>
      <c r="AO61" s="59">
        <f t="shared" si="36"/>
        <v>394.10236303013903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14.926242857397018</v>
      </c>
      <c r="AV61" s="21">
        <f>EXP(-LN(2)/25)*AV60+(1-EXP(-LN(2)/25))/(LN(2)/25)*Calculateur!AQ61*Calculateur!AS61*VLOOKUP('Données projet'!$B$10,Paramètres!$A$1:$I$89,3,0)*0.475*44/12</f>
        <v>17.648409373789807</v>
      </c>
      <c r="AW61" s="21">
        <f>EXP(-LN(2)/2)*AW60+(1-EXP(-LN(2)/2))/(LN(2)/2)*AQ61*AT61*VLOOKUP('Données projet'!$B$10,Paramètres!$A$1:$I$89,3,0)*0.475*44/12</f>
        <v>1.4821429207227834</v>
      </c>
      <c r="AX61" s="21">
        <f t="shared" si="6"/>
        <v>34.056795151909611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>
        <f>VLOOKUP(A61,'Données projet'!$A$87:$I$107,2,0)</f>
        <v>253.7</v>
      </c>
      <c r="BB61" s="12">
        <f>VLOOKUP(A61,'Données projet'!$A$87:$I$107,9,0)</f>
        <v>10.36375</v>
      </c>
      <c r="BC61" s="12">
        <f t="array" ref="BC61">INDEX(BB:BB,MIN(IF(ISNUMBER(BB61:BB257),ROW(BB61:BB257),"")))</f>
        <v>10.36375</v>
      </c>
      <c r="BD61" s="12">
        <f>IF('Données projet'!$A$88&gt;35,BD60+BC61-BL60,IF(A61&lt;'Données projet'!$A$88,$BA$205^A61,IF(A61='Données projet'!$A$88,'Données projet'!$B$88,BD60+BC61-BL60)))</f>
        <v>253.70000000000027</v>
      </c>
      <c r="BE61" s="13">
        <f>BD61*VLOOKUP('Données projet'!$B$11,Paramètres!$A$1:$I$89,3,0)*VLOOKUP('Données projet'!$B$11,Paramètres!$A$1:$I$89,5,0)</f>
        <v>241.42092000000028</v>
      </c>
      <c r="BF61" s="13">
        <f t="shared" si="37"/>
        <v>58.745143231289354</v>
      </c>
      <c r="BG61" s="20">
        <f t="shared" si="7"/>
        <v>522.78922679449613</v>
      </c>
      <c r="BH61" s="59">
        <f t="shared" si="8"/>
        <v>782.90233739318455</v>
      </c>
      <c r="BI61" s="59">
        <f ca="1">AVERAGE(OFFSET($BH$3,0,0,'Données projet'!$E$11+1,1))-AVERAGE(OFFSET($H$3,0,0,'Données projet'!$E$11+1,1))</f>
        <v>711.91538686535682</v>
      </c>
      <c r="BJ61" s="59">
        <f t="shared" si="38"/>
        <v>313.24593837351722</v>
      </c>
      <c r="BK61" s="15">
        <f>IF(ISNA(VLOOKUP(A61,'Données projet'!$A$87:$I$107,3,0)),0,VLOOKUP(A61,'Données projet'!$A$87:$I$107,3,0))</f>
        <v>3</v>
      </c>
      <c r="BL61" s="15">
        <f>IF(ISNA(VLOOKUP(A61,'Données projet'!$A$87:$I$107,4,0)),0,VLOOKUP(A61,'Données projet'!$A$87:$I$107,4,0))</f>
        <v>47.789999999999992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0.34400000000000003</v>
      </c>
      <c r="BO61" s="16">
        <f>IF(ISNA(VLOOKUP(A61,'Données projet'!$A$87:$I$107,7,0)),0%,VLOOKUP(A61,'Données projet'!$A$87:$I$107,7,0))</f>
        <v>0.2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38.360962701386669</v>
      </c>
      <c r="BR61" s="21">
        <f>EXP(-LN(2)/2)*BR60+(1-EXP(-LN(2)/2))/(LN(2)/2)*BL61*BO61*VLOOKUP('Données projet'!$B$11,Paramètres!$A$1:$I$89,3,0)*0.475*44/12</f>
        <v>9.0342904961237753</v>
      </c>
      <c r="BS61" s="22">
        <f t="shared" si="9"/>
        <v>47.395253197510442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>
        <f>VLOOKUP(A61,'Données projet'!$A$113:$I$133,2,0)</f>
        <v>253.7</v>
      </c>
      <c r="BW61" s="12">
        <f>VLOOKUP(A61,'Données projet'!$A$113:$I$133,9,0)</f>
        <v>10.36375</v>
      </c>
      <c r="BX61" s="12">
        <f t="array" ref="BX61">INDEX(BW:BW,MIN(IF(ISNUMBER(BW61:BW257),ROW(BW61:BW257),"")))</f>
        <v>10.36375</v>
      </c>
      <c r="BY61" s="12">
        <f>IF('Données projet'!$A$114&gt;35,BY60+BX61-CG60,IF(A61&lt;'Données projet'!$A$114,$BV$205^A61,IF(A61='Données projet'!$A$114,'Données projet'!$B$114,BY60+BX61-CG60)))</f>
        <v>253.70000000000027</v>
      </c>
      <c r="BZ61" s="13">
        <f>BY61*VLOOKUP('Données projet'!$B$12,Paramètres!$A$1:$I$89,3,0)*VLOOKUP('Données projet'!$B$12,Paramètres!$A$1:$I$89,5,0)</f>
        <v>229.54776000000027</v>
      </c>
      <c r="CA61" s="13">
        <f t="shared" si="39"/>
        <v>56.184885471425758</v>
      </c>
      <c r="CB61" s="20">
        <f t="shared" si="10"/>
        <v>497.651024196067</v>
      </c>
      <c r="CC61" s="59">
        <f t="shared" si="11"/>
        <v>757.76413479475536</v>
      </c>
      <c r="CD61" s="59">
        <f ca="1">AVERAGE(OFFSET($CC$3,0,0,'Données projet'!$E$12+1,1))-AVERAGE(OFFSET($H$3,0,0,'Données projet'!$E$12+1,1))</f>
        <v>681.47578137804555</v>
      </c>
      <c r="CE61" s="59">
        <f t="shared" si="40"/>
        <v>300.88511065995885</v>
      </c>
      <c r="CF61" s="15">
        <f>IF(ISNA(VLOOKUP(A61,'Données projet'!$A$113:$I$133,3,0)),0,VLOOKUP(A61,'Données projet'!$A$113:$I$133,3,0))</f>
        <v>3</v>
      </c>
      <c r="CG61" s="15">
        <f>IF(ISNA(VLOOKUP(A61,'Données projet'!$A$113:$I$133,4,0)),0,VLOOKUP(A61,'Données projet'!$A$113:$I$133,4,0))</f>
        <v>47.789999999999992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0.34400000000000003</v>
      </c>
      <c r="CJ61" s="16">
        <f>IF(ISNA(VLOOKUP(A61,'Données projet'!$A$113:$I$133,7,0)),0%,VLOOKUP(A61,'Données projet'!$A$113:$I$133,7,0))</f>
        <v>0.2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36.474357978367649</v>
      </c>
      <c r="CM61" s="21">
        <f>EXP(-LN(2)/2)*CM60+(1-EXP(-LN(2)/2))/(LN(2)/2)*CG61*CJ61*VLOOKUP('Données projet'!$B$12,Paramètres!$A$1:$I$89,3,0)*0.475*44/12</f>
        <v>8.589981127461952</v>
      </c>
      <c r="CN61" s="22">
        <f t="shared" si="12"/>
        <v>45.064339105829603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2.6923076923076907</v>
      </c>
      <c r="CT61" s="12">
        <f>IF('Données projet'!$A$140&gt;35,CT60+CS61-DB60,IF(A61&lt;'Données projet'!$A$140,$CQ$205^A61,IF(A61='Données projet'!$A$140,'Données projet'!$B$140,CT60+CS61-DB60)))</f>
        <v>97.179487179487154</v>
      </c>
      <c r="CU61" s="17">
        <f>CT61*VLOOKUP('Données projet'!$B$13,Paramètres!$A$1:$I$89,3,0)*VLOOKUP('Données projet'!$B$13,Paramètres!$A$1:$I$89,5,0)</f>
        <v>78.831999999999994</v>
      </c>
      <c r="CV61" s="13">
        <f t="shared" si="41"/>
        <v>21.851358063068435</v>
      </c>
      <c r="CW61" s="20">
        <f t="shared" si="13"/>
        <v>175.35684862651081</v>
      </c>
      <c r="CX61" s="59">
        <f t="shared" si="14"/>
        <v>435.4699592251992</v>
      </c>
      <c r="CY61" s="59">
        <f ca="1">AVERAGE(OFFSET($CX$3,0,0,'Données projet'!$E$13+1,1))-AVERAGE(OFFSET($H$3,0,0,'Données projet'!$E$13+1,1))</f>
        <v>186.54446846714993</v>
      </c>
      <c r="CZ61" s="59">
        <f t="shared" si="42"/>
        <v>154.43773051601286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2.9818659009225992</v>
      </c>
      <c r="DH61" s="21">
        <f>EXP(-LN(2)/2)*DH60+(1-EXP(-LN(2)/2))/(LN(2)/2)*DB61*DE61*VLOOKUP('Données projet'!$B$13,Paramètres!$A$1:$I$89,3,0)*0.475*44/12</f>
        <v>0.57916374766554013</v>
      </c>
      <c r="DI61" s="22">
        <f t="shared" si="15"/>
        <v>3.5610296485881392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6.8699999999999974</v>
      </c>
      <c r="DO61" s="12">
        <f>IF('Données projet'!$A$166&gt;35,DO60+DN61-DW60,IF(A61&lt;'Données projet'!$A$166,$DL$205^A61,IF(A61='Données projet'!$A$166,'Données projet'!$B$166,DO60+DN61-DW60)))</f>
        <v>133.29000000000005</v>
      </c>
      <c r="DP61" s="17">
        <f>DO61*VLOOKUP('Données projet'!$B$14,Paramètres!$A$1:$I$89,3,0)*VLOOKUP('Données projet'!$B$14,Paramètres!$A$1:$I$89,5,0)</f>
        <v>151.79065200000008</v>
      </c>
      <c r="DQ61" s="13">
        <f t="shared" si="43"/>
        <v>38.985236236051115</v>
      </c>
      <c r="DR61" s="20">
        <f t="shared" si="16"/>
        <v>332.26800534445584</v>
      </c>
      <c r="DS61" s="59">
        <f t="shared" si="17"/>
        <v>592.38111594314432</v>
      </c>
      <c r="DT61" s="59">
        <f ca="1">AVERAGE(OFFSET($DS$3,0,0,'Données projet'!$E$14+1,1))-AVERAGE(OFFSET($H$3,0,0,'Données projet'!$E$14+1,1))</f>
        <v>651.35546372812314</v>
      </c>
      <c r="DU61" s="59">
        <f t="shared" si="44"/>
        <v>293.6561676213388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32.043453456416863</v>
      </c>
      <c r="EC61" s="21">
        <f>EXP(-LN(2)/2)*EC60+(1-EXP(-LN(2)/2))/(LN(2)/2)*DW61*DZ61*VLOOKUP('Données projet'!$B$14,Paramètres!$A$1:$I$89,3,0)*0.475*44/12</f>
        <v>3.1005118434494281</v>
      </c>
      <c r="ED61" s="22">
        <f t="shared" si="18"/>
        <v>35.143965299866288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3.3333333333333313</v>
      </c>
      <c r="EJ61" s="12">
        <f>IF('Données projet'!$A$192&gt;35,EJ60+EI61-ER60,IF(A61&lt;'Données projet'!$A$192,$EG$205^A61,IF(A61='Données projet'!$A$192,'Données projet'!$B$192,EJ60+EI61-ER60)))</f>
        <v>126.02564102564105</v>
      </c>
      <c r="EK61" s="17">
        <f>EJ61*VLOOKUP('Données projet'!$B$15,Paramètres!$A$1:$I$89,3,0)*VLOOKUP('Données projet'!$B$15,Paramètres!$A$1:$I$89,5,0)</f>
        <v>131.72200000000004</v>
      </c>
      <c r="EL61" s="13">
        <f t="shared" si="45"/>
        <v>34.393957720446124</v>
      </c>
      <c r="EM61" s="20">
        <f t="shared" si="19"/>
        <v>289.31862636311035</v>
      </c>
      <c r="EN61" s="59">
        <f t="shared" si="20"/>
        <v>549.43173696179883</v>
      </c>
      <c r="EO61" s="59">
        <f ca="1">AVERAGE(OFFSET($EN$3,0,0,'Données projet'!$E$15+1,1))-AVERAGE(OFFSET($H$3,0,0,'Données projet'!$E$15+1,1))</f>
        <v>290.69667785754848</v>
      </c>
      <c r="EP61" s="59">
        <f t="shared" si="46"/>
        <v>256.28124185489082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0.60023013163379302</v>
      </c>
      <c r="EW61" s="21">
        <f>EXP(-LN(2)/25)*EW60+(1-EXP(-LN(2)/25))/(LN(2)/25)*Calculateur!ER61*Calculateur!ET61*VLOOKUP('Données projet'!$B$15,Paramètres!$A$1:$I$89,3,0)*0.475*44/12</f>
        <v>17.727961807704204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18.328191939337998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10.107499999999998</v>
      </c>
      <c r="N62" s="13">
        <f>IF('Données projet'!$A$36&gt;35,N61+M62-V61,IF(A62&lt;'Données projet'!$A$36,$K$205^A62,IF(A62='Données projet'!$A$36,'Données projet'!$B$36,N61+M62-V61)))</f>
        <v>216.0175000000003</v>
      </c>
      <c r="O62" s="13">
        <f>N62*VLOOKUP('Données projet'!$B$9,Paramètres!$A$1:$I$89,3,0)*VLOOKUP('Données projet'!$B$9,Paramètres!$A$1:$I$89,5,0)</f>
        <v>219.0417450000003</v>
      </c>
      <c r="P62" s="13">
        <f t="shared" si="33"/>
        <v>53.906560847753887</v>
      </c>
      <c r="Q62" s="20">
        <f t="shared" si="53"/>
        <v>475.38496601817178</v>
      </c>
      <c r="R62" s="59">
        <f t="shared" si="0"/>
        <v>736.07437321201451</v>
      </c>
      <c r="S62" s="59">
        <f ca="1">AVERAGE(OFFSET($R$3,0,0,'Données projet'!$E$9+1,1))-AVERAGE(OFFSET($H$3,0,0,'Données projet'!$E$9+1,1))</f>
        <v>752.45542076695506</v>
      </c>
      <c r="T62" s="59">
        <f t="shared" si="34"/>
        <v>329.70629768420724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39.758667382543003</v>
      </c>
      <c r="AB62" s="21">
        <f>EXP(-LN(2)/2)*AB61+(1-EXP(-LN(2)/2))/(LN(2)/2)*V62*Y62*VLOOKUP('Données projet'!$B$9,Paramètres!$A$1:$I$89,3,0)*0.475*44/12</f>
        <v>6.8071069630522869</v>
      </c>
      <c r="AC62" s="22">
        <f t="shared" si="3"/>
        <v>46.565774345595287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6.2</v>
      </c>
      <c r="AI62" s="13">
        <f>IF('Données projet'!$A$62&gt;35,AI61+AH62-AQ61,IF(A62&lt;'Données projet'!$A$62,$AF$205^A62,IF(A62='Données projet'!$A$62,'Données projet'!$B$62,AI61+AH62-AQ61)))</f>
        <v>287.7999999999999</v>
      </c>
      <c r="AJ62" s="13">
        <f>AI62*VLOOKUP('Données projet'!$B$10,Paramètres!$A$1:$I$89,3,0)*VLOOKUP('Données projet'!$B$10,Paramètres!$A$1:$I$89,5,0)</f>
        <v>251.42207999999994</v>
      </c>
      <c r="AK62" s="13">
        <f t="shared" si="35"/>
        <v>60.890357280401872</v>
      </c>
      <c r="AL62" s="20">
        <f t="shared" si="4"/>
        <v>543.94416159669981</v>
      </c>
      <c r="AM62" s="59">
        <f t="shared" si="5"/>
        <v>804.63356879054254</v>
      </c>
      <c r="AN62" s="59">
        <f ca="1">AVERAGE(OFFSET($AM$3,0,0,'Données projet'!$E$10+1,1))-AVERAGE(OFFSET($H$3,0,0,'Données projet'!$E$10+1,1))</f>
        <v>408.246209980743</v>
      </c>
      <c r="AO62" s="59">
        <f t="shared" si="36"/>
        <v>394.10236303013903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14.633548339072648</v>
      </c>
      <c r="AV62" s="21">
        <f>EXP(-LN(2)/25)*AV61+(1-EXP(-LN(2)/25))/(LN(2)/25)*Calculateur!AQ62*Calculateur!AS62*VLOOKUP('Données projet'!$B$10,Paramètres!$A$1:$I$89,3,0)*0.475*44/12</f>
        <v>17.165812691374011</v>
      </c>
      <c r="AW62" s="21">
        <f>EXP(-LN(2)/2)*AW61+(1-EXP(-LN(2)/2))/(LN(2)/2)*AQ62*AT62*VLOOKUP('Données projet'!$B$10,Paramètres!$A$1:$I$89,3,0)*0.475*44/12</f>
        <v>1.0480333099307158</v>
      </c>
      <c r="AX62" s="21">
        <f t="shared" si="6"/>
        <v>32.847394340377377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10.107499999999998</v>
      </c>
      <c r="BD62" s="12">
        <f>IF('Données projet'!$A$88&gt;35,BD61+BC62-BL61,IF(A62&lt;'Données projet'!$A$88,$BA$205^A62,IF(A62='Données projet'!$A$88,'Données projet'!$B$88,BD61+BC62-BL61)))</f>
        <v>216.0175000000003</v>
      </c>
      <c r="BE62" s="13">
        <f>BD62*VLOOKUP('Données projet'!$B$11,Paramètres!$A$1:$I$89,3,0)*VLOOKUP('Données projet'!$B$11,Paramètres!$A$1:$I$89,5,0)</f>
        <v>205.56225300000028</v>
      </c>
      <c r="BF62" s="13">
        <f t="shared" si="37"/>
        <v>50.964624143866644</v>
      </c>
      <c r="BG62" s="20">
        <f t="shared" si="7"/>
        <v>446.78431102556823</v>
      </c>
      <c r="BH62" s="59">
        <f t="shared" si="8"/>
        <v>707.47371821941101</v>
      </c>
      <c r="BI62" s="59">
        <f ca="1">AVERAGE(OFFSET($BH$3,0,0,'Données projet'!$E$11+1,1))-AVERAGE(OFFSET($H$3,0,0,'Données projet'!$E$11+1,1))</f>
        <v>711.91538686535682</v>
      </c>
      <c r="BJ62" s="59">
        <f t="shared" si="38"/>
        <v>313.24593837351722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37.311980159001898</v>
      </c>
      <c r="BR62" s="21">
        <f>EXP(-LN(2)/2)*BR61+(1-EXP(-LN(2)/2))/(LN(2)/2)*BL62*BO62*VLOOKUP('Données projet'!$B$11,Paramètres!$A$1:$I$89,3,0)*0.475*44/12</f>
        <v>6.3882080730183004</v>
      </c>
      <c r="BS62" s="22">
        <f t="shared" si="9"/>
        <v>43.700188232020196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10.107499999999998</v>
      </c>
      <c r="BY62" s="12">
        <f>IF('Données projet'!$A$114&gt;35,BY61+BX62-CG61,IF(A62&lt;'Données projet'!$A$114,$BV$205^A62,IF(A62='Données projet'!$A$114,'Données projet'!$B$114,BY61+BX62-CG61)))</f>
        <v>216.0175000000003</v>
      </c>
      <c r="BZ62" s="13">
        <f>BY62*VLOOKUP('Données projet'!$B$12,Paramètres!$A$1:$I$89,3,0)*VLOOKUP('Données projet'!$B$12,Paramètres!$A$1:$I$89,5,0)</f>
        <v>195.45263400000027</v>
      </c>
      <c r="CA62" s="13">
        <f t="shared" si="39"/>
        <v>48.743460533300031</v>
      </c>
      <c r="CB62" s="20">
        <f t="shared" si="10"/>
        <v>425.3081979788314</v>
      </c>
      <c r="CC62" s="59">
        <f t="shared" si="11"/>
        <v>685.99760517267418</v>
      </c>
      <c r="CD62" s="59">
        <f ca="1">AVERAGE(OFFSET($CC$3,0,0,'Données projet'!$E$12+1,1))-AVERAGE(OFFSET($H$3,0,0,'Données projet'!$E$12+1,1))</f>
        <v>681.47578137804555</v>
      </c>
      <c r="CE62" s="59">
        <f t="shared" si="40"/>
        <v>300.88511065995885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35.476964741346066</v>
      </c>
      <c r="CM62" s="21">
        <f>EXP(-LN(2)/2)*CM61+(1-EXP(-LN(2)/2))/(LN(2)/2)*CG62*CJ62*VLOOKUP('Données projet'!$B$12,Paramètres!$A$1:$I$89,3,0)*0.475*44/12</f>
        <v>6.0740339054928114</v>
      </c>
      <c r="CN62" s="22">
        <f t="shared" si="12"/>
        <v>41.550998646838877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2.6923076923076907</v>
      </c>
      <c r="CT62" s="12">
        <f>IF('Données projet'!$A$140&gt;35,CT61+CS62-DB61,IF(A62&lt;'Données projet'!$A$140,$CQ$205^A62,IF(A62='Données projet'!$A$140,'Données projet'!$B$140,CT61+CS62-DB61)))</f>
        <v>99.871794871794847</v>
      </c>
      <c r="CU62" s="17">
        <f>CT62*VLOOKUP('Données projet'!$B$13,Paramètres!$A$1:$I$89,3,0)*VLOOKUP('Données projet'!$B$13,Paramètres!$A$1:$I$89,5,0)</f>
        <v>81.015999999999991</v>
      </c>
      <c r="CV62" s="13">
        <f t="shared" si="41"/>
        <v>22.385418657388872</v>
      </c>
      <c r="CW62" s="20">
        <f t="shared" si="13"/>
        <v>180.09080416161893</v>
      </c>
      <c r="CX62" s="59">
        <f t="shared" si="14"/>
        <v>440.78021135546169</v>
      </c>
      <c r="CY62" s="59">
        <f ca="1">AVERAGE(OFFSET($CX$3,0,0,'Données projet'!$E$13+1,1))-AVERAGE(OFFSET($H$3,0,0,'Données projet'!$E$13+1,1))</f>
        <v>186.54446846714993</v>
      </c>
      <c r="CZ62" s="59">
        <f t="shared" si="42"/>
        <v>154.43773051601286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2.9003266210523582</v>
      </c>
      <c r="DH62" s="21">
        <f>EXP(-LN(2)/2)*DH61+(1-EXP(-LN(2)/2))/(LN(2)/2)*DB62*DE62*VLOOKUP('Données projet'!$B$13,Paramètres!$A$1:$I$89,3,0)*0.475*44/12</f>
        <v>0.40953061339171792</v>
      </c>
      <c r="DI62" s="22">
        <f t="shared" si="15"/>
        <v>3.3098572344440762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6.8699999999999974</v>
      </c>
      <c r="DO62" s="12">
        <f>IF('Données projet'!$A$166&gt;35,DO61+DN62-DW61,IF(A62&lt;'Données projet'!$A$166,$DL$205^A62,IF(A62='Données projet'!$A$166,'Données projet'!$B$166,DO61+DN62-DW61)))</f>
        <v>140.16000000000005</v>
      </c>
      <c r="DP62" s="17">
        <f>DO62*VLOOKUP('Données projet'!$B$14,Paramètres!$A$1:$I$89,3,0)*VLOOKUP('Données projet'!$B$14,Paramètres!$A$1:$I$89,5,0)</f>
        <v>159.61420800000008</v>
      </c>
      <c r="DQ62" s="13">
        <f t="shared" si="43"/>
        <v>40.755486722070465</v>
      </c>
      <c r="DR62" s="20">
        <f t="shared" si="16"/>
        <v>348.97721830760611</v>
      </c>
      <c r="DS62" s="59">
        <f t="shared" si="17"/>
        <v>609.66662550144883</v>
      </c>
      <c r="DT62" s="59">
        <f ca="1">AVERAGE(OFFSET($DS$3,0,0,'Données projet'!$E$14+1,1))-AVERAGE(OFFSET($H$3,0,0,'Données projet'!$E$14+1,1))</f>
        <v>651.35546372812314</v>
      </c>
      <c r="DU62" s="59">
        <f t="shared" si="44"/>
        <v>293.6561676213388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31.167223536559163</v>
      </c>
      <c r="EC62" s="21">
        <f>EXP(-LN(2)/2)*EC61+(1-EXP(-LN(2)/2))/(LN(2)/2)*DW62*DZ62*VLOOKUP('Données projet'!$B$14,Paramètres!$A$1:$I$89,3,0)*0.475*44/12</f>
        <v>2.192392949652294</v>
      </c>
      <c r="ED62" s="22">
        <f t="shared" si="18"/>
        <v>33.359616486211458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3.3333333333333313</v>
      </c>
      <c r="EJ62" s="12">
        <f>IF('Données projet'!$A$192&gt;35,EJ61+EI62-ER61,IF(A62&lt;'Données projet'!$A$192,$EG$205^A62,IF(A62='Données projet'!$A$192,'Données projet'!$B$192,EJ61+EI62-ER61)))</f>
        <v>129.35897435897439</v>
      </c>
      <c r="EK62" s="17">
        <f>EJ62*VLOOKUP('Données projet'!$B$15,Paramètres!$A$1:$I$89,3,0)*VLOOKUP('Données projet'!$B$15,Paramètres!$A$1:$I$89,5,0)</f>
        <v>135.20600000000005</v>
      </c>
      <c r="EL62" s="13">
        <f t="shared" si="45"/>
        <v>35.196550291268018</v>
      </c>
      <c r="EM62" s="20">
        <f t="shared" si="19"/>
        <v>296.78444175729186</v>
      </c>
      <c r="EN62" s="59">
        <f t="shared" si="20"/>
        <v>557.47384895113464</v>
      </c>
      <c r="EO62" s="59">
        <f ca="1">AVERAGE(OFFSET($EN$3,0,0,'Données projet'!$E$15+1,1))-AVERAGE(OFFSET($H$3,0,0,'Données projet'!$E$15+1,1))</f>
        <v>290.69667785754848</v>
      </c>
      <c r="EP62" s="59">
        <f t="shared" si="46"/>
        <v>256.28124185489082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0.58845998485668483</v>
      </c>
      <c r="EW62" s="21">
        <f>EXP(-LN(2)/25)*EW61+(1-EXP(-LN(2)/25))/(LN(2)/25)*Calculateur!ER62*Calculateur!ET62*VLOOKUP('Données projet'!$B$15,Paramètres!$A$1:$I$89,3,0)*0.475*44/12</f>
        <v>17.243189759799538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17.831649744656222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10.107499999999998</v>
      </c>
      <c r="N63" s="13">
        <f>IF('Données projet'!$A$36&gt;35,N62+M63-V62,IF(A63&lt;'Données projet'!$A$36,$K$205^A63,IF(A63='Données projet'!$A$36,'Données projet'!$B$36,N62+M63-V62)))</f>
        <v>226.12500000000028</v>
      </c>
      <c r="O63" s="13">
        <f>N63*VLOOKUP('Données projet'!$B$9,Paramètres!$A$1:$I$89,3,0)*VLOOKUP('Données projet'!$B$9,Paramètres!$A$1:$I$89,5,0)</f>
        <v>229.29075000000029</v>
      </c>
      <c r="P63" s="13">
        <f t="shared" si="33"/>
        <v>56.129297544192028</v>
      </c>
      <c r="Q63" s="20">
        <f t="shared" si="53"/>
        <v>497.1065828061349</v>
      </c>
      <c r="R63" s="59">
        <f t="shared" si="0"/>
        <v>758.36228913761238</v>
      </c>
      <c r="S63" s="59">
        <f ca="1">AVERAGE(OFFSET($R$3,0,0,'Données projet'!$E$9+1,1))-AVERAGE(OFFSET($H$3,0,0,'Données projet'!$E$9+1,1))</f>
        <v>752.45542076695506</v>
      </c>
      <c r="T63" s="59">
        <f t="shared" si="34"/>
        <v>329.70629768420724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38.671464532149919</v>
      </c>
      <c r="AB63" s="21">
        <f>EXP(-LN(2)/2)*AB62+(1-EXP(-LN(2)/2))/(LN(2)/2)*V63*Y63*VLOOKUP('Données projet'!$B$9,Paramètres!$A$1:$I$89,3,0)*0.475*44/12</f>
        <v>4.8133514938364375</v>
      </c>
      <c r="AC63" s="22">
        <f t="shared" si="3"/>
        <v>43.484816025986355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294</v>
      </c>
      <c r="AG63" s="12">
        <f>VLOOKUP(A63,'Données projet'!$A$61:$I$81,9,0)</f>
        <v>6.2</v>
      </c>
      <c r="AH63" s="12">
        <f t="array" ref="AH63">INDEX(AG:AG,MIN(IF(ISNUMBER(AG63:AG259),ROW(AG63:AG259),"")))</f>
        <v>6.2</v>
      </c>
      <c r="AI63" s="13">
        <f>IF('Données projet'!$A$62&gt;35,AI62+AH63-AQ62,IF(A63&lt;'Données projet'!$A$62,$AF$205^A63,IF(A63='Données projet'!$A$62,'Données projet'!$B$62,AI62+AH63-AQ62)))</f>
        <v>293.99999999999989</v>
      </c>
      <c r="AJ63" s="13">
        <f>AI63*VLOOKUP('Données projet'!$B$10,Paramètres!$A$1:$I$89,3,0)*VLOOKUP('Données projet'!$B$10,Paramètres!$A$1:$I$89,5,0)</f>
        <v>256.83839999999992</v>
      </c>
      <c r="AK63" s="13">
        <f t="shared" si="35"/>
        <v>62.047973482014044</v>
      </c>
      <c r="AL63" s="20">
        <f t="shared" si="4"/>
        <v>555.39376714784089</v>
      </c>
      <c r="AM63" s="59">
        <f t="shared" si="5"/>
        <v>816.64947347931843</v>
      </c>
      <c r="AN63" s="59">
        <f ca="1">AVERAGE(OFFSET($AM$3,0,0,'Données projet'!$E$10+1,1))-AVERAGE(OFFSET($H$3,0,0,'Données projet'!$E$10+1,1))</f>
        <v>408.246209980743</v>
      </c>
      <c r="AO63" s="59">
        <f t="shared" si="36"/>
        <v>394.10236303013903</v>
      </c>
      <c r="AP63" s="15">
        <f>IF(ISNA(VLOOKUP(A63,'Données projet'!$A$61:$I$81,3,0)),0,VLOOKUP(A63,'Données projet'!$A$61:$I$81,3,0))</f>
        <v>10</v>
      </c>
      <c r="AQ63" s="15">
        <f>IF(ISNA(VLOOKUP(A63,'Données projet'!$A$61:$I$81,4,0)),0,VLOOKUP(A63,'Données projet'!$A$61:$I$81,4,0))</f>
        <v>14</v>
      </c>
      <c r="AR63" s="16">
        <f>IF(ISNA(VLOOKUP(A63,'Données projet'!$A$61:$I$81,5,0)),0%,VLOOKUP(A63,'Données projet'!$A$61:$I$81,5,0)*VLOOKUP('Données projet'!$B$10,Paramètres!$A$1:$I$89,7,0))</f>
        <v>0.13250000000000001</v>
      </c>
      <c r="AS63" s="16">
        <f>IF(ISNA(VLOOKUP(A63,'Données projet'!$A$61:$I$81,6,0)),0%,VLOOKUP(A63,'Données projet'!$A$61:$I$81,6,0)*VLOOKUP('Données projet'!$B$10,Paramètres!$A$1:$I$89,7,0))</f>
        <v>0.13250000000000001</v>
      </c>
      <c r="AT63" s="16">
        <f>IF(ISNA(VLOOKUP(A63,'Données projet'!$A$61:$I$81,7,0)),0%,VLOOKUP(A63,'Données projet'!$A$61:$I$81,7,0))</f>
        <v>0.25</v>
      </c>
      <c r="AU63" s="21">
        <f>EXP(-LN(2)/35)*AU62+(1-EXP(-LN(2)/35))/(LN(2)/35)*AQ63*AR63*VLOOKUP('Données projet'!$B$10,Paramètres!$A$1:$I$89,3,0)*0.475*44/12</f>
        <v>16.138039084930366</v>
      </c>
      <c r="AV63" s="21">
        <f>EXP(-LN(2)/25)*AV62+(1-EXP(-LN(2)/25))/(LN(2)/25)*Calculateur!AQ63*Calculateur!AS63*VLOOKUP('Données projet'!$B$10,Paramètres!$A$1:$I$89,3,0)*0.475*44/12</f>
        <v>18.480804739493465</v>
      </c>
      <c r="AW63" s="21">
        <f>EXP(-LN(2)/2)*AW62+(1-EXP(-LN(2)/2))/(LN(2)/2)*AQ63*AT63*VLOOKUP('Données projet'!$B$10,Paramètres!$A$1:$I$89,3,0)*0.475*44/12</f>
        <v>3.6259993544588274</v>
      </c>
      <c r="AX63" s="21">
        <f t="shared" si="6"/>
        <v>38.244843178882661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10.107499999999998</v>
      </c>
      <c r="BD63" s="12">
        <f>IF('Données projet'!$A$88&gt;35,BD62+BC63-BL62,IF(A63&lt;'Données projet'!$A$88,$BA$205^A63,IF(A63='Données projet'!$A$88,'Données projet'!$B$88,BD62+BC63-BL62)))</f>
        <v>226.12500000000028</v>
      </c>
      <c r="BE63" s="13">
        <f>BD63*VLOOKUP('Données projet'!$B$11,Paramètres!$A$1:$I$89,3,0)*VLOOKUP('Données projet'!$B$11,Paramètres!$A$1:$I$89,5,0)</f>
        <v>215.18055000000027</v>
      </c>
      <c r="BF63" s="13">
        <f t="shared" si="37"/>
        <v>53.066055556356247</v>
      </c>
      <c r="BG63" s="20">
        <f t="shared" si="7"/>
        <v>467.19617134398754</v>
      </c>
      <c r="BH63" s="59">
        <f t="shared" si="8"/>
        <v>728.45187767546508</v>
      </c>
      <c r="BI63" s="59">
        <f ca="1">AVERAGE(OFFSET($BH$3,0,0,'Données projet'!$E$11+1,1))-AVERAGE(OFFSET($H$3,0,0,'Données projet'!$E$11+1,1))</f>
        <v>711.91538686535682</v>
      </c>
      <c r="BJ63" s="59">
        <f t="shared" si="38"/>
        <v>313.24593837351722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36.29168209940223</v>
      </c>
      <c r="BR63" s="21">
        <f>EXP(-LN(2)/2)*BR62+(1-EXP(-LN(2)/2))/(LN(2)/2)*BL63*BO63*VLOOKUP('Données projet'!$B$11,Paramètres!$A$1:$I$89,3,0)*0.475*44/12</f>
        <v>4.5171452480618877</v>
      </c>
      <c r="BS63" s="22">
        <f t="shared" si="9"/>
        <v>40.808827347464117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10.107499999999998</v>
      </c>
      <c r="BY63" s="12">
        <f>IF('Données projet'!$A$114&gt;35,BY62+BX63-CG62,IF(A63&lt;'Données projet'!$A$114,$BV$205^A63,IF(A63='Données projet'!$A$114,'Données projet'!$B$114,BY62+BX63-CG62)))</f>
        <v>226.12500000000028</v>
      </c>
      <c r="BZ63" s="13">
        <f>BY63*VLOOKUP('Données projet'!$B$12,Paramètres!$A$1:$I$89,3,0)*VLOOKUP('Données projet'!$B$12,Paramètres!$A$1:$I$89,5,0)</f>
        <v>204.59790000000024</v>
      </c>
      <c r="CA63" s="13">
        <f t="shared" si="39"/>
        <v>50.753306398717811</v>
      </c>
      <c r="CB63" s="20">
        <f t="shared" si="10"/>
        <v>444.73668447776726</v>
      </c>
      <c r="CC63" s="59">
        <f t="shared" si="11"/>
        <v>705.99239080924474</v>
      </c>
      <c r="CD63" s="59">
        <f ca="1">AVERAGE(OFFSET($CC$3,0,0,'Données projet'!$E$12+1,1))-AVERAGE(OFFSET($H$3,0,0,'Données projet'!$E$12+1,1))</f>
        <v>681.47578137804555</v>
      </c>
      <c r="CE63" s="59">
        <f t="shared" si="40"/>
        <v>300.88511065995885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34.506845274841467</v>
      </c>
      <c r="CM63" s="21">
        <f>EXP(-LN(2)/2)*CM62+(1-EXP(-LN(2)/2))/(LN(2)/2)*CG63*CJ63*VLOOKUP('Données projet'!$B$12,Paramètres!$A$1:$I$89,3,0)*0.475*44/12</f>
        <v>4.294990563730976</v>
      </c>
      <c r="CN63" s="22">
        <f t="shared" si="12"/>
        <v>38.801835838572444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102.56410256410257</v>
      </c>
      <c r="CR63" s="12">
        <f>VLOOKUP(A63,'Données projet'!$A$139:$I$159,9,0)</f>
        <v>2.6923076923076907</v>
      </c>
      <c r="CS63" s="12">
        <f t="array" ref="CS63">INDEX(CR:CR,MIN(IF(ISNUMBER(CR63:CR259),ROW(CR63:CR259),"")))</f>
        <v>2.6923076923076907</v>
      </c>
      <c r="CT63" s="12">
        <f>IF('Données projet'!$A$140&gt;35,CT62+CS63-DB62,IF(A63&lt;'Données projet'!$A$140,$CQ$205^A63,IF(A63='Données projet'!$A$140,'Données projet'!$B$140,CT62+CS63-DB62)))</f>
        <v>102.56410256410254</v>
      </c>
      <c r="CU63" s="17">
        <f>CT63*VLOOKUP('Données projet'!$B$13,Paramètres!$A$1:$I$89,3,0)*VLOOKUP('Données projet'!$B$13,Paramètres!$A$1:$I$89,5,0)</f>
        <v>83.199999999999989</v>
      </c>
      <c r="CV63" s="13">
        <f t="shared" si="41"/>
        <v>22.917805851806389</v>
      </c>
      <c r="CW63" s="20">
        <f t="shared" si="13"/>
        <v>184.82184519189613</v>
      </c>
      <c r="CX63" s="59">
        <f t="shared" si="14"/>
        <v>446.07755152337359</v>
      </c>
      <c r="CY63" s="59">
        <f ca="1">AVERAGE(OFFSET($CX$3,0,0,'Données projet'!$E$13+1,1))-AVERAGE(OFFSET($H$3,0,0,'Données projet'!$E$13+1,1))</f>
        <v>186.54446846714993</v>
      </c>
      <c r="CZ63" s="59">
        <f t="shared" si="42"/>
        <v>154.43773051601286</v>
      </c>
      <c r="DA63" s="15">
        <f>IF(ISNA(VLOOKUP(A63,'Données projet'!$A$139:$I$159,3,0)),0,VLOOKUP(A63,'Données projet'!$A$139:$I$159,3,0))</f>
        <v>10</v>
      </c>
      <c r="DB63" s="15">
        <f>IF(ISNA(VLOOKUP(A63,'Données projet'!$A$139:$I$159,4,0)),0,VLOOKUP(A63,'Données projet'!$A$139:$I$159,4,0))</f>
        <v>7.0512820512820511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0.1075</v>
      </c>
      <c r="DE63" s="16">
        <f>IF(ISNA(VLOOKUP(A63,'Données projet'!$A$139:$I$159,7,0)),0%,VLOOKUP(A63,'Données projet'!$A$139:$I$159,7,0))</f>
        <v>0.25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3.4980943239863573</v>
      </c>
      <c r="DH63" s="21">
        <f>EXP(-LN(2)/2)*DH62+(1-EXP(-LN(2)/2))/(LN(2)/2)*DB63*DE63*VLOOKUP('Données projet'!$B$13,Paramètres!$A$1:$I$89,3,0)*0.475*44/12</f>
        <v>1.6388253617184754</v>
      </c>
      <c r="DI63" s="22">
        <f t="shared" si="15"/>
        <v>5.1369196857048323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6.8699999999999974</v>
      </c>
      <c r="DO63" s="12">
        <f>IF('Données projet'!$A$166&gt;35,DO62+DN63-DW62,IF(A63&lt;'Données projet'!$A$166,$DL$205^A63,IF(A63='Données projet'!$A$166,'Données projet'!$B$166,DO62+DN63-DW62)))</f>
        <v>147.03000000000006</v>
      </c>
      <c r="DP63" s="17">
        <f>DO63*VLOOKUP('Données projet'!$B$14,Paramètres!$A$1:$I$89,3,0)*VLOOKUP('Données projet'!$B$14,Paramètres!$A$1:$I$89,5,0)</f>
        <v>167.43776400000004</v>
      </c>
      <c r="DQ63" s="13">
        <f t="shared" si="43"/>
        <v>42.515661729809381</v>
      </c>
      <c r="DR63" s="20">
        <f t="shared" si="16"/>
        <v>365.66888314608468</v>
      </c>
      <c r="DS63" s="59">
        <f t="shared" si="17"/>
        <v>626.92458947756222</v>
      </c>
      <c r="DT63" s="59">
        <f ca="1">AVERAGE(OFFSET($DS$3,0,0,'Données projet'!$E$14+1,1))-AVERAGE(OFFSET($H$3,0,0,'Données projet'!$E$14+1,1))</f>
        <v>651.35546372812314</v>
      </c>
      <c r="DU63" s="59">
        <f t="shared" si="44"/>
        <v>293.6561676213388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30.3149541699389</v>
      </c>
      <c r="EC63" s="21">
        <f>EXP(-LN(2)/2)*EC62+(1-EXP(-LN(2)/2))/(LN(2)/2)*DW63*DZ63*VLOOKUP('Données projet'!$B$14,Paramètres!$A$1:$I$89,3,0)*0.475*44/12</f>
        <v>1.5502559217247143</v>
      </c>
      <c r="ED63" s="22">
        <f t="shared" si="18"/>
        <v>31.865210091663613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132.69230769230768</v>
      </c>
      <c r="EH63" s="12">
        <f>VLOOKUP(A63,'Données projet'!$A$191:$I$211,9,0)</f>
        <v>3.3333333333333313</v>
      </c>
      <c r="EI63" s="12">
        <f t="array" ref="EI63">INDEX(EH:EH,MIN(IF(ISNUMBER(EH63:EH259),ROW(EH63:EH259),"")))</f>
        <v>3.3333333333333313</v>
      </c>
      <c r="EJ63" s="12">
        <f>IF('Données projet'!$A$192&gt;35,EJ62+EI63-ER62,IF(A63&lt;'Données projet'!$A$192,$EG$205^A63,IF(A63='Données projet'!$A$192,'Données projet'!$B$192,EJ62+EI63-ER62)))</f>
        <v>132.69230769230774</v>
      </c>
      <c r="EK63" s="17">
        <f>EJ63*VLOOKUP('Données projet'!$B$15,Paramètres!$A$1:$I$89,3,0)*VLOOKUP('Données projet'!$B$15,Paramètres!$A$1:$I$89,5,0)</f>
        <v>138.69000000000005</v>
      </c>
      <c r="EL63" s="13">
        <f t="shared" si="45"/>
        <v>35.996738887121495</v>
      </c>
      <c r="EM63" s="20">
        <f t="shared" si="19"/>
        <v>304.24607022840337</v>
      </c>
      <c r="EN63" s="59">
        <f t="shared" si="20"/>
        <v>565.50177655988091</v>
      </c>
      <c r="EO63" s="59">
        <f ca="1">AVERAGE(OFFSET($EN$3,0,0,'Données projet'!$E$15+1,1))-AVERAGE(OFFSET($H$3,0,0,'Données projet'!$E$15+1,1))</f>
        <v>290.69667785754848</v>
      </c>
      <c r="EP63" s="59">
        <f t="shared" si="46"/>
        <v>256.28124185489082</v>
      </c>
      <c r="EQ63" s="15">
        <f>IF(ISNA(VLOOKUP(A63,'Données projet'!$A$191:$I$211,3,0)),0,VLOOKUP(A63,'Données projet'!$A$191:$I$211,3,0))</f>
        <v>9</v>
      </c>
      <c r="ER63" s="15">
        <f>IF(ISNA(VLOOKUP(A63,'Données projet'!$A$191:$I$211,4,0)),0,VLOOKUP(A63,'Données projet'!$A$191:$I$211,4,0))</f>
        <v>11.538461538461538</v>
      </c>
      <c r="ES63" s="16">
        <f>IF(ISNA(VLOOKUP(A63,'Données projet'!$A$191:$I$211,5,0)),0%,VLOOKUP(A63,'Données projet'!$A$191:$I$211,5,0)*VLOOKUP('Données projet'!$B$15,Paramètres!$A$1:$I$89,7,0))</f>
        <v>4.3000000000000003E-2</v>
      </c>
      <c r="ET63" s="16">
        <f>IF(ISNA(VLOOKUP(A63,'Données projet'!$A$191:$I$211,6,0)),0%,VLOOKUP(A63,'Données projet'!$A$191:$I$211,6,0)*VLOOKUP('Données projet'!$B$15,Paramètres!$A$1:$I$89,7,0))</f>
        <v>0.215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1.1501954728969925</v>
      </c>
      <c r="EW63" s="21">
        <f>EXP(-LN(2)/25)*EW62+(1-EXP(-LN(2)/25))/(LN(2)/25)*Calculateur!ER63*Calculateur!ET63*VLOOKUP('Données projet'!$B$15,Paramètres!$A$1:$I$89,3,0)*0.475*44/12</f>
        <v>19.626761968937593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20.776957441834586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10.107499999999998</v>
      </c>
      <c r="N64" s="13">
        <f>IF('Données projet'!$A$36&gt;35,N63+M64-V63,IF(A64&lt;'Données projet'!$A$36,$K$205^A64,IF(A64='Données projet'!$A$36,'Données projet'!$B$36,N63+M64-V63)))</f>
        <v>236.23250000000027</v>
      </c>
      <c r="O64" s="13">
        <f>N64*VLOOKUP('Données projet'!$B$9,Paramètres!$A$1:$I$89,3,0)*VLOOKUP('Données projet'!$B$9,Paramètres!$A$1:$I$89,5,0)</f>
        <v>239.5397550000003</v>
      </c>
      <c r="P64" s="13">
        <f t="shared" si="33"/>
        <v>58.340495468530364</v>
      </c>
      <c r="Q64" s="20">
        <f t="shared" si="53"/>
        <v>518.80810289935755</v>
      </c>
      <c r="R64" s="59">
        <f t="shared" si="0"/>
        <v>780.62028434448689</v>
      </c>
      <c r="S64" s="59">
        <f ca="1">AVERAGE(OFFSET($R$3,0,0,'Données projet'!$E$9+1,1))-AVERAGE(OFFSET($H$3,0,0,'Données projet'!$E$9+1,1))</f>
        <v>752.45542076695506</v>
      </c>
      <c r="T64" s="59">
        <f t="shared" si="34"/>
        <v>329.70629768420724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37.613991300874346</v>
      </c>
      <c r="AB64" s="21">
        <f>EXP(-LN(2)/2)*AB63+(1-EXP(-LN(2)/2))/(LN(2)/2)*V64*Y64*VLOOKUP('Données projet'!$B$9,Paramètres!$A$1:$I$89,3,0)*0.475*44/12</f>
        <v>3.4035534815261435</v>
      </c>
      <c r="AC64" s="22">
        <f t="shared" si="3"/>
        <v>41.017544782400492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5.2</v>
      </c>
      <c r="AI64" s="13">
        <f>IF('Données projet'!$A$62&gt;35,AI63+AH64-AQ63,IF(A64&lt;'Données projet'!$A$62,$AF$205^A64,IF(A64='Données projet'!$A$62,'Données projet'!$B$62,AI63+AH64-AQ63)))</f>
        <v>285.19999999999987</v>
      </c>
      <c r="AJ64" s="13">
        <f>AI64*VLOOKUP('Données projet'!$B$10,Paramètres!$A$1:$I$89,3,0)*VLOOKUP('Données projet'!$B$10,Paramètres!$A$1:$I$89,5,0)</f>
        <v>249.15071999999989</v>
      </c>
      <c r="AK64" s="13">
        <f t="shared" si="35"/>
        <v>60.404044320946248</v>
      </c>
      <c r="AL64" s="20">
        <f t="shared" si="4"/>
        <v>539.1412145256478</v>
      </c>
      <c r="AM64" s="59">
        <f t="shared" si="5"/>
        <v>800.95339597077714</v>
      </c>
      <c r="AN64" s="59">
        <f ca="1">AVERAGE(OFFSET($AM$3,0,0,'Données projet'!$E$10+1,1))-AVERAGE(OFFSET($H$3,0,0,'Données projet'!$E$10+1,1))</f>
        <v>408.246209980743</v>
      </c>
      <c r="AO64" s="59">
        <f t="shared" si="36"/>
        <v>394.10236303013903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15.821581981706785</v>
      </c>
      <c r="AV64" s="21">
        <f>EXP(-LN(2)/25)*AV63+(1-EXP(-LN(2)/25))/(LN(2)/25)*Calculateur!AQ64*Calculateur!AS64*VLOOKUP('Données projet'!$B$10,Paramètres!$A$1:$I$89,3,0)*0.475*44/12</f>
        <v>17.975446162028732</v>
      </c>
      <c r="AW64" s="21">
        <f>EXP(-LN(2)/2)*AW63+(1-EXP(-LN(2)/2))/(LN(2)/2)*AQ64*AT64*VLOOKUP('Données projet'!$B$10,Paramètres!$A$1:$I$89,3,0)*0.475*44/12</f>
        <v>2.5639687321158808</v>
      </c>
      <c r="AX64" s="21">
        <f t="shared" si="6"/>
        <v>36.360996875851399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10.107499999999998</v>
      </c>
      <c r="BD64" s="12">
        <f>IF('Données projet'!$A$88&gt;35,BD63+BC64-BL63,IF(A64&lt;'Données projet'!$A$88,$BA$205^A64,IF(A64='Données projet'!$A$88,'Données projet'!$B$88,BD63+BC64-BL63)))</f>
        <v>236.23250000000027</v>
      </c>
      <c r="BE64" s="13">
        <f>BD64*VLOOKUP('Données projet'!$B$11,Paramètres!$A$1:$I$89,3,0)*VLOOKUP('Données projet'!$B$11,Paramètres!$A$1:$I$89,5,0)</f>
        <v>224.79884700000025</v>
      </c>
      <c r="BF64" s="13">
        <f t="shared" si="37"/>
        <v>55.156577922267701</v>
      </c>
      <c r="BG64" s="20">
        <f t="shared" si="7"/>
        <v>487.5890317396167</v>
      </c>
      <c r="BH64" s="59">
        <f t="shared" si="8"/>
        <v>749.40121318474598</v>
      </c>
      <c r="BI64" s="59">
        <f ca="1">AVERAGE(OFFSET($BH$3,0,0,'Données projet'!$E$11+1,1))-AVERAGE(OFFSET($H$3,0,0,'Données projet'!$E$11+1,1))</f>
        <v>711.91538686535682</v>
      </c>
      <c r="BJ64" s="59">
        <f t="shared" si="38"/>
        <v>313.24593837351722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35.299284143897459</v>
      </c>
      <c r="BR64" s="21">
        <f>EXP(-LN(2)/2)*BR63+(1-EXP(-LN(2)/2))/(LN(2)/2)*BL64*BO64*VLOOKUP('Données projet'!$B$11,Paramètres!$A$1:$I$89,3,0)*0.475*44/12</f>
        <v>3.1941040365091502</v>
      </c>
      <c r="BS64" s="22">
        <f t="shared" si="9"/>
        <v>38.493388180406612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10.107499999999998</v>
      </c>
      <c r="BY64" s="12">
        <f>IF('Données projet'!$A$114&gt;35,BY63+BX64-CG63,IF(A64&lt;'Données projet'!$A$114,$BV$205^A64,IF(A64='Données projet'!$A$114,'Données projet'!$B$114,BY63+BX64-CG63)))</f>
        <v>236.23250000000027</v>
      </c>
      <c r="BZ64" s="13">
        <f>BY64*VLOOKUP('Données projet'!$B$12,Paramètres!$A$1:$I$89,3,0)*VLOOKUP('Données projet'!$B$12,Paramètres!$A$1:$I$89,5,0)</f>
        <v>213.74316600000023</v>
      </c>
      <c r="CA64" s="13">
        <f t="shared" si="39"/>
        <v>52.752718660626023</v>
      </c>
      <c r="CB64" s="20">
        <f t="shared" si="10"/>
        <v>464.14699911725734</v>
      </c>
      <c r="CC64" s="59">
        <f t="shared" si="11"/>
        <v>725.95918056238668</v>
      </c>
      <c r="CD64" s="59">
        <f ca="1">AVERAGE(OFFSET($CC$3,0,0,'Données projet'!$E$12+1,1))-AVERAGE(OFFSET($H$3,0,0,'Données projet'!$E$12+1,1))</f>
        <v>681.47578137804555</v>
      </c>
      <c r="CE64" s="59">
        <f t="shared" si="40"/>
        <v>300.88511065995885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33.5632537761648</v>
      </c>
      <c r="CM64" s="21">
        <f>EXP(-LN(2)/2)*CM63+(1-EXP(-LN(2)/2))/(LN(2)/2)*CG64*CJ64*VLOOKUP('Données projet'!$B$12,Paramètres!$A$1:$I$89,3,0)*0.475*44/12</f>
        <v>3.0370169527464057</v>
      </c>
      <c r="CN64" s="22">
        <f t="shared" si="12"/>
        <v>36.600270728911205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2.5641025641025634</v>
      </c>
      <c r="CT64" s="12">
        <f>IF('Données projet'!$A$140&gt;35,CT63+CS64-DB63,IF(A64&lt;'Données projet'!$A$140,$CQ$205^A64,IF(A64='Données projet'!$A$140,'Données projet'!$B$140,CT63+CS64-DB63)))</f>
        <v>98.076923076923066</v>
      </c>
      <c r="CU64" s="17">
        <f>CT64*VLOOKUP('Données projet'!$B$13,Paramètres!$A$1:$I$89,3,0)*VLOOKUP('Données projet'!$B$13,Paramètres!$A$1:$I$89,5,0)</f>
        <v>79.559999999999988</v>
      </c>
      <c r="CV64" s="13">
        <f t="shared" si="41"/>
        <v>22.029567333453311</v>
      </c>
      <c r="CW64" s="20">
        <f t="shared" si="13"/>
        <v>176.93516310576447</v>
      </c>
      <c r="CX64" s="59">
        <f t="shared" si="14"/>
        <v>438.74734455089379</v>
      </c>
      <c r="CY64" s="59">
        <f ca="1">AVERAGE(OFFSET($CX$3,0,0,'Données projet'!$E$13+1,1))-AVERAGE(OFFSET($H$3,0,0,'Données projet'!$E$13+1,1))</f>
        <v>186.54446846714993</v>
      </c>
      <c r="CZ64" s="59">
        <f t="shared" si="42"/>
        <v>154.43773051601286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3.4024387507401648</v>
      </c>
      <c r="DH64" s="21">
        <f>EXP(-LN(2)/2)*DH63+(1-EXP(-LN(2)/2))/(LN(2)/2)*DB64*DE64*VLOOKUP('Données projet'!$B$13,Paramètres!$A$1:$I$89,3,0)*0.475*44/12</f>
        <v>1.1588245264516306</v>
      </c>
      <c r="DI64" s="22">
        <f t="shared" si="15"/>
        <v>4.5612632771917951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6.8699999999999974</v>
      </c>
      <c r="DO64" s="12">
        <f>IF('Données projet'!$A$166&gt;35,DO63+DN64-DW63,IF(A64&lt;'Données projet'!$A$166,$DL$205^A64,IF(A64='Données projet'!$A$166,'Données projet'!$B$166,DO63+DN64-DW63)))</f>
        <v>153.90000000000006</v>
      </c>
      <c r="DP64" s="17">
        <f>DO64*VLOOKUP('Données projet'!$B$14,Paramètres!$A$1:$I$89,3,0)*VLOOKUP('Données projet'!$B$14,Paramètres!$A$1:$I$89,5,0)</f>
        <v>175.26132000000007</v>
      </c>
      <c r="DQ64" s="13">
        <f t="shared" si="43"/>
        <v>44.26628579978766</v>
      </c>
      <c r="DR64" s="20">
        <f t="shared" si="16"/>
        <v>382.34391343463022</v>
      </c>
      <c r="DS64" s="59">
        <f t="shared" si="17"/>
        <v>644.15609487975962</v>
      </c>
      <c r="DT64" s="59">
        <f ca="1">AVERAGE(OFFSET($DS$3,0,0,'Données projet'!$E$14+1,1))-AVERAGE(OFFSET($H$3,0,0,'Données projet'!$E$14+1,1))</f>
        <v>651.35546372812314</v>
      </c>
      <c r="DU64" s="59">
        <f t="shared" si="44"/>
        <v>293.6561676213388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29.485990153967766</v>
      </c>
      <c r="EC64" s="21">
        <f>EXP(-LN(2)/2)*EC63+(1-EXP(-LN(2)/2))/(LN(2)/2)*DW64*DZ64*VLOOKUP('Données projet'!$B$14,Paramètres!$A$1:$I$89,3,0)*0.475*44/12</f>
        <v>1.0961964748261472</v>
      </c>
      <c r="ED64" s="22">
        <f t="shared" si="18"/>
        <v>30.582186628793913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3.2051282051282071</v>
      </c>
      <c r="EJ64" s="12">
        <f>IF('Données projet'!$A$192&gt;35,EJ63+EI64-ER63,IF(A64&lt;'Données projet'!$A$192,$EG$205^A64,IF(A64='Données projet'!$A$192,'Données projet'!$B$192,EJ63+EI64-ER63)))</f>
        <v>124.35897435897441</v>
      </c>
      <c r="EK64" s="17">
        <f>EJ64*VLOOKUP('Données projet'!$B$15,Paramètres!$A$1:$I$89,3,0)*VLOOKUP('Données projet'!$B$15,Paramètres!$A$1:$I$89,5,0)</f>
        <v>129.98000000000008</v>
      </c>
      <c r="EL64" s="13">
        <f t="shared" si="45"/>
        <v>33.991737878182434</v>
      </c>
      <c r="EM64" s="20">
        <f t="shared" si="19"/>
        <v>285.58411013783456</v>
      </c>
      <c r="EN64" s="59">
        <f t="shared" si="20"/>
        <v>547.39629158296384</v>
      </c>
      <c r="EO64" s="59">
        <f ca="1">AVERAGE(OFFSET($EN$3,0,0,'Données projet'!$E$15+1,1))-AVERAGE(OFFSET($H$3,0,0,'Données projet'!$E$15+1,1))</f>
        <v>290.69667785754848</v>
      </c>
      <c r="EP64" s="59">
        <f t="shared" si="46"/>
        <v>256.28124185489082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1.1276408412234487</v>
      </c>
      <c r="EW64" s="21">
        <f>EXP(-LN(2)/25)*EW63+(1-EXP(-LN(2)/25))/(LN(2)/25)*Calculateur!ER64*Calculateur!ET64*VLOOKUP('Données projet'!$B$15,Paramètres!$A$1:$I$89,3,0)*0.475*44/12</f>
        <v>19.090067130770439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20.217707971993889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10.107499999999998</v>
      </c>
      <c r="N65" s="13">
        <f>IF('Données projet'!$A$36&gt;35,N64+M65-V64,IF(A65&lt;'Données projet'!$A$36,$K$205^A65,IF(A65='Données projet'!$A$36,'Données projet'!$B$36,N64+M65-V64)))</f>
        <v>246.34000000000026</v>
      </c>
      <c r="O65" s="13">
        <f>N65*VLOOKUP('Données projet'!$B$9,Paramètres!$A$1:$I$89,3,0)*VLOOKUP('Données projet'!$B$9,Paramètres!$A$1:$I$89,5,0)</f>
        <v>249.78876000000028</v>
      </c>
      <c r="P65" s="13">
        <f t="shared" si="33"/>
        <v>60.540704760493632</v>
      </c>
      <c r="Q65" s="20">
        <f t="shared" si="53"/>
        <v>540.49048445786013</v>
      </c>
      <c r="R65" s="59">
        <f t="shared" si="0"/>
        <v>802.84948741751145</v>
      </c>
      <c r="S65" s="59">
        <f ca="1">AVERAGE(OFFSET($R$3,0,0,'Données projet'!$E$9+1,1))-AVERAGE(OFFSET($H$3,0,0,'Données projet'!$E$9+1,1))</f>
        <v>752.45542076695506</v>
      </c>
      <c r="T65" s="59">
        <f t="shared" si="34"/>
        <v>329.70629768420724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36.585434730718106</v>
      </c>
      <c r="AB65" s="21">
        <f>EXP(-LN(2)/2)*AB64+(1-EXP(-LN(2)/2))/(LN(2)/2)*V65*Y65*VLOOKUP('Données projet'!$B$9,Paramètres!$A$1:$I$89,3,0)*0.475*44/12</f>
        <v>2.4066757469182187</v>
      </c>
      <c r="AC65" s="22">
        <f t="shared" si="3"/>
        <v>38.992110477636324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5.2</v>
      </c>
      <c r="AI65" s="13">
        <f>IF('Données projet'!$A$62&gt;35,AI64+AH65-AQ64,IF(A65&lt;'Données projet'!$A$62,$AF$205^A65,IF(A65='Données projet'!$A$62,'Données projet'!$B$62,AI64+AH65-AQ64)))</f>
        <v>290.39999999999986</v>
      </c>
      <c r="AJ65" s="13">
        <f>AI65*VLOOKUP('Données projet'!$B$10,Paramètres!$A$1:$I$89,3,0)*VLOOKUP('Données projet'!$B$10,Paramètres!$A$1:$I$89,5,0)</f>
        <v>253.69343999999992</v>
      </c>
      <c r="AK65" s="13">
        <f t="shared" si="35"/>
        <v>61.376159112289358</v>
      </c>
      <c r="AL65" s="20">
        <f t="shared" si="4"/>
        <v>548.74621845390379</v>
      </c>
      <c r="AM65" s="59">
        <f t="shared" si="5"/>
        <v>811.10522141355511</v>
      </c>
      <c r="AN65" s="59">
        <f ca="1">AVERAGE(OFFSET($AM$3,0,0,'Données projet'!$E$10+1,1))-AVERAGE(OFFSET($H$3,0,0,'Données projet'!$E$10+1,1))</f>
        <v>408.246209980743</v>
      </c>
      <c r="AO65" s="59">
        <f t="shared" si="36"/>
        <v>394.10236303013903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15.511330409257646</v>
      </c>
      <c r="AV65" s="21">
        <f>EXP(-LN(2)/25)*AV64+(1-EXP(-LN(2)/25))/(LN(2)/25)*Calculateur!AQ65*Calculateur!AS65*VLOOKUP('Données projet'!$B$10,Paramètres!$A$1:$I$89,3,0)*0.475*44/12</f>
        <v>17.483906641440427</v>
      </c>
      <c r="AW65" s="21">
        <f>EXP(-LN(2)/2)*AW64+(1-EXP(-LN(2)/2))/(LN(2)/2)*AQ65*AT65*VLOOKUP('Données projet'!$B$10,Paramètres!$A$1:$I$89,3,0)*0.475*44/12</f>
        <v>1.8129996772294139</v>
      </c>
      <c r="AX65" s="21">
        <f t="shared" si="6"/>
        <v>34.808236727927486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10.107499999999998</v>
      </c>
      <c r="BD65" s="12">
        <f>IF('Données projet'!$A$88&gt;35,BD64+BC65-BL64,IF(A65&lt;'Données projet'!$A$88,$BA$205^A65,IF(A65='Données projet'!$A$88,'Données projet'!$B$88,BD64+BC65-BL64)))</f>
        <v>246.34000000000026</v>
      </c>
      <c r="BE65" s="13">
        <f>BD65*VLOOKUP('Données projet'!$B$11,Paramètres!$A$1:$I$89,3,0)*VLOOKUP('Données projet'!$B$11,Paramètres!$A$1:$I$89,5,0)</f>
        <v>234.41714400000023</v>
      </c>
      <c r="BF65" s="13">
        <f t="shared" si="37"/>
        <v>57.236711357591943</v>
      </c>
      <c r="BG65" s="20">
        <f t="shared" si="7"/>
        <v>507.96379808113971</v>
      </c>
      <c r="BH65" s="59">
        <f t="shared" si="8"/>
        <v>770.32280104079109</v>
      </c>
      <c r="BI65" s="59">
        <f ca="1">AVERAGE(OFFSET($BH$3,0,0,'Données projet'!$E$11+1,1))-AVERAGE(OFFSET($H$3,0,0,'Données projet'!$E$11+1,1))</f>
        <v>711.91538686535682</v>
      </c>
      <c r="BJ65" s="59">
        <f t="shared" si="38"/>
        <v>313.24593837351722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34.334023362673911</v>
      </c>
      <c r="BR65" s="21">
        <f>EXP(-LN(2)/2)*BR64+(1-EXP(-LN(2)/2))/(LN(2)/2)*BL65*BO65*VLOOKUP('Données projet'!$B$11,Paramètres!$A$1:$I$89,3,0)*0.475*44/12</f>
        <v>2.2585726240309438</v>
      </c>
      <c r="BS65" s="22">
        <f t="shared" si="9"/>
        <v>36.592595986704858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10.107499999999998</v>
      </c>
      <c r="BY65" s="12">
        <f>IF('Données projet'!$A$114&gt;35,BY64+BX65-CG64,IF(A65&lt;'Données projet'!$A$114,$BV$205^A65,IF(A65='Données projet'!$A$114,'Données projet'!$B$114,BY64+BX65-CG64)))</f>
        <v>246.34000000000026</v>
      </c>
      <c r="BZ65" s="13">
        <f>BY65*VLOOKUP('Données projet'!$B$12,Paramètres!$A$1:$I$89,3,0)*VLOOKUP('Données projet'!$B$12,Paramètres!$A$1:$I$89,5,0)</f>
        <v>222.88843200000022</v>
      </c>
      <c r="CA65" s="13">
        <f t="shared" si="39"/>
        <v>54.74219476708182</v>
      </c>
      <c r="CB65" s="20">
        <f t="shared" si="10"/>
        <v>483.54000828600118</v>
      </c>
      <c r="CC65" s="59">
        <f t="shared" si="11"/>
        <v>745.89901124565245</v>
      </c>
      <c r="CD65" s="59">
        <f ca="1">AVERAGE(OFFSET($CC$3,0,0,'Données projet'!$E$12+1,1))-AVERAGE(OFFSET($H$3,0,0,'Données projet'!$E$12+1,1))</f>
        <v>681.47578137804555</v>
      </c>
      <c r="CE65" s="59">
        <f t="shared" si="40"/>
        <v>300.88511065995885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32.64546483664077</v>
      </c>
      <c r="CM65" s="21">
        <f>EXP(-LN(2)/2)*CM64+(1-EXP(-LN(2)/2))/(LN(2)/2)*CG65*CJ65*VLOOKUP('Données projet'!$B$12,Paramètres!$A$1:$I$89,3,0)*0.475*44/12</f>
        <v>2.147495281865488</v>
      </c>
      <c r="CN65" s="22">
        <f t="shared" si="12"/>
        <v>34.792960118506258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2.5641025641025634</v>
      </c>
      <c r="CT65" s="12">
        <f>IF('Données projet'!$A$140&gt;35,CT64+CS65-DB64,IF(A65&lt;'Données projet'!$A$140,$CQ$205^A65,IF(A65='Données projet'!$A$140,'Données projet'!$B$140,CT64+CS65-DB64)))</f>
        <v>100.64102564102564</v>
      </c>
      <c r="CU65" s="17">
        <f>CT65*VLOOKUP('Données projet'!$B$13,Paramètres!$A$1:$I$89,3,0)*VLOOKUP('Données projet'!$B$13,Paramètres!$A$1:$I$89,5,0)</f>
        <v>81.64</v>
      </c>
      <c r="CV65" s="13">
        <f t="shared" si="41"/>
        <v>22.537697845766751</v>
      </c>
      <c r="CW65" s="20">
        <f t="shared" si="13"/>
        <v>181.44282374804376</v>
      </c>
      <c r="CX65" s="59">
        <f t="shared" si="14"/>
        <v>443.80182670769511</v>
      </c>
      <c r="CY65" s="59">
        <f ca="1">AVERAGE(OFFSET($CX$3,0,0,'Données projet'!$E$13+1,1))-AVERAGE(OFFSET($H$3,0,0,'Données projet'!$E$13+1,1))</f>
        <v>186.54446846714993</v>
      </c>
      <c r="CZ65" s="59">
        <f t="shared" si="42"/>
        <v>154.43773051601286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3.3093988841746973</v>
      </c>
      <c r="DH65" s="21">
        <f>EXP(-LN(2)/2)*DH64+(1-EXP(-LN(2)/2))/(LN(2)/2)*DB65*DE65*VLOOKUP('Données projet'!$B$13,Paramètres!$A$1:$I$89,3,0)*0.475*44/12</f>
        <v>0.8194126808592378</v>
      </c>
      <c r="DI65" s="22">
        <f t="shared" si="15"/>
        <v>4.128811565033935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6.8699999999999974</v>
      </c>
      <c r="DO65" s="12">
        <f>IF('Données projet'!$A$166&gt;35,DO64+DN65-DW64,IF(A65&lt;'Données projet'!$A$166,$DL$205^A65,IF(A65='Données projet'!$A$166,'Données projet'!$B$166,DO64+DN65-DW64)))</f>
        <v>160.77000000000007</v>
      </c>
      <c r="DP65" s="17">
        <f>DO65*VLOOKUP('Données projet'!$B$14,Paramètres!$A$1:$I$89,3,0)*VLOOKUP('Données projet'!$B$14,Paramètres!$A$1:$I$89,5,0)</f>
        <v>183.08487600000007</v>
      </c>
      <c r="DQ65" s="13">
        <f t="shared" si="43"/>
        <v>46.007833994625685</v>
      </c>
      <c r="DR65" s="20">
        <f t="shared" si="16"/>
        <v>399.00313657397311</v>
      </c>
      <c r="DS65" s="59">
        <f t="shared" si="17"/>
        <v>661.36213953362449</v>
      </c>
      <c r="DT65" s="59">
        <f ca="1">AVERAGE(OFFSET($DS$3,0,0,'Données projet'!$E$14+1,1))-AVERAGE(OFFSET($H$3,0,0,'Données projet'!$E$14+1,1))</f>
        <v>651.35546372812314</v>
      </c>
      <c r="DU65" s="59">
        <f t="shared" si="44"/>
        <v>293.6561676213388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28.679694202606687</v>
      </c>
      <c r="EC65" s="21">
        <f>EXP(-LN(2)/2)*EC64+(1-EXP(-LN(2)/2))/(LN(2)/2)*DW65*DZ65*VLOOKUP('Données projet'!$B$14,Paramètres!$A$1:$I$89,3,0)*0.475*44/12</f>
        <v>0.77512796086235725</v>
      </c>
      <c r="ED65" s="22">
        <f t="shared" si="18"/>
        <v>29.454822163469043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3.2051282051282071</v>
      </c>
      <c r="EJ65" s="12">
        <f>IF('Données projet'!$A$192&gt;35,EJ64+EI65-ER64,IF(A65&lt;'Données projet'!$A$192,$EG$205^A65,IF(A65='Données projet'!$A$192,'Données projet'!$B$192,EJ64+EI65-ER64)))</f>
        <v>127.56410256410261</v>
      </c>
      <c r="EK65" s="17">
        <f>EJ65*VLOOKUP('Données projet'!$B$15,Paramètres!$A$1:$I$89,3,0)*VLOOKUP('Données projet'!$B$15,Paramètres!$A$1:$I$89,5,0)</f>
        <v>133.33000000000007</v>
      </c>
      <c r="EL65" s="13">
        <f t="shared" si="45"/>
        <v>34.764688219504073</v>
      </c>
      <c r="EM65" s="20">
        <f t="shared" si="19"/>
        <v>292.76491531563642</v>
      </c>
      <c r="EN65" s="59">
        <f t="shared" si="20"/>
        <v>555.12391827528768</v>
      </c>
      <c r="EO65" s="59">
        <f ca="1">AVERAGE(OFFSET($EN$3,0,0,'Données projet'!$E$15+1,1))-AVERAGE(OFFSET($H$3,0,0,'Données projet'!$E$15+1,1))</f>
        <v>290.69667785754848</v>
      </c>
      <c r="EP65" s="59">
        <f t="shared" si="46"/>
        <v>256.28124185489082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1.1055284921200561</v>
      </c>
      <c r="EW65" s="21">
        <f>EXP(-LN(2)/25)*EW64+(1-EXP(-LN(2)/25))/(LN(2)/25)*Calculateur!ER65*Calculateur!ET65*VLOOKUP('Données projet'!$B$15,Paramètres!$A$1:$I$89,3,0)*0.475*44/12</f>
        <v>18.568048241176523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19.673576733296578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10.107499999999998</v>
      </c>
      <c r="N66" s="13">
        <f>IF('Données projet'!$A$36&gt;35,N65+M66-V65,IF(A66&lt;'Données projet'!$A$36,$K$205^A66,IF(A66='Données projet'!$A$36,'Données projet'!$B$36,N65+M66-V65)))</f>
        <v>256.44750000000028</v>
      </c>
      <c r="O66" s="13">
        <f>N66*VLOOKUP('Données projet'!$B$9,Paramètres!$A$1:$I$89,3,0)*VLOOKUP('Données projet'!$B$9,Paramètres!$A$1:$I$89,5,0)</f>
        <v>260.03776500000026</v>
      </c>
      <c r="P66" s="13">
        <f t="shared" si="33"/>
        <v>62.730427859997341</v>
      </c>
      <c r="Q66" s="20">
        <f t="shared" si="53"/>
        <v>562.1546025644958</v>
      </c>
      <c r="R66" s="59">
        <f t="shared" si="0"/>
        <v>825.05094090790192</v>
      </c>
      <c r="S66" s="59">
        <f ca="1">AVERAGE(OFFSET($R$3,0,0,'Données projet'!$E$9+1,1))-AVERAGE(OFFSET($H$3,0,0,'Données projet'!$E$9+1,1))</f>
        <v>752.45542076695506</v>
      </c>
      <c r="T66" s="59">
        <f t="shared" si="34"/>
        <v>329.70629768420724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35.585004094062221</v>
      </c>
      <c r="AB66" s="21">
        <f>EXP(-LN(2)/2)*AB65+(1-EXP(-LN(2)/2))/(LN(2)/2)*V66*Y66*VLOOKUP('Données projet'!$B$9,Paramètres!$A$1:$I$89,3,0)*0.475*44/12</f>
        <v>1.7017767407630717</v>
      </c>
      <c r="AC66" s="22">
        <f t="shared" si="3"/>
        <v>37.286780834825294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5.2</v>
      </c>
      <c r="AI66" s="13">
        <f>IF('Données projet'!$A$62&gt;35,AI65+AH66-AQ65,IF(A66&lt;'Données projet'!$A$62,$AF$205^A66,IF(A66='Données projet'!$A$62,'Données projet'!$B$62,AI65+AH66-AQ65)))</f>
        <v>295.59999999999985</v>
      </c>
      <c r="AJ66" s="13">
        <f>AI66*VLOOKUP('Données projet'!$B$10,Paramètres!$A$1:$I$89,3,0)*VLOOKUP('Données projet'!$B$10,Paramètres!$A$1:$I$89,5,0)</f>
        <v>258.23615999999993</v>
      </c>
      <c r="AK66" s="13">
        <f t="shared" si="35"/>
        <v>62.346249722937728</v>
      </c>
      <c r="AL66" s="20">
        <f t="shared" si="4"/>
        <v>558.34769693411636</v>
      </c>
      <c r="AM66" s="59">
        <f t="shared" si="5"/>
        <v>821.24403527752247</v>
      </c>
      <c r="AN66" s="59">
        <f ca="1">AVERAGE(OFFSET($AM$3,0,0,'Données projet'!$E$10+1,1))-AVERAGE(OFFSET($H$3,0,0,'Données projet'!$E$10+1,1))</f>
        <v>408.246209980743</v>
      </c>
      <c r="AO66" s="59">
        <f t="shared" si="36"/>
        <v>394.10236303013903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15.207162680909459</v>
      </c>
      <c r="AV66" s="21">
        <f>EXP(-LN(2)/25)*AV65+(1-EXP(-LN(2)/25))/(LN(2)/25)*Calculateur!AQ66*Calculateur!AS66*VLOOKUP('Données projet'!$B$10,Paramètres!$A$1:$I$89,3,0)*0.475*44/12</f>
        <v>17.005808294891548</v>
      </c>
      <c r="AW66" s="21">
        <f>EXP(-LN(2)/2)*AW65+(1-EXP(-LN(2)/2))/(LN(2)/2)*AQ66*AT66*VLOOKUP('Données projet'!$B$10,Paramètres!$A$1:$I$89,3,0)*0.475*44/12</f>
        <v>1.2819843660579406</v>
      </c>
      <c r="AX66" s="21">
        <f t="shared" si="6"/>
        <v>33.494955341858947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10.107499999999998</v>
      </c>
      <c r="BD66" s="12">
        <f>IF('Données projet'!$A$88&gt;35,BD65+BC66-BL65,IF(A66&lt;'Données projet'!$A$88,$BA$205^A66,IF(A66='Données projet'!$A$88,'Données projet'!$B$88,BD65+BC66-BL65)))</f>
        <v>256.44750000000028</v>
      </c>
      <c r="BE66" s="13">
        <f>BD66*VLOOKUP('Données projet'!$B$11,Paramètres!$A$1:$I$89,3,0)*VLOOKUP('Données projet'!$B$11,Paramètres!$A$1:$I$89,5,0)</f>
        <v>244.03544100000028</v>
      </c>
      <c r="BF66" s="13">
        <f t="shared" si="37"/>
        <v>59.306930881715026</v>
      </c>
      <c r="BG66" s="20">
        <f t="shared" si="7"/>
        <v>528.3212976939875</v>
      </c>
      <c r="BH66" s="59">
        <f t="shared" si="8"/>
        <v>791.21763603739362</v>
      </c>
      <c r="BI66" s="59">
        <f ca="1">AVERAGE(OFFSET($BH$3,0,0,'Données projet'!$E$11+1,1))-AVERAGE(OFFSET($H$3,0,0,'Données projet'!$E$11+1,1))</f>
        <v>711.91538686535682</v>
      </c>
      <c r="BJ66" s="59">
        <f t="shared" si="38"/>
        <v>313.24593837351722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33.395157688273777</v>
      </c>
      <c r="BR66" s="21">
        <f>EXP(-LN(2)/2)*BR65+(1-EXP(-LN(2)/2))/(LN(2)/2)*BL66*BO66*VLOOKUP('Données projet'!$B$11,Paramètres!$A$1:$I$89,3,0)*0.475*44/12</f>
        <v>1.5970520182545751</v>
      </c>
      <c r="BS66" s="22">
        <f t="shared" si="9"/>
        <v>34.992209706528349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10.107499999999998</v>
      </c>
      <c r="BY66" s="12">
        <f>IF('Données projet'!$A$114&gt;35,BY65+BX66-CG65,IF(A66&lt;'Données projet'!$A$114,$BV$205^A66,IF(A66='Données projet'!$A$114,'Données projet'!$B$114,BY65+BX66-CG65)))</f>
        <v>256.44750000000028</v>
      </c>
      <c r="BZ66" s="13">
        <f>BY66*VLOOKUP('Données projet'!$B$12,Paramètres!$A$1:$I$89,3,0)*VLOOKUP('Données projet'!$B$12,Paramètres!$A$1:$I$89,5,0)</f>
        <v>232.03369800000024</v>
      </c>
      <c r="CA66" s="13">
        <f t="shared" si="39"/>
        <v>56.722189034958802</v>
      </c>
      <c r="CB66" s="20">
        <f t="shared" si="10"/>
        <v>502.91650325255364</v>
      </c>
      <c r="CC66" s="59">
        <f t="shared" si="11"/>
        <v>765.81284159595975</v>
      </c>
      <c r="CD66" s="59">
        <f ca="1">AVERAGE(OFFSET($CC$3,0,0,'Données projet'!$E$12+1,1))-AVERAGE(OFFSET($H$3,0,0,'Données projet'!$E$12+1,1))</f>
        <v>681.47578137804555</v>
      </c>
      <c r="CE66" s="59">
        <f t="shared" si="40"/>
        <v>300.88511065995885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31.752772883932444</v>
      </c>
      <c r="CM66" s="21">
        <f>EXP(-LN(2)/2)*CM65+(1-EXP(-LN(2)/2))/(LN(2)/2)*CG66*CJ66*VLOOKUP('Données projet'!$B$12,Paramètres!$A$1:$I$89,3,0)*0.475*44/12</f>
        <v>1.5185084763732029</v>
      </c>
      <c r="CN66" s="22">
        <f t="shared" si="12"/>
        <v>33.27128136030565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2.5641025641025634</v>
      </c>
      <c r="CT66" s="12">
        <f>IF('Données projet'!$A$140&gt;35,CT65+CS66-DB65,IF(A66&lt;'Données projet'!$A$140,$CQ$205^A66,IF(A66='Données projet'!$A$140,'Données projet'!$B$140,CT65+CS66-DB65)))</f>
        <v>103.2051282051282</v>
      </c>
      <c r="CU66" s="17">
        <f>CT66*VLOOKUP('Données projet'!$B$13,Paramètres!$A$1:$I$89,3,0)*VLOOKUP('Données projet'!$B$13,Paramètres!$A$1:$I$89,5,0)</f>
        <v>83.720000000000013</v>
      </c>
      <c r="CV66" s="13">
        <f t="shared" si="41"/>
        <v>23.044323503842598</v>
      </c>
      <c r="CW66" s="20">
        <f t="shared" si="13"/>
        <v>185.9478634358592</v>
      </c>
      <c r="CX66" s="59">
        <f t="shared" si="14"/>
        <v>448.84420177926529</v>
      </c>
      <c r="CY66" s="59">
        <f ca="1">AVERAGE(OFFSET($CX$3,0,0,'Données projet'!$E$13+1,1))-AVERAGE(OFFSET($H$3,0,0,'Données projet'!$E$13+1,1))</f>
        <v>186.54446846714993</v>
      </c>
      <c r="CZ66" s="59">
        <f t="shared" si="42"/>
        <v>154.43773051601286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3.2189031976532165</v>
      </c>
      <c r="DH66" s="21">
        <f>EXP(-LN(2)/2)*DH65+(1-EXP(-LN(2)/2))/(LN(2)/2)*DB66*DE66*VLOOKUP('Données projet'!$B$13,Paramètres!$A$1:$I$89,3,0)*0.475*44/12</f>
        <v>0.5794122632258154</v>
      </c>
      <c r="DI66" s="22">
        <f t="shared" si="15"/>
        <v>3.7983154608790319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>
        <f>VLOOKUP(A66,'Données projet'!$A$165:$I$185,2,0)</f>
        <v>167.64</v>
      </c>
      <c r="DM66" s="12">
        <f>VLOOKUP(A66,'Données projet'!$A$165:$I$185,9,0)</f>
        <v>6.8699999999999974</v>
      </c>
      <c r="DN66" s="12">
        <f t="array" ref="DN66">INDEX(DM:DM,MIN(IF(ISNUMBER(DM66:DM262),ROW(DM66:DM262),"")))</f>
        <v>6.8699999999999974</v>
      </c>
      <c r="DO66" s="12">
        <f>IF('Données projet'!$A$166&gt;35,DO65+DN66-DW65,IF(A66&lt;'Données projet'!$A$166,$DL$205^A66,IF(A66='Données projet'!$A$166,'Données projet'!$B$166,DO65+DN66-DW65)))</f>
        <v>167.64000000000007</v>
      </c>
      <c r="DP66" s="17">
        <f>DO66*VLOOKUP('Données projet'!$B$14,Paramètres!$A$1:$I$89,3,0)*VLOOKUP('Données projet'!$B$14,Paramètres!$A$1:$I$89,5,0)</f>
        <v>190.90843200000009</v>
      </c>
      <c r="DQ66" s="13">
        <f t="shared" si="43"/>
        <v>47.740738479951666</v>
      </c>
      <c r="DR66" s="20">
        <f t="shared" si="16"/>
        <v>415.64730525258256</v>
      </c>
      <c r="DS66" s="59">
        <f t="shared" si="17"/>
        <v>678.54364359598867</v>
      </c>
      <c r="DT66" s="59">
        <f ca="1">AVERAGE(OFFSET($DS$3,0,0,'Données projet'!$E$14+1,1))-AVERAGE(OFFSET($H$3,0,0,'Données projet'!$E$14+1,1))</f>
        <v>651.35546372812314</v>
      </c>
      <c r="DU66" s="59">
        <f t="shared" si="44"/>
        <v>293.6561676213388</v>
      </c>
      <c r="DV66" s="15">
        <f>IF(ISNA(VLOOKUP(A66,'Données projet'!$A$165:$I$185,3,0)),0,VLOOKUP(A66,'Données projet'!$A$165:$I$185,3,0))</f>
        <v>3</v>
      </c>
      <c r="DW66" s="15">
        <f>IF(ISNA(VLOOKUP(A66,'Données projet'!$A$165:$I$185,4,0)),0,VLOOKUP(A66,'Données projet'!$A$165:$I$185,4,0))</f>
        <v>35.169999999999987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0.34400000000000003</v>
      </c>
      <c r="DZ66" s="16">
        <f>IF(ISNA(VLOOKUP(A66,'Données projet'!$A$165:$I$185,7,0)),0%,VLOOKUP(A66,'Données projet'!$A$165:$I$185,7,0))</f>
        <v>0.2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43.066370068198665</v>
      </c>
      <c r="EC66" s="21">
        <f>EXP(-LN(2)/2)*EC65+(1-EXP(-LN(2)/2))/(LN(2)/2)*DW66*DZ66*VLOOKUP('Données projet'!$B$14,Paramètres!$A$1:$I$89,3,0)*0.475*44/12</f>
        <v>8.1060499971933737</v>
      </c>
      <c r="ED66" s="22">
        <f t="shared" si="18"/>
        <v>51.172420065392039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3.2051282051282071</v>
      </c>
      <c r="EJ66" s="12">
        <f>IF('Données projet'!$A$192&gt;35,EJ65+EI66-ER65,IF(A66&lt;'Données projet'!$A$192,$EG$205^A66,IF(A66='Données projet'!$A$192,'Données projet'!$B$192,EJ65+EI66-ER65)))</f>
        <v>130.76923076923083</v>
      </c>
      <c r="EK66" s="17">
        <f>EJ66*VLOOKUP('Données projet'!$B$15,Paramètres!$A$1:$I$89,3,0)*VLOOKUP('Données projet'!$B$15,Paramètres!$A$1:$I$89,5,0)</f>
        <v>136.68000000000006</v>
      </c>
      <c r="EL66" s="13">
        <f t="shared" si="45"/>
        <v>35.535381023829878</v>
      </c>
      <c r="EM66" s="20">
        <f t="shared" si="19"/>
        <v>299.94178861650374</v>
      </c>
      <c r="EN66" s="59">
        <f t="shared" si="20"/>
        <v>562.83812695990991</v>
      </c>
      <c r="EO66" s="59">
        <f ca="1">AVERAGE(OFFSET($EN$3,0,0,'Données projet'!$E$15+1,1))-AVERAGE(OFFSET($H$3,0,0,'Données projet'!$E$15+1,1))</f>
        <v>290.69667785754848</v>
      </c>
      <c r="EP66" s="59">
        <f t="shared" si="46"/>
        <v>256.28124185489082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1.0838497526953799</v>
      </c>
      <c r="EW66" s="21">
        <f>EXP(-LN(2)/25)*EW65+(1-EXP(-LN(2)/25))/(LN(2)/25)*Calculateur!ER66*Calculateur!ET66*VLOOKUP('Données projet'!$B$15,Paramètres!$A$1:$I$89,3,0)*0.475*44/12</f>
        <v>18.060303985570332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19.144153738265711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10.107499999999998</v>
      </c>
      <c r="N67" s="13">
        <f>IF('Données projet'!$A$36&gt;35,N66+M67-V66,IF(A67&lt;'Données projet'!$A$36,$K$205^A67,IF(A67='Données projet'!$A$36,'Données projet'!$B$36,N66+M67-V66)))</f>
        <v>266.55500000000029</v>
      </c>
      <c r="O67" s="13">
        <f>N67*VLOOKUP('Données projet'!$B$9,Paramètres!$A$1:$I$89,3,0)*VLOOKUP('Données projet'!$B$9,Paramètres!$A$1:$I$89,5,0)</f>
        <v>270.28677000000033</v>
      </c>
      <c r="P67" s="13">
        <f t="shared" si="33"/>
        <v>64.910125358871667</v>
      </c>
      <c r="Q67" s="20">
        <f t="shared" ref="Q67:Q98" si="54">(O67+P67)*0.475*44/12</f>
        <v>583.80125941670201</v>
      </c>
      <c r="R67" s="59">
        <f t="shared" ref="R67:R130" si="55">Q67+(I67+J67)*44/12</f>
        <v>847.22561157625682</v>
      </c>
      <c r="S67" s="59">
        <f ca="1">AVERAGE(OFFSET($R$3,0,0,'Données projet'!$E$9+1,1))-AVERAGE(OFFSET($H$3,0,0,'Données projet'!$E$9+1,1))</f>
        <v>752.45542076695506</v>
      </c>
      <c r="T67" s="59">
        <f t="shared" si="34"/>
        <v>329.70629768420724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34.611930285776054</v>
      </c>
      <c r="AB67" s="21">
        <f>EXP(-LN(2)/2)*AB66+(1-EXP(-LN(2)/2))/(LN(2)/2)*V67*Y67*VLOOKUP('Données projet'!$B$9,Paramètres!$A$1:$I$89,3,0)*0.475*44/12</f>
        <v>1.2033378734591094</v>
      </c>
      <c r="AC67" s="22">
        <f t="shared" si="3"/>
        <v>35.815268159235167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5.2</v>
      </c>
      <c r="AI67" s="13">
        <f>IF('Données projet'!$A$62&gt;35,AI66+AH67-AQ66,IF(A67&lt;'Données projet'!$A$62,$AF$205^A67,IF(A67='Données projet'!$A$62,'Données projet'!$B$62,AI66+AH67-AQ66)))</f>
        <v>300.79999999999984</v>
      </c>
      <c r="AJ67" s="13">
        <f>AI67*VLOOKUP('Données projet'!$B$10,Paramètres!$A$1:$I$89,3,0)*VLOOKUP('Données projet'!$B$10,Paramètres!$A$1:$I$89,5,0)</f>
        <v>262.7788799999999</v>
      </c>
      <c r="AK67" s="13">
        <f t="shared" si="35"/>
        <v>63.314355869176104</v>
      </c>
      <c r="AL67" s="20">
        <f t="shared" si="4"/>
        <v>567.94571913881475</v>
      </c>
      <c r="AM67" s="59">
        <f t="shared" si="5"/>
        <v>831.37007129836957</v>
      </c>
      <c r="AN67" s="59">
        <f ca="1">AVERAGE(OFFSET($AM$3,0,0,'Données projet'!$E$10+1,1))-AVERAGE(OFFSET($H$3,0,0,'Données projet'!$E$10+1,1))</f>
        <v>408.246209980743</v>
      </c>
      <c r="AO67" s="59">
        <f t="shared" si="36"/>
        <v>394.10236303013903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14.908959496190185</v>
      </c>
      <c r="AV67" s="21">
        <f>EXP(-LN(2)/25)*AV66+(1-EXP(-LN(2)/25))/(LN(2)/25)*Calculateur!AQ67*Calculateur!AS67*VLOOKUP('Données projet'!$B$10,Paramètres!$A$1:$I$89,3,0)*0.475*44/12</f>
        <v>16.540783572771147</v>
      </c>
      <c r="AW67" s="21">
        <f>EXP(-LN(2)/2)*AW66+(1-EXP(-LN(2)/2))/(LN(2)/2)*AQ67*AT67*VLOOKUP('Données projet'!$B$10,Paramètres!$A$1:$I$89,3,0)*0.475*44/12</f>
        <v>0.90649983861470718</v>
      </c>
      <c r="AX67" s="21">
        <f t="shared" si="6"/>
        <v>32.356242907576039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10.107499999999998</v>
      </c>
      <c r="BD67" s="12">
        <f>IF('Données projet'!$A$88&gt;35,BD66+BC67-BL66,IF(A67&lt;'Données projet'!$A$88,$BA$205^A67,IF(A67='Données projet'!$A$88,'Données projet'!$B$88,BD66+BC67-BL66)))</f>
        <v>266.55500000000029</v>
      </c>
      <c r="BE67" s="13">
        <f>BD67*VLOOKUP('Données projet'!$B$11,Paramètres!$A$1:$I$89,3,0)*VLOOKUP('Données projet'!$B$11,Paramètres!$A$1:$I$89,5,0)</f>
        <v>253.65373800000029</v>
      </c>
      <c r="BF67" s="13">
        <f t="shared" si="37"/>
        <v>61.36767194978637</v>
      </c>
      <c r="BG67" s="20">
        <f t="shared" si="7"/>
        <v>548.66228899587838</v>
      </c>
      <c r="BH67" s="59">
        <f t="shared" si="8"/>
        <v>812.0866411554332</v>
      </c>
      <c r="BI67" s="59">
        <f ca="1">AVERAGE(OFFSET($BH$3,0,0,'Données projet'!$E$11+1,1))-AVERAGE(OFFSET($H$3,0,0,'Données projet'!$E$11+1,1))</f>
        <v>711.91538686535682</v>
      </c>
      <c r="BJ67" s="59">
        <f t="shared" si="38"/>
        <v>313.24593837351722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32.481965345112911</v>
      </c>
      <c r="BR67" s="21">
        <f>EXP(-LN(2)/2)*BR66+(1-EXP(-LN(2)/2))/(LN(2)/2)*BL67*BO67*VLOOKUP('Données projet'!$B$11,Paramètres!$A$1:$I$89,3,0)*0.475*44/12</f>
        <v>1.1292863120154719</v>
      </c>
      <c r="BS67" s="22">
        <f t="shared" si="9"/>
        <v>33.611251657128385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10.107499999999998</v>
      </c>
      <c r="BY67" s="12">
        <f>IF('Données projet'!$A$114&gt;35,BY66+BX67-CG66,IF(A67&lt;'Données projet'!$A$114,$BV$205^A67,IF(A67='Données projet'!$A$114,'Données projet'!$B$114,BY66+BX67-CG66)))</f>
        <v>266.55500000000029</v>
      </c>
      <c r="BZ67" s="13">
        <f>BY67*VLOOKUP('Données projet'!$B$12,Paramètres!$A$1:$I$89,3,0)*VLOOKUP('Données projet'!$B$12,Paramètres!$A$1:$I$89,5,0)</f>
        <v>241.17896400000026</v>
      </c>
      <c r="CA67" s="13">
        <f t="shared" si="39"/>
        <v>58.693117941200413</v>
      </c>
      <c r="CB67" s="20">
        <f t="shared" si="10"/>
        <v>522.27720938092455</v>
      </c>
      <c r="CC67" s="59">
        <f t="shared" si="11"/>
        <v>785.70156154047936</v>
      </c>
      <c r="CD67" s="59">
        <f ca="1">AVERAGE(OFFSET($CC$3,0,0,'Données projet'!$E$12+1,1))-AVERAGE(OFFSET($H$3,0,0,'Données projet'!$E$12+1,1))</f>
        <v>681.47578137804555</v>
      </c>
      <c r="CE67" s="59">
        <f t="shared" si="40"/>
        <v>300.88511065995885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30.884491639615558</v>
      </c>
      <c r="CM67" s="21">
        <f>EXP(-LN(2)/2)*CM66+(1-EXP(-LN(2)/2))/(LN(2)/2)*CG67*CJ67*VLOOKUP('Données projet'!$B$12,Paramètres!$A$1:$I$89,3,0)*0.475*44/12</f>
        <v>1.073747640932744</v>
      </c>
      <c r="CN67" s="22">
        <f t="shared" si="12"/>
        <v>31.958239280548302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2.5641025641025634</v>
      </c>
      <c r="CT67" s="12">
        <f>IF('Données projet'!$A$140&gt;35,CT66+CS67-DB66,IF(A67&lt;'Données projet'!$A$140,$CQ$205^A67,IF(A67='Données projet'!$A$140,'Données projet'!$B$140,CT66+CS67-DB66)))</f>
        <v>105.76923076923077</v>
      </c>
      <c r="CU67" s="17">
        <f>CT67*VLOOKUP('Données projet'!$B$13,Paramètres!$A$1:$I$89,3,0)*VLOOKUP('Données projet'!$B$13,Paramètres!$A$1:$I$89,5,0)</f>
        <v>85.800000000000011</v>
      </c>
      <c r="CV67" s="13">
        <f t="shared" si="41"/>
        <v>23.549485995669766</v>
      </c>
      <c r="CW67" s="20">
        <f t="shared" si="13"/>
        <v>190.45035477579154</v>
      </c>
      <c r="CX67" s="59">
        <f t="shared" si="14"/>
        <v>453.8747069353463</v>
      </c>
      <c r="CY67" s="59">
        <f ca="1">AVERAGE(OFFSET($CX$3,0,0,'Données projet'!$E$13+1,1))-AVERAGE(OFFSET($H$3,0,0,'Données projet'!$E$13+1,1))</f>
        <v>186.54446846714993</v>
      </c>
      <c r="CZ67" s="59">
        <f t="shared" si="42"/>
        <v>154.43773051601286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3.1308821204386272</v>
      </c>
      <c r="DH67" s="21">
        <f>EXP(-LN(2)/2)*DH66+(1-EXP(-LN(2)/2))/(LN(2)/2)*DB67*DE67*VLOOKUP('Données projet'!$B$13,Paramètres!$A$1:$I$89,3,0)*0.475*44/12</f>
        <v>0.40970634042961895</v>
      </c>
      <c r="DI67" s="22">
        <f t="shared" si="15"/>
        <v>3.5405884608682463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6.8770000000000007</v>
      </c>
      <c r="DO67" s="12">
        <f>IF('Données projet'!$A$166&gt;35,DO66+DN67-DW66,IF(A67&lt;'Données projet'!$A$166,$DL$205^A67,IF(A67='Données projet'!$A$166,'Données projet'!$B$166,DO66+DN67-DW66)))</f>
        <v>139.34700000000009</v>
      </c>
      <c r="DP67" s="17">
        <f>DO67*VLOOKUP('Données projet'!$B$14,Paramètres!$A$1:$I$89,3,0)*VLOOKUP('Données projet'!$B$14,Paramètres!$A$1:$I$89,5,0)</f>
        <v>158.68836360000012</v>
      </c>
      <c r="DQ67" s="13">
        <f t="shared" si="43"/>
        <v>40.546530573882677</v>
      </c>
      <c r="DR67" s="20">
        <f t="shared" si="16"/>
        <v>347.00077401951256</v>
      </c>
      <c r="DS67" s="59">
        <f t="shared" si="17"/>
        <v>610.42512617906732</v>
      </c>
      <c r="DT67" s="59">
        <f ca="1">AVERAGE(OFFSET($DS$3,0,0,'Données projet'!$E$14+1,1))-AVERAGE(OFFSET($H$3,0,0,'Données projet'!$E$14+1,1))</f>
        <v>651.35546372812314</v>
      </c>
      <c r="DU67" s="59">
        <f t="shared" si="44"/>
        <v>293.6561676213388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41.888717913921802</v>
      </c>
      <c r="EC67" s="21">
        <f>EXP(-LN(2)/2)*EC66+(1-EXP(-LN(2)/2))/(LN(2)/2)*DW67*DZ67*VLOOKUP('Données projet'!$B$14,Paramètres!$A$1:$I$89,3,0)*0.475*44/12</f>
        <v>5.7318429216526292</v>
      </c>
      <c r="ED67" s="22">
        <f t="shared" si="18"/>
        <v>47.62056083557443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3.2051282051282071</v>
      </c>
      <c r="EJ67" s="12">
        <f>IF('Données projet'!$A$192&gt;35,EJ66+EI67-ER66,IF(A67&lt;'Données projet'!$A$192,$EG$205^A67,IF(A67='Données projet'!$A$192,'Données projet'!$B$192,EJ66+EI67-ER66)))</f>
        <v>133.97435897435903</v>
      </c>
      <c r="EK67" s="17">
        <f>EJ67*VLOOKUP('Données projet'!$B$15,Paramètres!$A$1:$I$89,3,0)*VLOOKUP('Données projet'!$B$15,Paramètres!$A$1:$I$89,5,0)</f>
        <v>140.03000000000006</v>
      </c>
      <c r="EL67" s="13">
        <f t="shared" si="45"/>
        <v>36.303877988030095</v>
      </c>
      <c r="EM67" s="20">
        <f t="shared" si="19"/>
        <v>307.11483749581919</v>
      </c>
      <c r="EN67" s="59">
        <f t="shared" si="20"/>
        <v>570.539189655374</v>
      </c>
      <c r="EO67" s="59">
        <f ca="1">AVERAGE(OFFSET($EN$3,0,0,'Données projet'!$E$15+1,1))-AVERAGE(OFFSET($H$3,0,0,'Données projet'!$E$15+1,1))</f>
        <v>290.69667785754848</v>
      </c>
      <c r="EP67" s="59">
        <f t="shared" si="46"/>
        <v>256.28124185489082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1.062596120128096</v>
      </c>
      <c r="EW67" s="21">
        <f>EXP(-LN(2)/25)*EW66+(1-EXP(-LN(2)/25))/(LN(2)/25)*Calculateur!ER67*Calculateur!ET67*VLOOKUP('Données projet'!$B$15,Paramètres!$A$1:$I$89,3,0)*0.475*44/12</f>
        <v>17.566444023334803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18.629040143462898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10.107499999999998</v>
      </c>
      <c r="N68" s="13">
        <f>IF('Données projet'!$A$36&gt;35,N67+M68-V67,IF(A68&lt;'Données projet'!$A$36,$K$205^A68,IF(A68='Données projet'!$A$36,'Données projet'!$B$36,N67+M68-V67)))</f>
        <v>276.66250000000031</v>
      </c>
      <c r="O68" s="13">
        <f>N68*VLOOKUP('Données projet'!$B$9,Paramètres!$A$1:$I$89,3,0)*VLOOKUP('Données projet'!$B$9,Paramètres!$A$1:$I$89,5,0)</f>
        <v>280.53577500000034</v>
      </c>
      <c r="P68" s="13">
        <f t="shared" si="33"/>
        <v>67.080220940060286</v>
      </c>
      <c r="Q68" s="20">
        <f t="shared" si="54"/>
        <v>605.43119292893903</v>
      </c>
      <c r="R68" s="59">
        <f t="shared" si="55"/>
        <v>869.37439904539428</v>
      </c>
      <c r="S68" s="59">
        <f ca="1">AVERAGE(OFFSET($R$3,0,0,'Données projet'!$E$9+1,1))-AVERAGE(OFFSET($H$3,0,0,'Données projet'!$E$9+1,1))</f>
        <v>752.45542076695506</v>
      </c>
      <c r="T68" s="59">
        <f t="shared" si="34"/>
        <v>329.70629768420724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33.665465231949199</v>
      </c>
      <c r="AB68" s="21">
        <f>EXP(-LN(2)/2)*AB67+(1-EXP(-LN(2)/2))/(LN(2)/2)*V68*Y68*VLOOKUP('Données projet'!$B$9,Paramètres!$A$1:$I$89,3,0)*0.475*44/12</f>
        <v>0.85088837038153586</v>
      </c>
      <c r="AC68" s="22">
        <f t="shared" ref="AC68:AC131" si="57">SUM(Z68:AB68)</f>
        <v>34.516353602330732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306</v>
      </c>
      <c r="AG68" s="12">
        <f>VLOOKUP(A68,'Données projet'!$A$61:$I$81,9,0)</f>
        <v>5.2</v>
      </c>
      <c r="AH68" s="12">
        <f t="array" ref="AH68">INDEX(AG:AG,MIN(IF(ISNUMBER(AG68:AG264),ROW(AG68:AG264),"")))</f>
        <v>5.2</v>
      </c>
      <c r="AI68" s="13">
        <f>IF('Données projet'!$A$62&gt;35,AI67+AH68-AQ67,IF(A68&lt;'Données projet'!$A$62,$AF$205^A68,IF(A68='Données projet'!$A$62,'Données projet'!$B$62,AI67+AH68-AQ67)))</f>
        <v>305.99999999999983</v>
      </c>
      <c r="AJ68" s="13">
        <f>AI68*VLOOKUP('Données projet'!$B$10,Paramètres!$A$1:$I$89,3,0)*VLOOKUP('Données projet'!$B$10,Paramètres!$A$1:$I$89,5,0)</f>
        <v>267.32159999999988</v>
      </c>
      <c r="AK68" s="13">
        <f t="shared" si="35"/>
        <v>64.280515815446321</v>
      </c>
      <c r="AL68" s="20">
        <f t="shared" ref="AL68:AL131" si="58">(AJ68+AK68)*0.475*44/12</f>
        <v>577.54035171190208</v>
      </c>
      <c r="AM68" s="59">
        <f t="shared" ref="AM68:AM131" si="59">AL68+(AD68+AE68)*44/12</f>
        <v>841.48355782835733</v>
      </c>
      <c r="AN68" s="59">
        <f ca="1">AVERAGE(OFFSET($AM$3,0,0,'Données projet'!$E$10+1,1))-AVERAGE(OFFSET($H$3,0,0,'Données projet'!$E$10+1,1))</f>
        <v>408.246209980743</v>
      </c>
      <c r="AO68" s="59">
        <f t="shared" si="36"/>
        <v>394.10236303013903</v>
      </c>
      <c r="AP68" s="15">
        <f>IF(ISNA(VLOOKUP(A68,'Données projet'!$A$61:$I$81,3,0)),0,VLOOKUP(A68,'Données projet'!$A$61:$I$81,3,0))</f>
        <v>11</v>
      </c>
      <c r="AQ68" s="15">
        <f>IF(ISNA(VLOOKUP(A68,'Données projet'!$A$61:$I$81,4,0)),0,VLOOKUP(A68,'Données projet'!$A$61:$I$81,4,0))</f>
        <v>13</v>
      </c>
      <c r="AR68" s="16">
        <f>IF(ISNA(VLOOKUP(A68,'Données projet'!$A$61:$I$81,5,0)),0%,VLOOKUP(A68,'Données projet'!$A$61:$I$81,5,0)*VLOOKUP('Données projet'!$B$10,Paramètres!$A$1:$I$89,7,0))</f>
        <v>0.13250000000000001</v>
      </c>
      <c r="AS68" s="16">
        <f>IF(ISNA(VLOOKUP(A68,'Données projet'!$A$61:$I$81,6,0)),0%,VLOOKUP(A68,'Données projet'!$A$61:$I$81,6,0)*VLOOKUP('Données projet'!$B$10,Paramètres!$A$1:$I$89,7,0))</f>
        <v>0.13250000000000001</v>
      </c>
      <c r="AT68" s="16">
        <f>IF(ISNA(VLOOKUP(A68,'Données projet'!$A$61:$I$81,7,0)),0%,VLOOKUP(A68,'Données projet'!$A$61:$I$81,7,0))</f>
        <v>0.25</v>
      </c>
      <c r="AU68" s="21">
        <f>EXP(-LN(2)/35)*AU67+(1-EXP(-LN(2)/35))/(LN(2)/35)*AQ68*AR68*VLOOKUP('Données projet'!$B$10,Paramètres!$A$1:$I$89,3,0)*0.475*44/12</f>
        <v>16.280089189869351</v>
      </c>
      <c r="AV68" s="21">
        <f>EXP(-LN(2)/25)*AV67+(1-EXP(-LN(2)/25))/(LN(2)/25)*Calculateur!AQ68*Calculateur!AS68*VLOOKUP('Données projet'!$B$10,Paramètres!$A$1:$I$89,3,0)*0.475*44/12</f>
        <v>17.745410496516513</v>
      </c>
      <c r="AW68" s="21">
        <f>EXP(-LN(2)/2)*AW67+(1-EXP(-LN(2)/2))/(LN(2)/2)*AQ68*AT68*VLOOKUP('Données projet'!$B$10,Paramètres!$A$1:$I$89,3,0)*0.475*44/12</f>
        <v>3.3198537989765886</v>
      </c>
      <c r="AX68" s="21">
        <f t="shared" ref="AX68:AX131" si="60">SUM(AU68:AW68)</f>
        <v>37.345353485362452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10.107499999999998</v>
      </c>
      <c r="BD68" s="12">
        <f>IF('Données projet'!$A$88&gt;35,BD67+BC68-BL67,IF(A68&lt;'Données projet'!$A$88,$BA$205^A68,IF(A68='Données projet'!$A$88,'Données projet'!$B$88,BD67+BC68-BL67)))</f>
        <v>276.66250000000031</v>
      </c>
      <c r="BE68" s="13">
        <f>BD68*VLOOKUP('Données projet'!$B$11,Paramètres!$A$1:$I$89,3,0)*VLOOKUP('Données projet'!$B$11,Paramètres!$A$1:$I$89,5,0)</f>
        <v>263.2720350000003</v>
      </c>
      <c r="BF68" s="13">
        <f t="shared" si="37"/>
        <v>63.419335122362007</v>
      </c>
      <c r="BG68" s="20">
        <f t="shared" ref="BG68:BG131" si="61">(BE68+BF68)*0.475*44/12</f>
        <v>568.987469629781</v>
      </c>
      <c r="BH68" s="59">
        <f t="shared" ref="BH68:BH131" si="62">BG68+(AY68+AZ68)*44/12</f>
        <v>832.93067574623615</v>
      </c>
      <c r="BI68" s="59">
        <f ca="1">AVERAGE(OFFSET($BH$3,0,0,'Données projet'!$E$11+1,1))-AVERAGE(OFFSET($H$3,0,0,'Données projet'!$E$11+1,1))</f>
        <v>711.91538686535682</v>
      </c>
      <c r="BJ68" s="59">
        <f t="shared" si="38"/>
        <v>313.24593837351722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31.59374429459848</v>
      </c>
      <c r="BR68" s="21">
        <f>EXP(-LN(2)/2)*BR67+(1-EXP(-LN(2)/2))/(LN(2)/2)*BL68*BO68*VLOOKUP('Données projet'!$B$11,Paramètres!$A$1:$I$89,3,0)*0.475*44/12</f>
        <v>0.79852600912728755</v>
      </c>
      <c r="BS68" s="22">
        <f t="shared" ref="BS68:BS131" si="63">SUM(BP68:BR68)</f>
        <v>32.392270303725766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10.107499999999998</v>
      </c>
      <c r="BY68" s="12">
        <f>IF('Données projet'!$A$114&gt;35,BY67+BX68-CG67,IF(A68&lt;'Données projet'!$A$114,$BV$205^A68,IF(A68='Données projet'!$A$114,'Données projet'!$B$114,BY67+BX68-CG67)))</f>
        <v>276.66250000000031</v>
      </c>
      <c r="BZ68" s="13">
        <f>BY68*VLOOKUP('Données projet'!$B$12,Paramètres!$A$1:$I$89,3,0)*VLOOKUP('Données projet'!$B$12,Paramètres!$A$1:$I$89,5,0)</f>
        <v>250.32423000000026</v>
      </c>
      <c r="CA68" s="13">
        <f t="shared" si="39"/>
        <v>60.655364588948935</v>
      </c>
      <c r="CB68" s="20">
        <f t="shared" ref="CB68:CB131" si="64">(BZ68+CA68)*0.475*44/12</f>
        <v>541.62279390908645</v>
      </c>
      <c r="CC68" s="59">
        <f t="shared" ref="CC68:CC131" si="65">CB68+(BT68+BU68)*44/12</f>
        <v>805.5660000255416</v>
      </c>
      <c r="CD68" s="59">
        <f ca="1">AVERAGE(OFFSET($CC$3,0,0,'Données projet'!$E$12+1,1))-AVERAGE(OFFSET($H$3,0,0,'Données projet'!$E$12+1,1))</f>
        <v>681.47578137804555</v>
      </c>
      <c r="CE68" s="59">
        <f t="shared" si="40"/>
        <v>300.88511065995885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30.039953591585441</v>
      </c>
      <c r="CM68" s="21">
        <f>EXP(-LN(2)/2)*CM67+(1-EXP(-LN(2)/2))/(LN(2)/2)*CG68*CJ68*VLOOKUP('Données projet'!$B$12,Paramètres!$A$1:$I$89,3,0)*0.475*44/12</f>
        <v>0.75925423818660143</v>
      </c>
      <c r="CN68" s="22">
        <f t="shared" ref="CN68:CN131" si="66">SUM(CK68:CM68)</f>
        <v>30.799207829772044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108.33333333333334</v>
      </c>
      <c r="CR68" s="12">
        <f>VLOOKUP(A68,'Données projet'!$A$139:$I$159,9,0)</f>
        <v>2.5641025641025634</v>
      </c>
      <c r="CS68" s="12">
        <f t="array" ref="CS68">INDEX(CR:CR,MIN(IF(ISNUMBER(CR68:CR264),ROW(CR68:CR264),"")))</f>
        <v>2.5641025641025634</v>
      </c>
      <c r="CT68" s="12">
        <f>IF('Données projet'!$A$140&gt;35,CT67+CS68-DB67,IF(A68&lt;'Données projet'!$A$140,$CQ$205^A68,IF(A68='Données projet'!$A$140,'Données projet'!$B$140,CT67+CS68-DB67)))</f>
        <v>108.33333333333334</v>
      </c>
      <c r="CU68" s="17">
        <f>CT68*VLOOKUP('Données projet'!$B$13,Paramètres!$A$1:$I$89,3,0)*VLOOKUP('Données projet'!$B$13,Paramètres!$A$1:$I$89,5,0)</f>
        <v>87.880000000000024</v>
      </c>
      <c r="CV68" s="13">
        <f t="shared" si="41"/>
        <v>24.053224872750018</v>
      </c>
      <c r="CW68" s="20">
        <f t="shared" ref="CW68:CW131" si="67">(CU68+CV68)*0.475*44/12</f>
        <v>194.95036665337298</v>
      </c>
      <c r="CX68" s="59">
        <f t="shared" ref="CX68:CX131" si="68">CW68+(CO68+CP68)*44/12</f>
        <v>458.89357276982821</v>
      </c>
      <c r="CY68" s="59">
        <f ca="1">AVERAGE(OFFSET($CX$3,0,0,'Données projet'!$E$13+1,1))-AVERAGE(OFFSET($H$3,0,0,'Données projet'!$E$13+1,1))</f>
        <v>186.54446846714993</v>
      </c>
      <c r="CZ68" s="59">
        <f t="shared" si="42"/>
        <v>154.43773051601286</v>
      </c>
      <c r="DA68" s="15">
        <f>IF(ISNA(VLOOKUP(A68,'Données projet'!$A$139:$I$159,3,0)),0,VLOOKUP(A68,'Données projet'!$A$139:$I$159,3,0))</f>
        <v>11</v>
      </c>
      <c r="DB68" s="15">
        <f>IF(ISNA(VLOOKUP(A68,'Données projet'!$A$139:$I$159,4,0)),0,VLOOKUP(A68,'Données projet'!$A$139:$I$159,4,0))</f>
        <v>7.0512820512820511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0.1075</v>
      </c>
      <c r="DE68" s="16">
        <f>IF(ISNA(VLOOKUP(A68,'Données projet'!$A$139:$I$159,7,0)),0%,VLOOKUP(A68,'Données projet'!$A$139:$I$159,7,0))</f>
        <v>0.25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3.722345271117522</v>
      </c>
      <c r="DH68" s="21">
        <f>EXP(-LN(2)/2)*DH67+(1-EXP(-LN(2)/2))/(LN(2)/2)*DB68*DE68*VLOOKUP('Données projet'!$B$13,Paramètres!$A$1:$I$89,3,0)*0.475*44/12</f>
        <v>1.6389496194986131</v>
      </c>
      <c r="DI68" s="22">
        <f t="shared" ref="DI68:DI131" si="69">SUM(DF68:DH68)</f>
        <v>5.3612948906161346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6.8770000000000007</v>
      </c>
      <c r="DO68" s="12">
        <f>IF('Données projet'!$A$166&gt;35,DO67+DN68-DW67,IF(A68&lt;'Données projet'!$A$166,$DL$205^A68,IF(A68='Données projet'!$A$166,'Données projet'!$B$166,DO67+DN68-DW67)))</f>
        <v>146.2240000000001</v>
      </c>
      <c r="DP68" s="17">
        <f>DO68*VLOOKUP('Données projet'!$B$14,Paramètres!$A$1:$I$89,3,0)*VLOOKUP('Données projet'!$B$14,Paramètres!$A$1:$I$89,5,0)</f>
        <v>166.51989120000013</v>
      </c>
      <c r="DQ68" s="13">
        <f t="shared" si="43"/>
        <v>42.309659199131133</v>
      </c>
      <c r="DR68" s="20">
        <f t="shared" ref="DR68:DR131" si="70">(DP68+DQ68)*0.475*44/12</f>
        <v>363.71146694515363</v>
      </c>
      <c r="DS68" s="59">
        <f t="shared" ref="DS68:DS131" si="71">DR68+(DJ68+DK68)*44/12</f>
        <v>627.65467306160883</v>
      </c>
      <c r="DT68" s="59">
        <f ca="1">AVERAGE(OFFSET($DS$3,0,0,'Données projet'!$E$14+1,1))-AVERAGE(OFFSET($H$3,0,0,'Données projet'!$E$14+1,1))</f>
        <v>651.35546372812314</v>
      </c>
      <c r="DU68" s="59">
        <f t="shared" si="44"/>
        <v>293.6561676213388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40.74326871973367</v>
      </c>
      <c r="EC68" s="21">
        <f>EXP(-LN(2)/2)*EC67+(1-EXP(-LN(2)/2))/(LN(2)/2)*DW68*DZ68*VLOOKUP('Données projet'!$B$14,Paramètres!$A$1:$I$89,3,0)*0.475*44/12</f>
        <v>4.0530249985966869</v>
      </c>
      <c r="ED68" s="22">
        <f t="shared" ref="ED68:ED131" si="72">SUM(EA68:EC68)</f>
        <v>44.796293718330361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>
        <f>VLOOKUP(A68,'Données projet'!$A$191:$I$211,2,0)</f>
        <v>137.17948717948718</v>
      </c>
      <c r="EH68" s="12">
        <f>VLOOKUP(A68,'Données projet'!$A$191:$I$211,9,0)</f>
        <v>3.2051282051282071</v>
      </c>
      <c r="EI68" s="12">
        <f t="array" ref="EI68">INDEX(EH:EH,MIN(IF(ISNUMBER(EH68:EH264),ROW(EH68:EH264),"")))</f>
        <v>3.2051282051282071</v>
      </c>
      <c r="EJ68" s="12">
        <f>IF('Données projet'!$A$192&gt;35,EJ67+EI68-ER67,IF(A68&lt;'Données projet'!$A$192,$EG$205^A68,IF(A68='Données projet'!$A$192,'Données projet'!$B$192,EJ67+EI68-ER67)))</f>
        <v>137.17948717948724</v>
      </c>
      <c r="EK68" s="17">
        <f>EJ68*VLOOKUP('Données projet'!$B$15,Paramètres!$A$1:$I$89,3,0)*VLOOKUP('Données projet'!$B$15,Paramètres!$A$1:$I$89,5,0)</f>
        <v>143.38000000000008</v>
      </c>
      <c r="EL68" s="13">
        <f t="shared" si="45"/>
        <v>37.070237688614164</v>
      </c>
      <c r="EM68" s="20">
        <f t="shared" ref="EM68:EM131" si="73">(EK68+EL68)*0.475*44/12</f>
        <v>314.28416397433648</v>
      </c>
      <c r="EN68" s="59">
        <f t="shared" ref="EN68:EN131" si="74">EM68+(EE68+EF68)*44/12</f>
        <v>578.22737009079174</v>
      </c>
      <c r="EO68" s="59">
        <f ca="1">AVERAGE(OFFSET($EN$3,0,0,'Données projet'!$E$15+1,1))-AVERAGE(OFFSET($H$3,0,0,'Données projet'!$E$15+1,1))</f>
        <v>290.69667785754848</v>
      </c>
      <c r="EP68" s="59">
        <f t="shared" si="46"/>
        <v>256.28124185489082</v>
      </c>
      <c r="EQ68" s="15">
        <f>IF(ISNA(VLOOKUP(A68,'Données projet'!$A$191:$I$211,3,0)),0,VLOOKUP(A68,'Données projet'!$A$191:$I$211,3,0))</f>
        <v>10</v>
      </c>
      <c r="ER68" s="15">
        <f>IF(ISNA(VLOOKUP(A68,'Données projet'!$A$191:$I$211,4,0)),0,VLOOKUP(A68,'Données projet'!$A$191:$I$211,4,0))</f>
        <v>10.897435897435898</v>
      </c>
      <c r="ES68" s="16">
        <f>IF(ISNA(VLOOKUP(A68,'Données projet'!$A$191:$I$211,5,0)),0%,VLOOKUP(A68,'Données projet'!$A$191:$I$211,5,0)*VLOOKUP('Données projet'!$B$15,Paramètres!$A$1:$I$89,7,0))</f>
        <v>4.3000000000000003E-2</v>
      </c>
      <c r="ET68" s="16">
        <f>IF(ISNA(VLOOKUP(A68,'Données projet'!$A$191:$I$211,6,0)),0%,VLOOKUP(A68,'Données projet'!$A$191:$I$211,6,0)*VLOOKUP('Données projet'!$B$15,Paramètres!$A$1:$I$89,7,0))</f>
        <v>0.215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1.5831854861158741</v>
      </c>
      <c r="EW68" s="21">
        <f>EXP(-LN(2)/25)*EW67+(1-EXP(-LN(2)/25))/(LN(2)/25)*Calculateur!ER68*Calculateur!ET68*VLOOKUP('Données projet'!$B$15,Paramètres!$A$1:$I$89,3,0)*0.475*44/12</f>
        <v>19.782560819865079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21.365746305980952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286.77</v>
      </c>
      <c r="L69" s="12">
        <f>VLOOKUP(A69,'Données projet'!$A$35:$I$55,9,0)</f>
        <v>10.107499999999998</v>
      </c>
      <c r="M69" s="12">
        <f t="array" ref="M69">INDEX(L:L,MIN(IF(ISNUMBER(L69:L265),ROW(L69:L265),"")))</f>
        <v>10.107499999999998</v>
      </c>
      <c r="N69" s="13">
        <f>IF('Données projet'!$A$36&gt;35,N68+M69-V68,IF(A69&lt;'Données projet'!$A$36,$K$205^A69,IF(A69='Données projet'!$A$36,'Données projet'!$B$36,N68+M69-V68)))</f>
        <v>286.77000000000032</v>
      </c>
      <c r="O69" s="13">
        <f>N69*VLOOKUP('Données projet'!$B$9,Paramètres!$A$1:$I$89,3,0)*VLOOKUP('Données projet'!$B$9,Paramètres!$A$1:$I$89,5,0)</f>
        <v>290.78478000000035</v>
      </c>
      <c r="P69" s="13">
        <f t="shared" ref="P69:P132" si="87">EXP(-1.0587+0.8836*LN(O69)+0.284)</f>
        <v>69.241105574743742</v>
      </c>
      <c r="Q69" s="20">
        <f t="shared" si="54"/>
        <v>627.04508404267926</v>
      </c>
      <c r="R69" s="59">
        <f t="shared" si="55"/>
        <v>891.49814315986634</v>
      </c>
      <c r="S69" s="59">
        <f ca="1">AVERAGE(OFFSET($R$3,0,0,'Données projet'!$E$9+1,1))-AVERAGE(OFFSET($H$3,0,0,'Données projet'!$E$9+1,1))</f>
        <v>752.45542076695506</v>
      </c>
      <c r="T69" s="59">
        <f t="shared" ref="T69:T132" si="88">$T$3</f>
        <v>329.70629768420724</v>
      </c>
      <c r="U69" s="15">
        <f>IF(ISNA(VLOOKUP(A69,'Données projet'!$A$35:$I$55,3,0)),0,VLOOKUP(A69,'Données projet'!$A$35:$I$55,3,0))</f>
        <v>4</v>
      </c>
      <c r="V69" s="15">
        <f>IF(ISNA(VLOOKUP(A69,'Données projet'!$A$35:$I$55,4,0)),0,VLOOKUP(A69,'Données projet'!$A$35:$I$55,4,0))</f>
        <v>53.679999999999978</v>
      </c>
      <c r="W69" s="16">
        <f>IF(ISNA(VLOOKUP(A69,'Données projet'!$A$35:$I$55,5,0)),0%,VLOOKUP(A69,'Données projet'!$A$35:$I$55,5,0)*VLOOKUP('Données projet'!$B$9,Paramètres!$A$1:$I$89,7,0))</f>
        <v>0.15049999999999999</v>
      </c>
      <c r="X69" s="16">
        <f>IF(ISNA(VLOOKUP(A69,'Données projet'!$A$35:$I$55,6,0)),0%,VLOOKUP(A69,'Données projet'!$A$35:$I$55,6,0)*VLOOKUP('Données projet'!$B$9,Paramètres!$A$1:$I$89,7,0))</f>
        <v>8.6000000000000007E-2</v>
      </c>
      <c r="Y69" s="16">
        <f>IF(ISNA(VLOOKUP(A69,'Données projet'!$A$35:$I$55,7,0)),0%,VLOOKUP(A69,'Données projet'!$A$35:$I$55,7,0))</f>
        <v>0.1</v>
      </c>
      <c r="Z69" s="21">
        <f>EXP(-LN(2)/35)*Z68+(1-EXP(-LN(2)/35))/(LN(2)/35)*V69*W69*VLOOKUP('Données projet'!$B$9,Paramètres!$A$1:$I$89,3,0)*0.475*44/12</f>
        <v>9.0559511774797787</v>
      </c>
      <c r="AA69" s="21">
        <f>EXP(-LN(2)/25)*AA68+(1-EXP(-LN(2)/25))/(LN(2)/25)*Calculateur!V69*Calculateur!X69*VLOOKUP('Données projet'!$B$9,Paramètres!$A$1:$I$89,3,0)*0.475*44/12</f>
        <v>37.899335284566604</v>
      </c>
      <c r="AB69" s="21">
        <f>EXP(-LN(2)/2)*AB68+(1-EXP(-LN(2)/2))/(LN(2)/2)*V69*Y69*VLOOKUP('Données projet'!$B$9,Paramètres!$A$1:$I$89,3,0)*0.475*44/12</f>
        <v>5.7374293490177015</v>
      </c>
      <c r="AC69" s="22">
        <f t="shared" si="57"/>
        <v>52.692715811064083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4.5999999999999996</v>
      </c>
      <c r="AI69" s="13">
        <f>IF('Données projet'!$A$62&gt;35,AI68+AH69-AQ68,IF(A69&lt;'Données projet'!$A$62,$AF$205^A69,IF(A69='Données projet'!$A$62,'Données projet'!$B$62,AI68+AH69-AQ68)))</f>
        <v>297.59999999999985</v>
      </c>
      <c r="AJ69" s="13">
        <f>AI69*VLOOKUP('Données projet'!$B$10,Paramètres!$A$1:$I$89,3,0)*VLOOKUP('Données projet'!$B$10,Paramètres!$A$1:$I$89,5,0)</f>
        <v>259.98335999999989</v>
      </c>
      <c r="AK69" s="13">
        <f t="shared" ref="AK69:AK132" si="89">EXP(-1.0587+0.8836*LN(AJ69)+0.284)</f>
        <v>62.718830967388186</v>
      </c>
      <c r="AL69" s="20">
        <f t="shared" si="58"/>
        <v>562.03964926820083</v>
      </c>
      <c r="AM69" s="59">
        <f t="shared" si="59"/>
        <v>826.49270838538791</v>
      </c>
      <c r="AN69" s="59">
        <f ca="1">AVERAGE(OFFSET($AM$3,0,0,'Données projet'!$E$10+1,1))-AVERAGE(OFFSET($H$3,0,0,'Données projet'!$E$10+1,1))</f>
        <v>408.246209980743</v>
      </c>
      <c r="AO69" s="59">
        <f t="shared" ref="AO69:AO132" si="90">$AO$3</f>
        <v>394.10236303013903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15.960846570729926</v>
      </c>
      <c r="AV69" s="21">
        <f>EXP(-LN(2)/25)*AV68+(1-EXP(-LN(2)/25))/(LN(2)/25)*Calculateur!AQ69*Calculateur!AS69*VLOOKUP('Données projet'!$B$10,Paramètres!$A$1:$I$89,3,0)*0.475*44/12</f>
        <v>17.260161313298688</v>
      </c>
      <c r="AW69" s="21">
        <f>EXP(-LN(2)/2)*AW68+(1-EXP(-LN(2)/2))/(LN(2)/2)*AQ69*AT69*VLOOKUP('Données projet'!$B$10,Paramètres!$A$1:$I$89,3,0)*0.475*44/12</f>
        <v>2.3474911338042674</v>
      </c>
      <c r="AX69" s="21">
        <f t="shared" si="60"/>
        <v>35.568499017832885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>
        <f>VLOOKUP(A69,'Données projet'!$A$87:$I$107,2,0)</f>
        <v>286.77</v>
      </c>
      <c r="BB69" s="12">
        <f>VLOOKUP(A69,'Données projet'!$A$87:$I$107,9,0)</f>
        <v>10.107499999999998</v>
      </c>
      <c r="BC69" s="12">
        <f t="array" ref="BC69">INDEX(BB:BB,MIN(IF(ISNUMBER(BB69:BB265),ROW(BB69:BB265),"")))</f>
        <v>10.107499999999998</v>
      </c>
      <c r="BD69" s="12">
        <f>IF('Données projet'!$A$88&gt;35,BD68+BC69-BL68,IF(A69&lt;'Données projet'!$A$88,$BA$205^A69,IF(A69='Données projet'!$A$88,'Données projet'!$B$88,BD68+BC69-BL68)))</f>
        <v>286.77000000000032</v>
      </c>
      <c r="BE69" s="13">
        <f>BD69*VLOOKUP('Données projet'!$B$11,Paramètres!$A$1:$I$89,3,0)*VLOOKUP('Données projet'!$B$11,Paramètres!$A$1:$I$89,5,0)</f>
        <v>272.89033200000034</v>
      </c>
      <c r="BF69" s="13">
        <f t="shared" ref="BF69:BF132" si="91">EXP(-1.0587+0.8836*LN(BE69)+0.284)</f>
        <v>65.462290033470751</v>
      </c>
      <c r="BG69" s="20">
        <f t="shared" si="61"/>
        <v>589.2974833749621</v>
      </c>
      <c r="BH69" s="59">
        <f t="shared" si="62"/>
        <v>853.75054249214918</v>
      </c>
      <c r="BI69" s="59">
        <f ca="1">AVERAGE(OFFSET($BH$3,0,0,'Données projet'!$E$11+1,1))-AVERAGE(OFFSET($H$3,0,0,'Données projet'!$E$11+1,1))</f>
        <v>711.91538686535682</v>
      </c>
      <c r="BJ69" s="59">
        <f t="shared" ref="BJ69:BJ132" si="92">$BJ$3</f>
        <v>313.24593837351722</v>
      </c>
      <c r="BK69" s="15">
        <f>IF(ISNA(VLOOKUP(A69,'Données projet'!$A$87:$I$107,3,0)),0,VLOOKUP(A69,'Données projet'!$A$87:$I$107,3,0))</f>
        <v>4</v>
      </c>
      <c r="BL69" s="15">
        <f>IF(ISNA(VLOOKUP(A69,'Données projet'!$A$87:$I$107,4,0)),0,VLOOKUP(A69,'Données projet'!$A$87:$I$107,4,0))</f>
        <v>53.679999999999978</v>
      </c>
      <c r="BM69" s="16">
        <f>IF(ISNA(VLOOKUP(A69,'Données projet'!$A$87:$I$107,5,0)),0%,VLOOKUP(A69,'Données projet'!$A$87:$I$107,5,0)*VLOOKUP('Données projet'!$B$11,Paramètres!$A$1:$I$89,7,0))</f>
        <v>0.15049999999999999</v>
      </c>
      <c r="BN69" s="16">
        <f>IF(ISNA(VLOOKUP(A69,'Données projet'!$A$87:$I$107,6,0)),0%,VLOOKUP(A69,'Données projet'!$A$87:$I$107,6,0)*VLOOKUP('Données projet'!$B$11,Paramètres!$A$1:$I$89,7,0))</f>
        <v>8.6000000000000007E-2</v>
      </c>
      <c r="BO69" s="16">
        <f>IF(ISNA(VLOOKUP(A69,'Données projet'!$A$87:$I$107,7,0)),0%,VLOOKUP(A69,'Données projet'!$A$87:$I$107,7,0))</f>
        <v>0.1</v>
      </c>
      <c r="BP69" s="21">
        <f>EXP(-LN(2)/35)*BP68+(1-EXP(-LN(2)/35))/(LN(2)/35)*BL69*BM69*VLOOKUP('Données projet'!$B$11,Paramètres!$A$1:$I$89,3,0)*0.475*44/12</f>
        <v>8.4986618742502529</v>
      </c>
      <c r="BQ69" s="21">
        <f>EXP(-LN(2)/25)*BQ68+(1-EXP(-LN(2)/25))/(LN(2)/25)*Calculateur!BL69*Calculateur!BN69*VLOOKUP('Données projet'!$B$11,Paramètres!$A$1:$I$89,3,0)*0.475*44/12</f>
        <v>35.567068497824039</v>
      </c>
      <c r="BR69" s="21">
        <f>EXP(-LN(2)/2)*BR68+(1-EXP(-LN(2)/2))/(LN(2)/2)*BL69*BO69*VLOOKUP('Données projet'!$B$11,Paramètres!$A$1:$I$89,3,0)*0.475*44/12</f>
        <v>5.3843567736935345</v>
      </c>
      <c r="BS69" s="22">
        <f t="shared" si="63"/>
        <v>49.450087145767824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>
        <f>VLOOKUP(A69,'Données projet'!$A$113:$I$133,2,0)</f>
        <v>286.77</v>
      </c>
      <c r="BW69" s="12">
        <f>VLOOKUP(A69,'Données projet'!$A$113:$I$133,9,0)</f>
        <v>10.107499999999998</v>
      </c>
      <c r="BX69" s="12">
        <f t="array" ref="BX69">INDEX(BW:BW,MIN(IF(ISNUMBER(BW69:BW265),ROW(BW69:BW265),"")))</f>
        <v>10.107499999999998</v>
      </c>
      <c r="BY69" s="12">
        <f>IF('Données projet'!$A$114&gt;35,BY68+BX69-CG68,IF(A69&lt;'Données projet'!$A$114,$BV$205^A69,IF(A69='Données projet'!$A$114,'Données projet'!$B$114,BY68+BX69-CG68)))</f>
        <v>286.77000000000032</v>
      </c>
      <c r="BZ69" s="13">
        <f>BY69*VLOOKUP('Données projet'!$B$12,Paramètres!$A$1:$I$89,3,0)*VLOOKUP('Données projet'!$B$12,Paramètres!$A$1:$I$89,5,0)</f>
        <v>259.46949600000028</v>
      </c>
      <c r="CA69" s="13">
        <f t="shared" ref="CA69:CA132" si="93">EXP(-1.0587+0.8836*LN(BZ69)+0.284)</f>
        <v>62.609282502673501</v>
      </c>
      <c r="CB69" s="20">
        <f t="shared" si="64"/>
        <v>560.95387255882349</v>
      </c>
      <c r="CC69" s="59">
        <f t="shared" si="65"/>
        <v>825.40693167601057</v>
      </c>
      <c r="CD69" s="59">
        <f ca="1">AVERAGE(OFFSET($CC$3,0,0,'Données projet'!$E$12+1,1))-AVERAGE(OFFSET($H$3,0,0,'Données projet'!$E$12+1,1))</f>
        <v>681.47578137804555</v>
      </c>
      <c r="CE69" s="59">
        <f t="shared" ref="CE69:CE132" si="94">$CE$3</f>
        <v>300.88511065995885</v>
      </c>
      <c r="CF69" s="15">
        <f>IF(ISNA(VLOOKUP(A69,'Données projet'!$A$113:$I$133,3,0)),0,VLOOKUP(A69,'Données projet'!$A$113:$I$133,3,0))</f>
        <v>4</v>
      </c>
      <c r="CG69" s="15">
        <f>IF(ISNA(VLOOKUP(A69,'Données projet'!$A$113:$I$133,4,0)),0,VLOOKUP(A69,'Données projet'!$A$113:$I$133,4,0))</f>
        <v>53.679999999999978</v>
      </c>
      <c r="CH69" s="16">
        <f>IF(ISNA(VLOOKUP(A69,'Données projet'!$A$113:$I$133,5,0)),0%,VLOOKUP(A69,'Données projet'!$A$113:$I$133,5,0)*VLOOKUP('Données projet'!$B$12,Paramètres!$A$1:$I$89,7,0))</f>
        <v>0.15049999999999999</v>
      </c>
      <c r="CI69" s="16">
        <f>IF(ISNA(VLOOKUP(A69,'Données projet'!$A$113:$I$133,6,0)),0%,VLOOKUP(A69,'Données projet'!$A$113:$I$133,6,0)*VLOOKUP('Données projet'!$B$12,Paramètres!$A$1:$I$89,7,0))</f>
        <v>8.6000000000000007E-2</v>
      </c>
      <c r="CJ69" s="16">
        <f>IF(ISNA(VLOOKUP(A69,'Données projet'!$A$113:$I$133,7,0)),0%,VLOOKUP(A69,'Données projet'!$A$113:$I$133,7,0))</f>
        <v>0.1</v>
      </c>
      <c r="CK69" s="21">
        <f>EXP(-LN(2)/35)*CK68+(1-EXP(-LN(2)/35))/(LN(2)/35)*CG69*CH69*VLOOKUP('Données projet'!$B$12,Paramètres!$A$1:$I$89,3,0)*0.475*44/12</f>
        <v>8.0806948968281098</v>
      </c>
      <c r="CL69" s="21">
        <f>EXP(-LN(2)/25)*CL68+(1-EXP(-LN(2)/25))/(LN(2)/25)*Calculateur!CG69*Calculateur!CI69*VLOOKUP('Données projet'!$B$12,Paramètres!$A$1:$I$89,3,0)*0.475*44/12</f>
        <v>33.817868407767122</v>
      </c>
      <c r="CM69" s="21">
        <f>EXP(-LN(2)/2)*CM68+(1-EXP(-LN(2)/2))/(LN(2)/2)*CG69*CJ69*VLOOKUP('Données projet'!$B$12,Paramètres!$A$1:$I$89,3,0)*0.475*44/12</f>
        <v>5.1195523422004099</v>
      </c>
      <c r="CN69" s="22">
        <f t="shared" si="66"/>
        <v>47.018115646795636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2.5641025641025577</v>
      </c>
      <c r="CT69" s="12">
        <f>IF('Données projet'!$A$140&gt;35,CT68+CS69-DB68,IF(A69&lt;'Données projet'!$A$140,$CQ$205^A69,IF(A69='Données projet'!$A$140,'Données projet'!$B$140,CT68+CS69-DB68)))</f>
        <v>103.84615384615384</v>
      </c>
      <c r="CU69" s="17">
        <f>CT69*VLOOKUP('Données projet'!$B$13,Paramètres!$A$1:$I$89,3,0)*VLOOKUP('Données projet'!$B$13,Paramètres!$A$1:$I$89,5,0)</f>
        <v>84.240000000000009</v>
      </c>
      <c r="CV69" s="13">
        <f t="shared" ref="CV69:CV132" si="95">EXP(-1.0587+0.8836*LN(CU69)+0.284)</f>
        <v>23.170749718409468</v>
      </c>
      <c r="CW69" s="20">
        <f t="shared" si="67"/>
        <v>187.07372242622981</v>
      </c>
      <c r="CX69" s="59">
        <f t="shared" si="68"/>
        <v>451.52678154341686</v>
      </c>
      <c r="CY69" s="59">
        <f ca="1">AVERAGE(OFFSET($CX$3,0,0,'Données projet'!$E$13+1,1))-AVERAGE(OFFSET($H$3,0,0,'Données projet'!$E$13+1,1))</f>
        <v>186.54446846714993</v>
      </c>
      <c r="CZ69" s="59">
        <f t="shared" ref="CZ69:CZ132" si="96">$CZ$3</f>
        <v>154.43773051601286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3.6205575439291833</v>
      </c>
      <c r="DH69" s="21">
        <f>EXP(-LN(2)/2)*DH68+(1-EXP(-LN(2)/2))/(LN(2)/2)*DB69*DE69*VLOOKUP('Données projet'!$B$13,Paramètres!$A$1:$I$89,3,0)*0.475*44/12</f>
        <v>1.1589123899705811</v>
      </c>
      <c r="DI69" s="22">
        <f t="shared" si="69"/>
        <v>4.7794699338997644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6.8770000000000007</v>
      </c>
      <c r="DO69" s="12">
        <f>IF('Données projet'!$A$166&gt;35,DO68+DN69-DW68,IF(A69&lt;'Données projet'!$A$166,$DL$205^A69,IF(A69='Données projet'!$A$166,'Données projet'!$B$166,DO68+DN69-DW68)))</f>
        <v>153.10100000000011</v>
      </c>
      <c r="DP69" s="17">
        <f>DO69*VLOOKUP('Données projet'!$B$14,Paramètres!$A$1:$I$89,3,0)*VLOOKUP('Données projet'!$B$14,Paramètres!$A$1:$I$89,5,0)</f>
        <v>174.35141880000012</v>
      </c>
      <c r="DQ69" s="13">
        <f t="shared" ref="DQ69:DQ132" si="97">EXP(-1.0587+0.8836*LN(DP69)+0.284)</f>
        <v>44.063158446709011</v>
      </c>
      <c r="DR69" s="20">
        <f t="shared" si="70"/>
        <v>380.40538870468509</v>
      </c>
      <c r="DS69" s="59">
        <f t="shared" si="71"/>
        <v>644.85844782187223</v>
      </c>
      <c r="DT69" s="59">
        <f ca="1">AVERAGE(OFFSET($DS$3,0,0,'Données projet'!$E$14+1,1))-AVERAGE(OFFSET($H$3,0,0,'Données projet'!$E$14+1,1))</f>
        <v>651.35546372812314</v>
      </c>
      <c r="DU69" s="59">
        <f t="shared" ref="DU69:DU132" si="98">$DU$3</f>
        <v>293.6561676213388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39.629141893997172</v>
      </c>
      <c r="EC69" s="21">
        <f>EXP(-LN(2)/2)*EC68+(1-EXP(-LN(2)/2))/(LN(2)/2)*DW69*DZ69*VLOOKUP('Données projet'!$B$14,Paramètres!$A$1:$I$89,3,0)*0.475*44/12</f>
        <v>2.8659214608263146</v>
      </c>
      <c r="ED69" s="22">
        <f t="shared" si="72"/>
        <v>42.495063354823486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2.9487179487179476</v>
      </c>
      <c r="EJ69" s="12">
        <f>IF('Données projet'!$A$192&gt;35,EJ68+EI69-ER68,IF(A69&lt;'Données projet'!$A$192,$EG$205^A69,IF(A69='Données projet'!$A$192,'Données projet'!$B$192,EJ68+EI69-ER68)))</f>
        <v>129.23076923076928</v>
      </c>
      <c r="EK69" s="17">
        <f>EJ69*VLOOKUP('Données projet'!$B$15,Paramètres!$A$1:$I$89,3,0)*VLOOKUP('Données projet'!$B$15,Paramètres!$A$1:$I$89,5,0)</f>
        <v>135.07200000000006</v>
      </c>
      <c r="EL69" s="13">
        <f t="shared" ref="EL69:EL132" si="99">EXP(-1.0587+0.8836*LN(EK69)+0.284)</f>
        <v>35.165726241361661</v>
      </c>
      <c r="EM69" s="20">
        <f t="shared" si="73"/>
        <v>296.49737320370497</v>
      </c>
      <c r="EN69" s="59">
        <f t="shared" si="74"/>
        <v>560.95043232089211</v>
      </c>
      <c r="EO69" s="59">
        <f ca="1">AVERAGE(OFFSET($EN$3,0,0,'Données projet'!$E$15+1,1))-AVERAGE(OFFSET($H$3,0,0,'Données projet'!$E$15+1,1))</f>
        <v>290.69667785754848</v>
      </c>
      <c r="EP69" s="59">
        <f t="shared" ref="EP69:EP132" si="100">$EP$3</f>
        <v>256.28124185489082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1.5521401843809386</v>
      </c>
      <c r="EW69" s="21">
        <f>EXP(-LN(2)/25)*EW68+(1-EXP(-LN(2)/25))/(LN(2)/25)*Calculateur!ER69*Calculateur!ET69*VLOOKUP('Données projet'!$B$15,Paramètres!$A$1:$I$89,3,0)*0.475*44/12</f>
        <v>19.241605653926207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20.793745838307146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9.733749999999997</v>
      </c>
      <c r="N70" s="13">
        <f>IF('Données projet'!$A$36&gt;35,N69+M70-V69,IF(A70&lt;'Données projet'!$A$36,$K$205^A70,IF(A70='Données projet'!$A$36,'Données projet'!$B$36,N69+M70-V69)))</f>
        <v>242.82375000000033</v>
      </c>
      <c r="O70" s="13">
        <f>N70*VLOOKUP('Données projet'!$B$9,Paramètres!$A$1:$I$89,3,0)*VLOOKUP('Données projet'!$B$9,Paramètres!$A$1:$I$89,5,0)</f>
        <v>246.22328250000032</v>
      </c>
      <c r="P70" s="13">
        <f t="shared" si="87"/>
        <v>59.776498563165894</v>
      </c>
      <c r="Q70" s="20">
        <f t="shared" si="54"/>
        <v>532.94961868501457</v>
      </c>
      <c r="R70" s="59">
        <f t="shared" si="55"/>
        <v>797.90368599323142</v>
      </c>
      <c r="S70" s="59">
        <f ca="1">AVERAGE(OFFSET($R$3,0,0,'Données projet'!$E$9+1,1))-AVERAGE(OFFSET($H$3,0,0,'Données projet'!$E$9+1,1))</f>
        <v>752.45542076695506</v>
      </c>
      <c r="T70" s="59">
        <f t="shared" si="88"/>
        <v>329.70629768420724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8.8783694984742105</v>
      </c>
      <c r="AA70" s="21">
        <f>EXP(-LN(2)/25)*AA69+(1-EXP(-LN(2)/25))/(LN(2)/25)*Calculateur!V70*Calculateur!X70*VLOOKUP('Données projet'!$B$9,Paramètres!$A$1:$I$89,3,0)*0.475*44/12</f>
        <v>36.862975968170709</v>
      </c>
      <c r="AB70" s="21">
        <f>EXP(-LN(2)/2)*AB69+(1-EXP(-LN(2)/2))/(LN(2)/2)*V70*Y70*VLOOKUP('Données projet'!$B$9,Paramètres!$A$1:$I$89,3,0)*0.475*44/12</f>
        <v>4.0569751992691359</v>
      </c>
      <c r="AC70" s="22">
        <f t="shared" si="57"/>
        <v>49.798320665914048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4.5999999999999996</v>
      </c>
      <c r="AI70" s="13">
        <f>IF('Données projet'!$A$62&gt;35,AI69+AH70-AQ69,IF(A70&lt;'Données projet'!$A$62,$AF$205^A70,IF(A70='Données projet'!$A$62,'Données projet'!$B$62,AI69+AH70-AQ69)))</f>
        <v>302.19999999999987</v>
      </c>
      <c r="AJ70" s="13">
        <f>AI70*VLOOKUP('Données projet'!$B$10,Paramètres!$A$1:$I$89,3,0)*VLOOKUP('Données projet'!$B$10,Paramètres!$A$1:$I$89,5,0)</f>
        <v>264.00191999999993</v>
      </c>
      <c r="AK70" s="13">
        <f t="shared" si="89"/>
        <v>63.574665748345318</v>
      </c>
      <c r="AL70" s="20">
        <f t="shared" si="58"/>
        <v>570.52922017836795</v>
      </c>
      <c r="AM70" s="59">
        <f t="shared" si="59"/>
        <v>835.48328748658491</v>
      </c>
      <c r="AN70" s="59">
        <f ca="1">AVERAGE(OFFSET($AM$3,0,0,'Données projet'!$E$10+1,1))-AVERAGE(OFFSET($H$3,0,0,'Données projet'!$E$10+1,1))</f>
        <v>408.246209980743</v>
      </c>
      <c r="AO70" s="59">
        <f t="shared" si="90"/>
        <v>394.10236303013903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15.647864104633053</v>
      </c>
      <c r="AV70" s="21">
        <f>EXP(-LN(2)/25)*AV69+(1-EXP(-LN(2)/25))/(LN(2)/25)*Calculateur!AQ70*Calculateur!AS70*VLOOKUP('Données projet'!$B$10,Paramètres!$A$1:$I$89,3,0)*0.475*44/12</f>
        <v>16.7881812945141</v>
      </c>
      <c r="AW70" s="21">
        <f>EXP(-LN(2)/2)*AW69+(1-EXP(-LN(2)/2))/(LN(2)/2)*AQ70*AT70*VLOOKUP('Données projet'!$B$10,Paramètres!$A$1:$I$89,3,0)*0.475*44/12</f>
        <v>1.6599268994882945</v>
      </c>
      <c r="AX70" s="21">
        <f t="shared" si="60"/>
        <v>34.095972298635452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9.733749999999997</v>
      </c>
      <c r="BD70" s="12">
        <f>IF('Données projet'!$A$88&gt;35,BD69+BC70-BL69,IF(A70&lt;'Données projet'!$A$88,$BA$205^A70,IF(A70='Données projet'!$A$88,'Données projet'!$B$88,BD69+BC70-BL69)))</f>
        <v>242.82375000000033</v>
      </c>
      <c r="BE70" s="13">
        <f>BD70*VLOOKUP('Données projet'!$B$11,Paramètres!$A$1:$I$89,3,0)*VLOOKUP('Données projet'!$B$11,Paramètres!$A$1:$I$89,5,0)</f>
        <v>231.07108050000033</v>
      </c>
      <c r="BF70" s="13">
        <f t="shared" si="91"/>
        <v>56.514211517076802</v>
      </c>
      <c r="BG70" s="20">
        <f t="shared" si="61"/>
        <v>500.87771692974269</v>
      </c>
      <c r="BH70" s="59">
        <f t="shared" si="62"/>
        <v>765.8317842379596</v>
      </c>
      <c r="BI70" s="59">
        <f ca="1">AVERAGE(OFFSET($BH$3,0,0,'Données projet'!$E$11+1,1))-AVERAGE(OFFSET($H$3,0,0,'Données projet'!$E$11+1,1))</f>
        <v>711.91538686535682</v>
      </c>
      <c r="BJ70" s="59">
        <f t="shared" si="92"/>
        <v>313.24593837351722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8.3320082985681037</v>
      </c>
      <c r="BQ70" s="21">
        <f>EXP(-LN(2)/25)*BQ69+(1-EXP(-LN(2)/25))/(LN(2)/25)*Calculateur!BL70*Calculateur!BN70*VLOOKUP('Données projet'!$B$11,Paramètres!$A$1:$I$89,3,0)*0.475*44/12</f>
        <v>34.594485139360195</v>
      </c>
      <c r="BR70" s="21">
        <f>EXP(-LN(2)/2)*BR69+(1-EXP(-LN(2)/2))/(LN(2)/2)*BL70*BO70*VLOOKUP('Données projet'!$B$11,Paramètres!$A$1:$I$89,3,0)*0.475*44/12</f>
        <v>3.8073151870064192</v>
      </c>
      <c r="BS70" s="22">
        <f t="shared" si="63"/>
        <v>46.733808624934717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9.733749999999997</v>
      </c>
      <c r="BY70" s="12">
        <f>IF('Données projet'!$A$114&gt;35,BY69+BX70-CG69,IF(A70&lt;'Données projet'!$A$114,$BV$205^A70,IF(A70='Données projet'!$A$114,'Données projet'!$B$114,BY69+BX70-CG69)))</f>
        <v>242.82375000000033</v>
      </c>
      <c r="BZ70" s="13">
        <f>BY70*VLOOKUP('Données projet'!$B$12,Paramètres!$A$1:$I$89,3,0)*VLOOKUP('Données projet'!$B$12,Paramètres!$A$1:$I$89,5,0)</f>
        <v>219.70692900000031</v>
      </c>
      <c r="CA70" s="13">
        <f t="shared" si="93"/>
        <v>54.051183245794981</v>
      </c>
      <c r="CB70" s="20">
        <f t="shared" si="64"/>
        <v>476.79537882809342</v>
      </c>
      <c r="CC70" s="59">
        <f t="shared" si="65"/>
        <v>741.74944613631033</v>
      </c>
      <c r="CD70" s="59">
        <f ca="1">AVERAGE(OFFSET($CC$3,0,0,'Données projet'!$E$12+1,1))-AVERAGE(OFFSET($H$3,0,0,'Données projet'!$E$12+1,1))</f>
        <v>681.47578137804555</v>
      </c>
      <c r="CE70" s="59">
        <f t="shared" si="94"/>
        <v>300.88511065995885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7.9222373986385248</v>
      </c>
      <c r="CL70" s="21">
        <f>EXP(-LN(2)/25)*CL69+(1-EXP(-LN(2)/25))/(LN(2)/25)*Calculateur!CG70*Calculateur!CI70*VLOOKUP('Données projet'!$B$12,Paramètres!$A$1:$I$89,3,0)*0.475*44/12</f>
        <v>32.893117017752324</v>
      </c>
      <c r="CM70" s="21">
        <f>EXP(-LN(2)/2)*CM69+(1-EXP(-LN(2)/2))/(LN(2)/2)*CG70*CJ70*VLOOKUP('Données projet'!$B$12,Paramètres!$A$1:$I$89,3,0)*0.475*44/12</f>
        <v>3.6200701778093825</v>
      </c>
      <c r="CN70" s="22">
        <f t="shared" si="66"/>
        <v>44.435424594200228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2.5641025641025577</v>
      </c>
      <c r="CT70" s="12">
        <f>IF('Données projet'!$A$140&gt;35,CT69+CS70-DB69,IF(A70&lt;'Données projet'!$A$140,$CQ$205^A70,IF(A70='Données projet'!$A$140,'Données projet'!$B$140,CT69+CS70-DB69)))</f>
        <v>106.41025641025639</v>
      </c>
      <c r="CU70" s="17">
        <f>CT70*VLOOKUP('Données projet'!$B$13,Paramètres!$A$1:$I$89,3,0)*VLOOKUP('Données projet'!$B$13,Paramètres!$A$1:$I$89,5,0)</f>
        <v>86.32</v>
      </c>
      <c r="CV70" s="13">
        <f t="shared" si="95"/>
        <v>23.675552678472247</v>
      </c>
      <c r="CW70" s="20">
        <f t="shared" si="67"/>
        <v>191.57558758167247</v>
      </c>
      <c r="CX70" s="59">
        <f t="shared" si="68"/>
        <v>456.52965488988934</v>
      </c>
      <c r="CY70" s="59">
        <f ca="1">AVERAGE(OFFSET($CX$3,0,0,'Données projet'!$E$13+1,1))-AVERAGE(OFFSET($H$3,0,0,'Données projet'!$E$13+1,1))</f>
        <v>186.54446846714993</v>
      </c>
      <c r="CZ70" s="59">
        <f t="shared" si="96"/>
        <v>154.43773051601286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3.5215532074935934</v>
      </c>
      <c r="DH70" s="21">
        <f>EXP(-LN(2)/2)*DH69+(1-EXP(-LN(2)/2))/(LN(2)/2)*DB70*DE70*VLOOKUP('Données projet'!$B$13,Paramètres!$A$1:$I$89,3,0)*0.475*44/12</f>
        <v>0.81947480974930653</v>
      </c>
      <c r="DI70" s="22">
        <f t="shared" si="69"/>
        <v>4.3410280172429001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6.8770000000000007</v>
      </c>
      <c r="DO70" s="12">
        <f>IF('Données projet'!$A$166&gt;35,DO69+DN70-DW69,IF(A70&lt;'Données projet'!$A$166,$DL$205^A70,IF(A70='Données projet'!$A$166,'Données projet'!$B$166,DO69+DN70-DW69)))</f>
        <v>159.97800000000012</v>
      </c>
      <c r="DP70" s="17">
        <f>DO70*VLOOKUP('Données projet'!$B$14,Paramètres!$A$1:$I$89,3,0)*VLOOKUP('Données projet'!$B$14,Paramètres!$A$1:$I$89,5,0)</f>
        <v>182.18294640000013</v>
      </c>
      <c r="DQ70" s="13">
        <f t="shared" si="97"/>
        <v>45.807510267345691</v>
      </c>
      <c r="DR70" s="20">
        <f t="shared" si="70"/>
        <v>397.08337869562729</v>
      </c>
      <c r="DS70" s="59">
        <f t="shared" si="71"/>
        <v>662.03744600384425</v>
      </c>
      <c r="DT70" s="59">
        <f ca="1">AVERAGE(OFFSET($DS$3,0,0,'Données projet'!$E$14+1,1))-AVERAGE(OFFSET($H$3,0,0,'Données projet'!$E$14+1,1))</f>
        <v>651.35546372812314</v>
      </c>
      <c r="DU70" s="59">
        <f t="shared" si="98"/>
        <v>293.6561676213388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38.54548092489982</v>
      </c>
      <c r="EC70" s="21">
        <f>EXP(-LN(2)/2)*EC69+(1-EXP(-LN(2)/2))/(LN(2)/2)*DW70*DZ70*VLOOKUP('Données projet'!$B$14,Paramètres!$A$1:$I$89,3,0)*0.475*44/12</f>
        <v>2.0265124992983434</v>
      </c>
      <c r="ED70" s="22">
        <f t="shared" si="72"/>
        <v>40.571993424198162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2.9487179487179476</v>
      </c>
      <c r="EJ70" s="12">
        <f>IF('Données projet'!$A$192&gt;35,EJ69+EI70-ER69,IF(A70&lt;'Données projet'!$A$192,$EG$205^A70,IF(A70='Données projet'!$A$192,'Données projet'!$B$192,EJ69+EI70-ER69)))</f>
        <v>132.17948717948724</v>
      </c>
      <c r="EK70" s="17">
        <f>EJ70*VLOOKUP('Données projet'!$B$15,Paramètres!$A$1:$I$89,3,0)*VLOOKUP('Données projet'!$B$15,Paramètres!$A$1:$I$89,5,0)</f>
        <v>138.15400000000008</v>
      </c>
      <c r="EL70" s="13">
        <f t="shared" si="99"/>
        <v>35.873786682299354</v>
      </c>
      <c r="EM70" s="20">
        <f t="shared" si="73"/>
        <v>303.09839513833816</v>
      </c>
      <c r="EN70" s="59">
        <f t="shared" si="74"/>
        <v>568.05246244655507</v>
      </c>
      <c r="EO70" s="59">
        <f ca="1">AVERAGE(OFFSET($EN$3,0,0,'Données projet'!$E$15+1,1))-AVERAGE(OFFSET($H$3,0,0,'Données projet'!$E$15+1,1))</f>
        <v>290.69667785754848</v>
      </c>
      <c r="EP70" s="59">
        <f t="shared" si="100"/>
        <v>256.28124185489082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1.5217036620772608</v>
      </c>
      <c r="EW70" s="21">
        <f>EXP(-LN(2)/25)*EW69+(1-EXP(-LN(2)/25))/(LN(2)/25)*Calculateur!ER70*Calculateur!ET70*VLOOKUP('Données projet'!$B$15,Paramètres!$A$1:$I$89,3,0)*0.475*44/12</f>
        <v>18.71544293544753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20.237146597524792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9.733749999999997</v>
      </c>
      <c r="N71" s="13">
        <f>IF('Données projet'!$A$36&gt;35,N70+M71-V70,IF(A71&lt;'Données projet'!$A$36,$K$205^A71,IF(A71='Données projet'!$A$36,'Données projet'!$B$36,N70+M71-V70)))</f>
        <v>252.55750000000032</v>
      </c>
      <c r="O71" s="13">
        <f>N71*VLOOKUP('Données projet'!$B$9,Paramètres!$A$1:$I$89,3,0)*VLOOKUP('Données projet'!$B$9,Paramètres!$A$1:$I$89,5,0)</f>
        <v>256.09330500000038</v>
      </c>
      <c r="P71" s="13">
        <f t="shared" si="87"/>
        <v>61.888896112284726</v>
      </c>
      <c r="Q71" s="20">
        <f t="shared" si="54"/>
        <v>553.81900027056327</v>
      </c>
      <c r="R71" s="59">
        <f t="shared" si="55"/>
        <v>819.2653843977821</v>
      </c>
      <c r="S71" s="59">
        <f ca="1">AVERAGE(OFFSET($R$3,0,0,'Données projet'!$E$9+1,1))-AVERAGE(OFFSET($H$3,0,0,'Données projet'!$E$9+1,1))</f>
        <v>752.45542076695506</v>
      </c>
      <c r="T71" s="59">
        <f t="shared" si="88"/>
        <v>329.70629768420724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8.7042700878798112</v>
      </c>
      <c r="AA71" s="21">
        <f>EXP(-LN(2)/25)*AA70+(1-EXP(-LN(2)/25))/(LN(2)/25)*Calculateur!V71*Calculateur!X71*VLOOKUP('Données projet'!$B$9,Paramètres!$A$1:$I$89,3,0)*0.475*44/12</f>
        <v>35.854955951781427</v>
      </c>
      <c r="AB71" s="21">
        <f>EXP(-LN(2)/2)*AB70+(1-EXP(-LN(2)/2))/(LN(2)/2)*V71*Y71*VLOOKUP('Données projet'!$B$9,Paramètres!$A$1:$I$89,3,0)*0.475*44/12</f>
        <v>2.8687146745088512</v>
      </c>
      <c r="AC71" s="22">
        <f t="shared" si="57"/>
        <v>47.427940714170091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4.5999999999999996</v>
      </c>
      <c r="AI71" s="13">
        <f>IF('Données projet'!$A$62&gt;35,AI70+AH71-AQ70,IF(A71&lt;'Données projet'!$A$62,$AF$205^A71,IF(A71='Données projet'!$A$62,'Données projet'!$B$62,AI70+AH71-AQ70)))</f>
        <v>306.7999999999999</v>
      </c>
      <c r="AJ71" s="13">
        <f>AI71*VLOOKUP('Données projet'!$B$10,Paramètres!$A$1:$I$89,3,0)*VLOOKUP('Données projet'!$B$10,Paramètres!$A$1:$I$89,5,0)</f>
        <v>268.02047999999996</v>
      </c>
      <c r="AK71" s="13">
        <f t="shared" si="89"/>
        <v>64.42898543616613</v>
      </c>
      <c r="AL71" s="20">
        <f t="shared" si="58"/>
        <v>579.01615230132256</v>
      </c>
      <c r="AM71" s="59">
        <f t="shared" si="59"/>
        <v>844.4625364285414</v>
      </c>
      <c r="AN71" s="59">
        <f ca="1">AVERAGE(OFFSET($AM$3,0,0,'Données projet'!$E$10+1,1))-AVERAGE(OFFSET($H$3,0,0,'Données projet'!$E$10+1,1))</f>
        <v>408.246209980743</v>
      </c>
      <c r="AO71" s="59">
        <f t="shared" si="90"/>
        <v>394.10236303013903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15.341019033795886</v>
      </c>
      <c r="AV71" s="21">
        <f>EXP(-LN(2)/25)*AV70+(1-EXP(-LN(2)/25))/(LN(2)/25)*Calculateur!AQ71*Calculateur!AS71*VLOOKUP('Données projet'!$B$10,Paramètres!$A$1:$I$89,3,0)*0.475*44/12</f>
        <v>16.329107594163528</v>
      </c>
      <c r="AW71" s="21">
        <f>EXP(-LN(2)/2)*AW70+(1-EXP(-LN(2)/2))/(LN(2)/2)*AQ71*AT71*VLOOKUP('Données projet'!$B$10,Paramètres!$A$1:$I$89,3,0)*0.475*44/12</f>
        <v>1.1737455669021337</v>
      </c>
      <c r="AX71" s="21">
        <f t="shared" si="60"/>
        <v>32.843872194861547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9.733749999999997</v>
      </c>
      <c r="BD71" s="12">
        <f>IF('Données projet'!$A$88&gt;35,BD70+BC71-BL70,IF(A71&lt;'Données projet'!$A$88,$BA$205^A71,IF(A71='Données projet'!$A$88,'Données projet'!$B$88,BD70+BC71-BL70)))</f>
        <v>252.55750000000032</v>
      </c>
      <c r="BE71" s="13">
        <f>BD71*VLOOKUP('Données projet'!$B$11,Paramètres!$A$1:$I$89,3,0)*VLOOKUP('Données projet'!$B$11,Paramètres!$A$1:$I$89,5,0)</f>
        <v>240.33371700000029</v>
      </c>
      <c r="BF71" s="13">
        <f t="shared" si="91"/>
        <v>58.511325512853986</v>
      </c>
      <c r="BG71" s="20">
        <f t="shared" si="61"/>
        <v>520.48844904322118</v>
      </c>
      <c r="BH71" s="59">
        <f t="shared" si="62"/>
        <v>785.93483317044002</v>
      </c>
      <c r="BI71" s="59">
        <f ca="1">AVERAGE(OFFSET($BH$3,0,0,'Données projet'!$E$11+1,1))-AVERAGE(OFFSET($H$3,0,0,'Données projet'!$E$11+1,1))</f>
        <v>711.91538686535682</v>
      </c>
      <c r="BJ71" s="59">
        <f t="shared" si="92"/>
        <v>313.24593837351722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8.1686226978564367</v>
      </c>
      <c r="BQ71" s="21">
        <f>EXP(-LN(2)/25)*BQ70+(1-EXP(-LN(2)/25))/(LN(2)/25)*Calculateur!BL71*Calculateur!BN71*VLOOKUP('Données projet'!$B$11,Paramètres!$A$1:$I$89,3,0)*0.475*44/12</f>
        <v>33.648497123979482</v>
      </c>
      <c r="BR71" s="21">
        <f>EXP(-LN(2)/2)*BR70+(1-EXP(-LN(2)/2))/(LN(2)/2)*BL71*BO71*VLOOKUP('Données projet'!$B$11,Paramètres!$A$1:$I$89,3,0)*0.475*44/12</f>
        <v>2.6921783868467677</v>
      </c>
      <c r="BS71" s="22">
        <f t="shared" si="63"/>
        <v>44.509298208682686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9.733749999999997</v>
      </c>
      <c r="BY71" s="12">
        <f>IF('Données projet'!$A$114&gt;35,BY70+BX71-CG70,IF(A71&lt;'Données projet'!$A$114,$BV$205^A71,IF(A71='Données projet'!$A$114,'Données projet'!$B$114,BY70+BX71-CG70)))</f>
        <v>252.55750000000032</v>
      </c>
      <c r="BZ71" s="13">
        <f>BY71*VLOOKUP('Données projet'!$B$12,Paramètres!$A$1:$I$89,3,0)*VLOOKUP('Données projet'!$B$12,Paramètres!$A$1:$I$89,5,0)</f>
        <v>228.51402600000029</v>
      </c>
      <c r="CA71" s="13">
        <f t="shared" si="93"/>
        <v>55.96125810397254</v>
      </c>
      <c r="CB71" s="20">
        <f t="shared" si="64"/>
        <v>495.46111981441936</v>
      </c>
      <c r="CC71" s="59">
        <f t="shared" si="65"/>
        <v>760.9075039416382</v>
      </c>
      <c r="CD71" s="59">
        <f ca="1">AVERAGE(OFFSET($CC$3,0,0,'Données projet'!$E$12+1,1))-AVERAGE(OFFSET($H$3,0,0,'Données projet'!$E$12+1,1))</f>
        <v>681.47578137804555</v>
      </c>
      <c r="CE71" s="59">
        <f t="shared" si="94"/>
        <v>300.88511065995885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7.7668871553389076</v>
      </c>
      <c r="CL71" s="21">
        <f>EXP(-LN(2)/25)*CL70+(1-EXP(-LN(2)/25))/(LN(2)/25)*Calculateur!CG71*Calculateur!CI71*VLOOKUP('Données projet'!$B$12,Paramètres!$A$1:$I$89,3,0)*0.475*44/12</f>
        <v>31.993653003128042</v>
      </c>
      <c r="CM71" s="21">
        <f>EXP(-LN(2)/2)*CM70+(1-EXP(-LN(2)/2))/(LN(2)/2)*CG71*CJ71*VLOOKUP('Données projet'!$B$12,Paramètres!$A$1:$I$89,3,0)*0.475*44/12</f>
        <v>2.5597761711002054</v>
      </c>
      <c r="CN71" s="22">
        <f t="shared" si="66"/>
        <v>42.320316329567156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2.5641025641025577</v>
      </c>
      <c r="CT71" s="12">
        <f>IF('Données projet'!$A$140&gt;35,CT70+CS71-DB70,IF(A71&lt;'Données projet'!$A$140,$CQ$205^A71,IF(A71='Données projet'!$A$140,'Données projet'!$B$140,CT70+CS71-DB70)))</f>
        <v>108.97435897435895</v>
      </c>
      <c r="CU71" s="17">
        <f>CT71*VLOOKUP('Données projet'!$B$13,Paramètres!$A$1:$I$89,3,0)*VLOOKUP('Données projet'!$B$13,Paramètres!$A$1:$I$89,5,0)</f>
        <v>88.399999999999991</v>
      </c>
      <c r="CV71" s="13">
        <f t="shared" si="95"/>
        <v>24.178941596629553</v>
      </c>
      <c r="CW71" s="20">
        <f t="shared" si="67"/>
        <v>196.07498994746314</v>
      </c>
      <c r="CX71" s="59">
        <f t="shared" si="68"/>
        <v>461.52137407468194</v>
      </c>
      <c r="CY71" s="59">
        <f ca="1">AVERAGE(OFFSET($CX$3,0,0,'Données projet'!$E$13+1,1))-AVERAGE(OFFSET($H$3,0,0,'Données projet'!$E$13+1,1))</f>
        <v>186.54446846714993</v>
      </c>
      <c r="CZ71" s="59">
        <f t="shared" si="96"/>
        <v>154.43773051601286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3.4252561498442464</v>
      </c>
      <c r="DH71" s="21">
        <f>EXP(-LN(2)/2)*DH70+(1-EXP(-LN(2)/2))/(LN(2)/2)*DB71*DE71*VLOOKUP('Données projet'!$B$13,Paramètres!$A$1:$I$89,3,0)*0.475*44/12</f>
        <v>0.57945619498529055</v>
      </c>
      <c r="DI71" s="22">
        <f t="shared" si="69"/>
        <v>4.004712344829537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6.8770000000000007</v>
      </c>
      <c r="DO71" s="12">
        <f>IF('Données projet'!$A$166&gt;35,DO70+DN71-DW70,IF(A71&lt;'Données projet'!$A$166,$DL$205^A71,IF(A71='Données projet'!$A$166,'Données projet'!$B$166,DO70+DN71-DW70)))</f>
        <v>166.85500000000013</v>
      </c>
      <c r="DP71" s="17">
        <f>DO71*VLOOKUP('Données projet'!$B$14,Paramètres!$A$1:$I$89,3,0)*VLOOKUP('Données projet'!$B$14,Paramètres!$A$1:$I$89,5,0)</f>
        <v>190.01447400000015</v>
      </c>
      <c r="DQ71" s="13">
        <f t="shared" si="97"/>
        <v>47.543152832935974</v>
      </c>
      <c r="DR71" s="20">
        <f t="shared" si="70"/>
        <v>413.74620006736376</v>
      </c>
      <c r="DS71" s="59">
        <f t="shared" si="71"/>
        <v>679.19258419458265</v>
      </c>
      <c r="DT71" s="59">
        <f ca="1">AVERAGE(OFFSET($DS$3,0,0,'Données projet'!$E$14+1,1))-AVERAGE(OFFSET($H$3,0,0,'Données projet'!$E$14+1,1))</f>
        <v>651.35546372812314</v>
      </c>
      <c r="DU71" s="59">
        <f t="shared" si="98"/>
        <v>293.6561676213388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37.491452721989688</v>
      </c>
      <c r="EC71" s="21">
        <f>EXP(-LN(2)/2)*EC70+(1-EXP(-LN(2)/2))/(LN(2)/2)*DW71*DZ71*VLOOKUP('Données projet'!$B$14,Paramètres!$A$1:$I$89,3,0)*0.475*44/12</f>
        <v>1.4329607304131573</v>
      </c>
      <c r="ED71" s="22">
        <f t="shared" si="72"/>
        <v>38.924413452402845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2.9487179487179476</v>
      </c>
      <c r="EJ71" s="12">
        <f>IF('Données projet'!$A$192&gt;35,EJ70+EI71-ER70,IF(A71&lt;'Données projet'!$A$192,$EG$205^A71,IF(A71='Données projet'!$A$192,'Données projet'!$B$192,EJ70+EI71-ER70)))</f>
        <v>135.1282051282052</v>
      </c>
      <c r="EK71" s="17">
        <f>EJ71*VLOOKUP('Données projet'!$B$15,Paramètres!$A$1:$I$89,3,0)*VLOOKUP('Données projet'!$B$15,Paramètres!$A$1:$I$89,5,0)</f>
        <v>141.23600000000008</v>
      </c>
      <c r="EL71" s="13">
        <f t="shared" si="99"/>
        <v>36.580010725228504</v>
      </c>
      <c r="EM71" s="20">
        <f t="shared" si="73"/>
        <v>309.69621867977315</v>
      </c>
      <c r="EN71" s="59">
        <f t="shared" si="74"/>
        <v>575.14260280699204</v>
      </c>
      <c r="EO71" s="59">
        <f ca="1">AVERAGE(OFFSET($EN$3,0,0,'Données projet'!$E$15+1,1))-AVERAGE(OFFSET($H$3,0,0,'Données projet'!$E$15+1,1))</f>
        <v>290.69667785754848</v>
      </c>
      <c r="EP71" s="59">
        <f t="shared" si="100"/>
        <v>256.28124185489082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1.4918639814115127</v>
      </c>
      <c r="EW71" s="21">
        <f>EXP(-LN(2)/25)*EW70+(1-EXP(-LN(2)/25))/(LN(2)/25)*Calculateur!ER71*Calculateur!ET71*VLOOKUP('Données projet'!$B$15,Paramètres!$A$1:$I$89,3,0)*0.475*44/12</f>
        <v>18.203668164175347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19.69553214558686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9.733749999999997</v>
      </c>
      <c r="N72" s="13">
        <f>IF('Données projet'!$A$36&gt;35,N71+M72-V71,IF(A72&lt;'Données projet'!$A$36,$K$205^A72,IF(A72='Données projet'!$A$36,'Données projet'!$B$36,N71+M72-V71)))</f>
        <v>262.29125000000033</v>
      </c>
      <c r="O72" s="13">
        <f>N72*VLOOKUP('Données projet'!$B$9,Paramètres!$A$1:$I$89,3,0)*VLOOKUP('Données projet'!$B$9,Paramètres!$A$1:$I$89,5,0)</f>
        <v>265.96332750000033</v>
      </c>
      <c r="P72" s="13">
        <f t="shared" si="87"/>
        <v>63.991835900335317</v>
      </c>
      <c r="Q72" s="20">
        <f t="shared" si="54"/>
        <v>574.67190958891786</v>
      </c>
      <c r="R72" s="59">
        <f t="shared" si="55"/>
        <v>840.60206993898441</v>
      </c>
      <c r="S72" s="59">
        <f ca="1">AVERAGE(OFFSET($R$3,0,0,'Données projet'!$E$9+1,1))-AVERAGE(OFFSET($H$3,0,0,'Données projet'!$E$9+1,1))</f>
        <v>752.45542076695506</v>
      </c>
      <c r="T72" s="59">
        <f t="shared" si="88"/>
        <v>329.70629768420724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8.5335846605370129</v>
      </c>
      <c r="AA72" s="21">
        <f>EXP(-LN(2)/25)*AA71+(1-EXP(-LN(2)/25))/(LN(2)/25)*Calculateur!V72*Calculateur!X72*VLOOKUP('Données projet'!$B$9,Paramètres!$A$1:$I$89,3,0)*0.475*44/12</f>
        <v>34.874500295749776</v>
      </c>
      <c r="AB72" s="21">
        <f>EXP(-LN(2)/2)*AB71+(1-EXP(-LN(2)/2))/(LN(2)/2)*V72*Y72*VLOOKUP('Données projet'!$B$9,Paramètres!$A$1:$I$89,3,0)*0.475*44/12</f>
        <v>2.0284875996345684</v>
      </c>
      <c r="AC72" s="22">
        <f t="shared" si="57"/>
        <v>45.436572555921352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4.5999999999999996</v>
      </c>
      <c r="AI72" s="13">
        <f>IF('Données projet'!$A$62&gt;35,AI71+AH72-AQ71,IF(A72&lt;'Données projet'!$A$62,$AF$205^A72,IF(A72='Données projet'!$A$62,'Données projet'!$B$62,AI71+AH72-AQ71)))</f>
        <v>311.39999999999992</v>
      </c>
      <c r="AJ72" s="13">
        <f>AI72*VLOOKUP('Données projet'!$B$10,Paramètres!$A$1:$I$89,3,0)*VLOOKUP('Données projet'!$B$10,Paramètres!$A$1:$I$89,5,0)</f>
        <v>272.03904</v>
      </c>
      <c r="AK72" s="13">
        <f t="shared" si="89"/>
        <v>65.281815371368268</v>
      </c>
      <c r="AL72" s="20">
        <f t="shared" si="58"/>
        <v>587.50048977179972</v>
      </c>
      <c r="AM72" s="59">
        <f t="shared" si="59"/>
        <v>853.43065012186628</v>
      </c>
      <c r="AN72" s="59">
        <f ca="1">AVERAGE(OFFSET($AM$3,0,0,'Données projet'!$E$10+1,1))-AVERAGE(OFFSET($H$3,0,0,'Données projet'!$E$10+1,1))</f>
        <v>408.246209980743</v>
      </c>
      <c r="AO72" s="59">
        <f t="shared" si="90"/>
        <v>394.10236303013903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15.040191007640823</v>
      </c>
      <c r="AV72" s="21">
        <f>EXP(-LN(2)/25)*AV71+(1-EXP(-LN(2)/25))/(LN(2)/25)*Calculateur!AQ72*Calculateur!AS72*VLOOKUP('Données projet'!$B$10,Paramètres!$A$1:$I$89,3,0)*0.475*44/12</f>
        <v>15.882587288290678</v>
      </c>
      <c r="AW72" s="21">
        <f>EXP(-LN(2)/2)*AW71+(1-EXP(-LN(2)/2))/(LN(2)/2)*AQ72*AT72*VLOOKUP('Données projet'!$B$10,Paramètres!$A$1:$I$89,3,0)*0.475*44/12</f>
        <v>0.82996344974414726</v>
      </c>
      <c r="AX72" s="21">
        <f t="shared" si="60"/>
        <v>31.75274174567565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9.733749999999997</v>
      </c>
      <c r="BD72" s="12">
        <f>IF('Données projet'!$A$88&gt;35,BD71+BC72-BL71,IF(A72&lt;'Données projet'!$A$88,$BA$205^A72,IF(A72='Données projet'!$A$88,'Données projet'!$B$88,BD71+BC72-BL71)))</f>
        <v>262.29125000000033</v>
      </c>
      <c r="BE72" s="13">
        <f>BD72*VLOOKUP('Données projet'!$B$11,Paramètres!$A$1:$I$89,3,0)*VLOOKUP('Données projet'!$B$11,Paramètres!$A$1:$I$89,5,0)</f>
        <v>249.5963535000003</v>
      </c>
      <c r="BF72" s="13">
        <f t="shared" si="91"/>
        <v>60.49949790244262</v>
      </c>
      <c r="BG72" s="20">
        <f t="shared" si="61"/>
        <v>540.0836078592547</v>
      </c>
      <c r="BH72" s="59">
        <f t="shared" si="62"/>
        <v>806.01376820932126</v>
      </c>
      <c r="BI72" s="59">
        <f ca="1">AVERAGE(OFFSET($BH$3,0,0,'Données projet'!$E$11+1,1))-AVERAGE(OFFSET($H$3,0,0,'Données projet'!$E$11+1,1))</f>
        <v>711.91538686535682</v>
      </c>
      <c r="BJ72" s="59">
        <f t="shared" si="92"/>
        <v>313.24593837351722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8.0084409891193502</v>
      </c>
      <c r="BQ72" s="21">
        <f>EXP(-LN(2)/25)*BQ71+(1-EXP(-LN(2)/25))/(LN(2)/25)*Calculateur!BL72*Calculateur!BN72*VLOOKUP('Données projet'!$B$11,Paramètres!$A$1:$I$89,3,0)*0.475*44/12</f>
        <v>32.728377200626703</v>
      </c>
      <c r="BR72" s="21">
        <f>EXP(-LN(2)/2)*BR71+(1-EXP(-LN(2)/2))/(LN(2)/2)*BL72*BO72*VLOOKUP('Données projet'!$B$11,Paramètres!$A$1:$I$89,3,0)*0.475*44/12</f>
        <v>1.9036575935032101</v>
      </c>
      <c r="BS72" s="22">
        <f t="shared" si="63"/>
        <v>42.640475783249265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9.733749999999997</v>
      </c>
      <c r="BY72" s="12">
        <f>IF('Données projet'!$A$114&gt;35,BY71+BX72-CG71,IF(A72&lt;'Données projet'!$A$114,$BV$205^A72,IF(A72='Données projet'!$A$114,'Données projet'!$B$114,BY71+BX72-CG71)))</f>
        <v>262.29125000000033</v>
      </c>
      <c r="BZ72" s="13">
        <f>BY72*VLOOKUP('Données projet'!$B$12,Paramètres!$A$1:$I$89,3,0)*VLOOKUP('Données projet'!$B$12,Paramètres!$A$1:$I$89,5,0)</f>
        <v>237.32112300000028</v>
      </c>
      <c r="CA72" s="13">
        <f t="shared" si="93"/>
        <v>57.862781053141006</v>
      </c>
      <c r="CB72" s="20">
        <f t="shared" si="64"/>
        <v>514.11196622588784</v>
      </c>
      <c r="CC72" s="59">
        <f t="shared" si="65"/>
        <v>780.0421265759544</v>
      </c>
      <c r="CD72" s="59">
        <f ca="1">AVERAGE(OFFSET($CC$3,0,0,'Données projet'!$E$12+1,1))-AVERAGE(OFFSET($H$3,0,0,'Données projet'!$E$12+1,1))</f>
        <v>681.47578137804555</v>
      </c>
      <c r="CE72" s="59">
        <f t="shared" si="94"/>
        <v>300.88511065995885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7.6145832355561032</v>
      </c>
      <c r="CL72" s="21">
        <f>EXP(-LN(2)/25)*CL71+(1-EXP(-LN(2)/25))/(LN(2)/25)*Calculateur!CG72*Calculateur!CI72*VLOOKUP('Données projet'!$B$12,Paramètres!$A$1:$I$89,3,0)*0.475*44/12</f>
        <v>31.118784879284416</v>
      </c>
      <c r="CM72" s="21">
        <f>EXP(-LN(2)/2)*CM71+(1-EXP(-LN(2)/2))/(LN(2)/2)*CG72*CJ72*VLOOKUP('Données projet'!$B$12,Paramètres!$A$1:$I$89,3,0)*0.475*44/12</f>
        <v>1.8100350889046914</v>
      </c>
      <c r="CN72" s="22">
        <f t="shared" si="66"/>
        <v>40.543403203745207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2.5641025641025577</v>
      </c>
      <c r="CT72" s="12">
        <f>IF('Données projet'!$A$140&gt;35,CT71+CS72-DB71,IF(A72&lt;'Données projet'!$A$140,$CQ$205^A72,IF(A72='Données projet'!$A$140,'Données projet'!$B$140,CT71+CS72-DB71)))</f>
        <v>111.5384615384615</v>
      </c>
      <c r="CU72" s="17">
        <f>CT72*VLOOKUP('Données projet'!$B$13,Paramètres!$A$1:$I$89,3,0)*VLOOKUP('Données projet'!$B$13,Paramètres!$A$1:$I$89,5,0)</f>
        <v>90.479999999999976</v>
      </c>
      <c r="CV72" s="13">
        <f t="shared" si="95"/>
        <v>24.680953573367983</v>
      </c>
      <c r="CW72" s="20">
        <f t="shared" si="67"/>
        <v>200.57199414028253</v>
      </c>
      <c r="CX72" s="59">
        <f t="shared" si="68"/>
        <v>466.50215449034908</v>
      </c>
      <c r="CY72" s="59">
        <f ca="1">AVERAGE(OFFSET($CX$3,0,0,'Données projet'!$E$13+1,1))-AVERAGE(OFFSET($H$3,0,0,'Données projet'!$E$13+1,1))</f>
        <v>186.54446846714993</v>
      </c>
      <c r="CZ72" s="59">
        <f t="shared" si="96"/>
        <v>154.43773051601286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3.3315923403003631</v>
      </c>
      <c r="DH72" s="21">
        <f>EXP(-LN(2)/2)*DH71+(1-EXP(-LN(2)/2))/(LN(2)/2)*DB72*DE72*VLOOKUP('Données projet'!$B$13,Paramètres!$A$1:$I$89,3,0)*0.475*44/12</f>
        <v>0.40973740487465327</v>
      </c>
      <c r="DI72" s="22">
        <f t="shared" si="69"/>
        <v>3.7413297451750163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6.8770000000000007</v>
      </c>
      <c r="DO72" s="12">
        <f>IF('Données projet'!$A$166&gt;35,DO71+DN72-DW71,IF(A72&lt;'Données projet'!$A$166,$DL$205^A72,IF(A72='Données projet'!$A$166,'Données projet'!$B$166,DO71+DN72-DW71)))</f>
        <v>173.73200000000014</v>
      </c>
      <c r="DP72" s="17">
        <f>DO72*VLOOKUP('Données projet'!$B$14,Paramètres!$A$1:$I$89,3,0)*VLOOKUP('Données projet'!$B$14,Paramètres!$A$1:$I$89,5,0)</f>
        <v>197.84600160000016</v>
      </c>
      <c r="DQ72" s="13">
        <f t="shared" si="97"/>
        <v>49.270486152777018</v>
      </c>
      <c r="DR72" s="20">
        <f t="shared" si="70"/>
        <v>430.39454950275353</v>
      </c>
      <c r="DS72" s="59">
        <f t="shared" si="71"/>
        <v>696.32470985282009</v>
      </c>
      <c r="DT72" s="59">
        <f ca="1">AVERAGE(OFFSET($DS$3,0,0,'Données projet'!$E$14+1,1))-AVERAGE(OFFSET($H$3,0,0,'Données projet'!$E$14+1,1))</f>
        <v>651.35546372812314</v>
      </c>
      <c r="DU72" s="59">
        <f t="shared" si="98"/>
        <v>293.6561676213388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36.46624697571707</v>
      </c>
      <c r="EC72" s="21">
        <f>EXP(-LN(2)/2)*EC71+(1-EXP(-LN(2)/2))/(LN(2)/2)*DW72*DZ72*VLOOKUP('Données projet'!$B$14,Paramètres!$A$1:$I$89,3,0)*0.475*44/12</f>
        <v>1.0132562496491717</v>
      </c>
      <c r="ED72" s="22">
        <f t="shared" si="72"/>
        <v>37.479503225366244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2.9487179487179476</v>
      </c>
      <c r="EJ72" s="12">
        <f>IF('Données projet'!$A$192&gt;35,EJ71+EI72-ER71,IF(A72&lt;'Données projet'!$A$192,$EG$205^A72,IF(A72='Données projet'!$A$192,'Données projet'!$B$192,EJ71+EI72-ER71)))</f>
        <v>138.07692307692315</v>
      </c>
      <c r="EK72" s="17">
        <f>EJ72*VLOOKUP('Données projet'!$B$15,Paramètres!$A$1:$I$89,3,0)*VLOOKUP('Données projet'!$B$15,Paramètres!$A$1:$I$89,5,0)</f>
        <v>144.3180000000001</v>
      </c>
      <c r="EL72" s="13">
        <f t="shared" si="99"/>
        <v>37.284443058265509</v>
      </c>
      <c r="EM72" s="20">
        <f t="shared" si="73"/>
        <v>316.29092165981257</v>
      </c>
      <c r="EN72" s="59">
        <f t="shared" si="74"/>
        <v>582.22108200987918</v>
      </c>
      <c r="EO72" s="59">
        <f ca="1">AVERAGE(OFFSET($EN$3,0,0,'Données projet'!$E$15+1,1))-AVERAGE(OFFSET($H$3,0,0,'Données projet'!$E$15+1,1))</f>
        <v>290.69667785754848</v>
      </c>
      <c r="EP72" s="59">
        <f t="shared" si="100"/>
        <v>256.28124185489082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1.4626094386832118</v>
      </c>
      <c r="EW72" s="21">
        <f>EXP(-LN(2)/25)*EW71+(1-EXP(-LN(2)/25))/(LN(2)/25)*Calculateur!ER72*Calculateur!ET72*VLOOKUP('Données projet'!$B$15,Paramètres!$A$1:$I$89,3,0)*0.475*44/12</f>
        <v>17.70588790093667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19.168497339619883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9.733749999999997</v>
      </c>
      <c r="N73" s="13">
        <f>IF('Données projet'!$A$36&gt;35,N72+M73-V72,IF(A73&lt;'Données projet'!$A$36,$K$205^A73,IF(A73='Données projet'!$A$36,'Données projet'!$B$36,N72+M73-V72)))</f>
        <v>272.02500000000032</v>
      </c>
      <c r="O73" s="13">
        <f>N73*VLOOKUP('Données projet'!$B$9,Paramètres!$A$1:$I$89,3,0)*VLOOKUP('Données projet'!$B$9,Paramètres!$A$1:$I$89,5,0)</f>
        <v>275.83335000000034</v>
      </c>
      <c r="P73" s="13">
        <f t="shared" si="87"/>
        <v>66.085709101140665</v>
      </c>
      <c r="Q73" s="20">
        <f t="shared" si="54"/>
        <v>595.50902793448722</v>
      </c>
      <c r="R73" s="59">
        <f t="shared" si="55"/>
        <v>861.91457207149665</v>
      </c>
      <c r="S73" s="59">
        <f ca="1">AVERAGE(OFFSET($R$3,0,0,'Données projet'!$E$9+1,1))-AVERAGE(OFFSET($H$3,0,0,'Données projet'!$E$9+1,1))</f>
        <v>752.45542076695506</v>
      </c>
      <c r="T73" s="59">
        <f t="shared" si="88"/>
        <v>329.70629768420724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8.3662462703165765</v>
      </c>
      <c r="AA73" s="21">
        <f>EXP(-LN(2)/25)*AA72+(1-EXP(-LN(2)/25))/(LN(2)/25)*Calculateur!V73*Calculateur!X73*VLOOKUP('Données projet'!$B$9,Paramètres!$A$1:$I$89,3,0)*0.475*44/12</f>
        <v>33.920855251192236</v>
      </c>
      <c r="AB73" s="21">
        <f>EXP(-LN(2)/2)*AB72+(1-EXP(-LN(2)/2))/(LN(2)/2)*V73*Y73*VLOOKUP('Données projet'!$B$9,Paramètres!$A$1:$I$89,3,0)*0.475*44/12</f>
        <v>1.4343573372544258</v>
      </c>
      <c r="AC73" s="22">
        <f t="shared" si="57"/>
        <v>43.721458858763242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316</v>
      </c>
      <c r="AG73" s="12">
        <f>VLOOKUP(A73,'Données projet'!$A$61:$I$81,9,0)</f>
        <v>4.5999999999999996</v>
      </c>
      <c r="AH73" s="12">
        <f t="array" ref="AH73">INDEX(AG:AG,MIN(IF(ISNUMBER(AG73:AG269),ROW(AG73:AG269),"")))</f>
        <v>4.5999999999999996</v>
      </c>
      <c r="AI73" s="13">
        <f>IF('Données projet'!$A$62&gt;35,AI72+AH73-AQ72,IF(A73&lt;'Données projet'!$A$62,$AF$205^A73,IF(A73='Données projet'!$A$62,'Données projet'!$B$62,AI72+AH73-AQ72)))</f>
        <v>315.99999999999994</v>
      </c>
      <c r="AJ73" s="13">
        <f>AI73*VLOOKUP('Données projet'!$B$10,Paramètres!$A$1:$I$89,3,0)*VLOOKUP('Données projet'!$B$10,Paramètres!$A$1:$I$89,5,0)</f>
        <v>276.05759999999998</v>
      </c>
      <c r="AK73" s="13">
        <f t="shared" si="89"/>
        <v>66.133180102831929</v>
      </c>
      <c r="AL73" s="20">
        <f t="shared" si="58"/>
        <v>595.98227534576563</v>
      </c>
      <c r="AM73" s="59">
        <f t="shared" si="59"/>
        <v>862.38781948277506</v>
      </c>
      <c r="AN73" s="59">
        <f ca="1">AVERAGE(OFFSET($AM$3,0,0,'Données projet'!$E$10+1,1))-AVERAGE(OFFSET($H$3,0,0,'Données projet'!$E$10+1,1))</f>
        <v>408.246209980743</v>
      </c>
      <c r="AO73" s="59">
        <f t="shared" si="90"/>
        <v>394.10236303013903</v>
      </c>
      <c r="AP73" s="15">
        <f>IF(ISNA(VLOOKUP(A73,'Données projet'!$A$61:$I$81,3,0)),0,VLOOKUP(A73,'Données projet'!$A$61:$I$81,3,0))</f>
        <v>12</v>
      </c>
      <c r="AQ73" s="15">
        <f>IF(ISNA(VLOOKUP(A73,'Données projet'!$A$61:$I$81,4,0)),0,VLOOKUP(A73,'Données projet'!$A$61:$I$81,4,0))</f>
        <v>13</v>
      </c>
      <c r="AR73" s="16">
        <f>IF(ISNA(VLOOKUP(A73,'Données projet'!$A$61:$I$81,5,0)),0%,VLOOKUP(A73,'Données projet'!$A$61:$I$81,5,0)*VLOOKUP('Données projet'!$B$10,Paramètres!$A$1:$I$89,7,0))</f>
        <v>0.13250000000000001</v>
      </c>
      <c r="AS73" s="16">
        <f>IF(ISNA(VLOOKUP(A73,'Données projet'!$A$61:$I$81,6,0)),0%,VLOOKUP(A73,'Données projet'!$A$61:$I$81,6,0)*VLOOKUP('Données projet'!$B$10,Paramètres!$A$1:$I$89,7,0))</f>
        <v>0.13250000000000001</v>
      </c>
      <c r="AT73" s="16">
        <f>IF(ISNA(VLOOKUP(A73,'Données projet'!$A$61:$I$81,7,0)),0%,VLOOKUP(A73,'Données projet'!$A$61:$I$81,7,0))</f>
        <v>0.25</v>
      </c>
      <c r="AU73" s="21">
        <f>EXP(-LN(2)/35)*AU72+(1-EXP(-LN(2)/35))/(LN(2)/35)*AQ73*AR73*VLOOKUP('Données projet'!$B$10,Paramètres!$A$1:$I$89,3,0)*0.475*44/12</f>
        <v>16.408747331423758</v>
      </c>
      <c r="AV73" s="21">
        <f>EXP(-LN(2)/25)*AV72+(1-EXP(-LN(2)/25))/(LN(2)/25)*Calculateur!AQ73*Calculateur!AS73*VLOOKUP('Données projet'!$B$10,Paramètres!$A$1:$I$89,3,0)*0.475*44/12</f>
        <v>17.1052126240482</v>
      </c>
      <c r="AW73" s="21">
        <f>EXP(-LN(2)/2)*AW72+(1-EXP(-LN(2)/2))/(LN(2)/2)*AQ73*AT73*VLOOKUP('Données projet'!$B$10,Paramètres!$A$1:$I$89,3,0)*0.475*44/12</f>
        <v>3.2657343993986849</v>
      </c>
      <c r="AX73" s="21">
        <f t="shared" si="60"/>
        <v>36.779694354870642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9.733749999999997</v>
      </c>
      <c r="BD73" s="12">
        <f>IF('Données projet'!$A$88&gt;35,BD72+BC73-BL72,IF(A73&lt;'Données projet'!$A$88,$BA$205^A73,IF(A73='Données projet'!$A$88,'Données projet'!$B$88,BD72+BC73-BL72)))</f>
        <v>272.02500000000032</v>
      </c>
      <c r="BE73" s="13">
        <f>BD73*VLOOKUP('Données projet'!$B$11,Paramètres!$A$1:$I$89,3,0)*VLOOKUP('Données projet'!$B$11,Paramètres!$A$1:$I$89,5,0)</f>
        <v>258.85899000000029</v>
      </c>
      <c r="BF73" s="13">
        <f t="shared" si="91"/>
        <v>62.47909851145463</v>
      </c>
      <c r="BG73" s="20">
        <f t="shared" si="61"/>
        <v>559.66383749078398</v>
      </c>
      <c r="BH73" s="59">
        <f t="shared" si="62"/>
        <v>826.06938162779352</v>
      </c>
      <c r="BI73" s="59">
        <f ca="1">AVERAGE(OFFSET($BH$3,0,0,'Données projet'!$E$11+1,1))-AVERAGE(OFFSET($H$3,0,0,'Données projet'!$E$11+1,1))</f>
        <v>711.91538686535682</v>
      </c>
      <c r="BJ73" s="59">
        <f t="shared" si="92"/>
        <v>313.24593837351722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7.8514003459894024</v>
      </c>
      <c r="BQ73" s="21">
        <f>EXP(-LN(2)/25)*BQ72+(1-EXP(-LN(2)/25))/(LN(2)/25)*Calculateur!BL73*Calculateur!BN73*VLOOKUP('Données projet'!$B$11,Paramètres!$A$1:$I$89,3,0)*0.475*44/12</f>
        <v>31.833418004965012</v>
      </c>
      <c r="BR73" s="21">
        <f>EXP(-LN(2)/2)*BR72+(1-EXP(-LN(2)/2))/(LN(2)/2)*BL73*BO73*VLOOKUP('Données projet'!$B$11,Paramètres!$A$1:$I$89,3,0)*0.475*44/12</f>
        <v>1.3460891934233841</v>
      </c>
      <c r="BS73" s="22">
        <f t="shared" si="63"/>
        <v>41.030907544377797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9.733749999999997</v>
      </c>
      <c r="BY73" s="12">
        <f>IF('Données projet'!$A$114&gt;35,BY72+BX73-CG72,IF(A73&lt;'Données projet'!$A$114,$BV$205^A73,IF(A73='Données projet'!$A$114,'Données projet'!$B$114,BY72+BX73-CG72)))</f>
        <v>272.02500000000032</v>
      </c>
      <c r="BZ73" s="13">
        <f>BY73*VLOOKUP('Données projet'!$B$12,Paramètres!$A$1:$I$89,3,0)*VLOOKUP('Données projet'!$B$12,Paramètres!$A$1:$I$89,5,0)</f>
        <v>246.12822000000025</v>
      </c>
      <c r="CA73" s="13">
        <f t="shared" si="93"/>
        <v>59.756105801003123</v>
      </c>
      <c r="CB73" s="20">
        <f t="shared" si="64"/>
        <v>532.74853410341427</v>
      </c>
      <c r="CC73" s="59">
        <f t="shared" si="65"/>
        <v>799.15407824042381</v>
      </c>
      <c r="CD73" s="59">
        <f ca="1">AVERAGE(OFFSET($CC$3,0,0,'Données projet'!$E$12+1,1))-AVERAGE(OFFSET($H$3,0,0,'Données projet'!$E$12+1,1))</f>
        <v>681.47578137804555</v>
      </c>
      <c r="CE73" s="59">
        <f t="shared" si="94"/>
        <v>300.88511065995885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7.4652659027440214</v>
      </c>
      <c r="CL73" s="21">
        <f>EXP(-LN(2)/25)*CL72+(1-EXP(-LN(2)/25))/(LN(2)/25)*Calculateur!CG73*Calculateur!CI73*VLOOKUP('Données projet'!$B$12,Paramètres!$A$1:$I$89,3,0)*0.475*44/12</f>
        <v>30.267840070294611</v>
      </c>
      <c r="CM73" s="21">
        <f>EXP(-LN(2)/2)*CM72+(1-EXP(-LN(2)/2))/(LN(2)/2)*CG73*CJ73*VLOOKUP('Données projet'!$B$12,Paramètres!$A$1:$I$89,3,0)*0.475*44/12</f>
        <v>1.2798880855501029</v>
      </c>
      <c r="CN73" s="22">
        <f t="shared" si="66"/>
        <v>39.012994058588738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114.10256410256409</v>
      </c>
      <c r="CR73" s="12">
        <f>VLOOKUP(A73,'Données projet'!$A$139:$I$159,9,0)</f>
        <v>2.5641025641025577</v>
      </c>
      <c r="CS73" s="12">
        <f t="array" ref="CS73">INDEX(CR:CR,MIN(IF(ISNUMBER(CR73:CR269),ROW(CR73:CR269),"")))</f>
        <v>2.5641025641025577</v>
      </c>
      <c r="CT73" s="12">
        <f>IF('Données projet'!$A$140&gt;35,CT72+CS73-DB72,IF(A73&lt;'Données projet'!$A$140,$CQ$205^A73,IF(A73='Données projet'!$A$140,'Données projet'!$B$140,CT72+CS73-DB72)))</f>
        <v>114.10256410256406</v>
      </c>
      <c r="CU73" s="17">
        <f>CT73*VLOOKUP('Données projet'!$B$13,Paramètres!$A$1:$I$89,3,0)*VLOOKUP('Données projet'!$B$13,Paramètres!$A$1:$I$89,5,0)</f>
        <v>92.559999999999974</v>
      </c>
      <c r="CV73" s="13">
        <f t="shared" si="95"/>
        <v>25.181623906063926</v>
      </c>
      <c r="CW73" s="20">
        <f t="shared" si="67"/>
        <v>205.06666163639463</v>
      </c>
      <c r="CX73" s="59">
        <f t="shared" si="68"/>
        <v>471.47220577340408</v>
      </c>
      <c r="CY73" s="59">
        <f ca="1">AVERAGE(OFFSET($CX$3,0,0,'Données projet'!$E$13+1,1))-AVERAGE(OFFSET($H$3,0,0,'Données projet'!$E$13+1,1))</f>
        <v>186.54446846714993</v>
      </c>
      <c r="CZ73" s="59">
        <f t="shared" si="96"/>
        <v>154.43773051601286</v>
      </c>
      <c r="DA73" s="15">
        <f>IF(ISNA(VLOOKUP(A73,'Données projet'!$A$139:$I$159,3,0)),0,VLOOKUP(A73,'Données projet'!$A$139:$I$159,3,0))</f>
        <v>12</v>
      </c>
      <c r="DB73" s="15">
        <f>IF(ISNA(VLOOKUP(A73,'Données projet'!$A$139:$I$159,4,0)),0,VLOOKUP(A73,'Données projet'!$A$139:$I$159,4,0))</f>
        <v>7.0512820512820511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0.1075</v>
      </c>
      <c r="DE73" s="16">
        <f>IF(ISNA(VLOOKUP(A73,'Données projet'!$A$139:$I$159,7,0)),0%,VLOOKUP(A73,'Données projet'!$A$139:$I$159,7,0))</f>
        <v>0.25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3.9175670594622471</v>
      </c>
      <c r="DH73" s="21">
        <f>EXP(-LN(2)/2)*DH72+(1-EXP(-LN(2)/2))/(LN(2)/2)*DB73*DE73*VLOOKUP('Données projet'!$B$13,Paramètres!$A$1:$I$89,3,0)*0.475*44/12</f>
        <v>1.6389715853783506</v>
      </c>
      <c r="DI73" s="22">
        <f t="shared" si="69"/>
        <v>5.5565386448405976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6.8770000000000007</v>
      </c>
      <c r="DO73" s="12">
        <f>IF('Données projet'!$A$166&gt;35,DO72+DN73-DW72,IF(A73&lt;'Données projet'!$A$166,$DL$205^A73,IF(A73='Données projet'!$A$166,'Données projet'!$B$166,DO72+DN73-DW72)))</f>
        <v>180.60900000000015</v>
      </c>
      <c r="DP73" s="17">
        <f>DO73*VLOOKUP('Données projet'!$B$14,Paramètres!$A$1:$I$89,3,0)*VLOOKUP('Données projet'!$B$14,Paramètres!$A$1:$I$89,5,0)</f>
        <v>205.67752920000018</v>
      </c>
      <c r="DQ73" s="13">
        <f t="shared" si="97"/>
        <v>50.989876775528558</v>
      </c>
      <c r="DR73" s="20">
        <f t="shared" si="70"/>
        <v>447.02906540737916</v>
      </c>
      <c r="DS73" s="59">
        <f t="shared" si="71"/>
        <v>713.43460954438865</v>
      </c>
      <c r="DT73" s="59">
        <f ca="1">AVERAGE(OFFSET($DS$3,0,0,'Données projet'!$E$14+1,1))-AVERAGE(OFFSET($H$3,0,0,'Données projet'!$E$14+1,1))</f>
        <v>651.35546372812314</v>
      </c>
      <c r="DU73" s="59">
        <f t="shared" si="98"/>
        <v>293.6561676213388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35.469075534489505</v>
      </c>
      <c r="EC73" s="21">
        <f>EXP(-LN(2)/2)*EC72+(1-EXP(-LN(2)/2))/(LN(2)/2)*DW73*DZ73*VLOOKUP('Données projet'!$B$14,Paramètres!$A$1:$I$89,3,0)*0.475*44/12</f>
        <v>0.71648036520657865</v>
      </c>
      <c r="ED73" s="22">
        <f t="shared" si="72"/>
        <v>36.185555899696084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141.02564102564102</v>
      </c>
      <c r="EH73" s="12">
        <f>VLOOKUP(A73,'Données projet'!$A$191:$I$211,9,0)</f>
        <v>2.9487179487179476</v>
      </c>
      <c r="EI73" s="12">
        <f t="array" ref="EI73">INDEX(EH:EH,MIN(IF(ISNUMBER(EH73:EH269),ROW(EH73:EH269),"")))</f>
        <v>2.9487179487179476</v>
      </c>
      <c r="EJ73" s="12">
        <f>IF('Données projet'!$A$192&gt;35,EJ72+EI73-ER72,IF(A73&lt;'Données projet'!$A$192,$EG$205^A73,IF(A73='Données projet'!$A$192,'Données projet'!$B$192,EJ72+EI73-ER72)))</f>
        <v>141.02564102564111</v>
      </c>
      <c r="EK73" s="17">
        <f>EJ73*VLOOKUP('Données projet'!$B$15,Paramètres!$A$1:$I$89,3,0)*VLOOKUP('Données projet'!$B$15,Paramètres!$A$1:$I$89,5,0)</f>
        <v>147.40000000000009</v>
      </c>
      <c r="EL73" s="13">
        <f t="shared" si="99"/>
        <v>37.987126351804257</v>
      </c>
      <c r="EM73" s="20">
        <f t="shared" si="73"/>
        <v>322.88257839605922</v>
      </c>
      <c r="EN73" s="59">
        <f t="shared" si="74"/>
        <v>589.28812253306864</v>
      </c>
      <c r="EO73" s="59">
        <f ca="1">AVERAGE(OFFSET($EN$3,0,0,'Données projet'!$E$15+1,1))-AVERAGE(OFFSET($H$3,0,0,'Données projet'!$E$15+1,1))</f>
        <v>290.69667785754848</v>
      </c>
      <c r="EP73" s="59">
        <f t="shared" si="100"/>
        <v>256.28124185489082</v>
      </c>
      <c r="EQ73" s="15">
        <f>IF(ISNA(VLOOKUP(A73,'Données projet'!$A$191:$I$211,3,0)),0,VLOOKUP(A73,'Données projet'!$A$191:$I$211,3,0))</f>
        <v>11</v>
      </c>
      <c r="ER73" s="15">
        <f>IF(ISNA(VLOOKUP(A73,'Données projet'!$A$191:$I$211,4,0)),0,VLOOKUP(A73,'Données projet'!$A$191:$I$211,4,0))</f>
        <v>10.256410256410255</v>
      </c>
      <c r="ES73" s="16">
        <f>IF(ISNA(VLOOKUP(A73,'Données projet'!$A$191:$I$211,5,0)),0%,VLOOKUP(A73,'Données projet'!$A$191:$I$211,5,0)*VLOOKUP('Données projet'!$B$15,Paramètres!$A$1:$I$89,7,0))</f>
        <v>4.3000000000000003E-2</v>
      </c>
      <c r="ET73" s="16">
        <f>IF(ISNA(VLOOKUP(A73,'Données projet'!$A$191:$I$211,6,0)),0%,VLOOKUP(A73,'Données projet'!$A$191:$I$211,6,0)*VLOOKUP('Données projet'!$B$15,Paramètres!$A$1:$I$89,7,0))</f>
        <v>0.215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1.9435061858438125</v>
      </c>
      <c r="EW73" s="21">
        <f>EXP(-LN(2)/25)*EW72+(1-EXP(-LN(2)/25))/(LN(2)/25)*Calculateur!ER73*Calculateur!ET73*VLOOKUP('Données projet'!$B$15,Paramètres!$A$1:$I$89,3,0)*0.475*44/12</f>
        <v>19.75957558952868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21.703081775372493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9.733749999999997</v>
      </c>
      <c r="N74" s="13">
        <f>IF('Données projet'!$A$36&gt;35,N73+M74-V73,IF(A74&lt;'Données projet'!$A$36,$K$205^A74,IF(A74='Données projet'!$A$36,'Données projet'!$B$36,N73+M74-V73)))</f>
        <v>281.7587500000003</v>
      </c>
      <c r="O74" s="13">
        <f>N74*VLOOKUP('Données projet'!$B$9,Paramètres!$A$1:$I$89,3,0)*VLOOKUP('Données projet'!$B$9,Paramètres!$A$1:$I$89,5,0)</f>
        <v>285.70337250000034</v>
      </c>
      <c r="P74" s="13">
        <f t="shared" si="87"/>
        <v>68.170877307212365</v>
      </c>
      <c r="Q74" s="20">
        <f t="shared" si="54"/>
        <v>616.3309850808954</v>
      </c>
      <c r="R74" s="59">
        <f t="shared" si="55"/>
        <v>883.20366615894341</v>
      </c>
      <c r="S74" s="59">
        <f ca="1">AVERAGE(OFFSET($R$3,0,0,'Données projet'!$E$9+1,1))-AVERAGE(OFFSET($H$3,0,0,'Données projet'!$E$9+1,1))</f>
        <v>752.45542076695506</v>
      </c>
      <c r="T74" s="59">
        <f t="shared" si="88"/>
        <v>329.70629768420724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8.2021892838620225</v>
      </c>
      <c r="AA74" s="21">
        <f>EXP(-LN(2)/25)*AA73+(1-EXP(-LN(2)/25))/(LN(2)/25)*Calculateur!V74*Calculateur!X74*VLOOKUP('Données projet'!$B$9,Paramètres!$A$1:$I$89,3,0)*0.475*44/12</f>
        <v>32.993287680528134</v>
      </c>
      <c r="AB74" s="21">
        <f>EXP(-LN(2)/2)*AB73+(1-EXP(-LN(2)/2))/(LN(2)/2)*V74*Y74*VLOOKUP('Données projet'!$B$9,Paramètres!$A$1:$I$89,3,0)*0.475*44/12</f>
        <v>1.0142437998172844</v>
      </c>
      <c r="AC74" s="22">
        <f t="shared" si="57"/>
        <v>42.209720764207439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4.2</v>
      </c>
      <c r="AI74" s="13">
        <f>IF('Données projet'!$A$62&gt;35,AI73+AH74-AQ73,IF(A74&lt;'Données projet'!$A$62,$AF$205^A74,IF(A74='Données projet'!$A$62,'Données projet'!$B$62,AI73+AH74-AQ73)))</f>
        <v>307.19999999999993</v>
      </c>
      <c r="AJ74" s="13">
        <f>AI74*VLOOKUP('Données projet'!$B$10,Paramètres!$A$1:$I$89,3,0)*VLOOKUP('Données projet'!$B$10,Paramètres!$A$1:$I$89,5,0)</f>
        <v>268.36991999999998</v>
      </c>
      <c r="AK74" s="13">
        <f t="shared" si="89"/>
        <v>64.503203342054107</v>
      </c>
      <c r="AL74" s="20">
        <f t="shared" si="58"/>
        <v>579.75402315407757</v>
      </c>
      <c r="AM74" s="59">
        <f t="shared" si="59"/>
        <v>846.62670423212558</v>
      </c>
      <c r="AN74" s="59">
        <f ca="1">AVERAGE(OFFSET($AM$3,0,0,'Données projet'!$E$10+1,1))-AVERAGE(OFFSET($H$3,0,0,'Données projet'!$E$10+1,1))</f>
        <v>408.246209980743</v>
      </c>
      <c r="AO74" s="59">
        <f t="shared" si="90"/>
        <v>394.10236303013903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16.086981804602168</v>
      </c>
      <c r="AV74" s="21">
        <f>EXP(-LN(2)/25)*AV73+(1-EXP(-LN(2)/25))/(LN(2)/25)*Calculateur!AQ74*Calculateur!AS74*VLOOKUP('Données projet'!$B$10,Paramètres!$A$1:$I$89,3,0)*0.475*44/12</f>
        <v>16.637469685319566</v>
      </c>
      <c r="AW74" s="21">
        <f>EXP(-LN(2)/2)*AW73+(1-EXP(-LN(2)/2))/(LN(2)/2)*AQ74*AT74*VLOOKUP('Données projet'!$B$10,Paramètres!$A$1:$I$89,3,0)*0.475*44/12</f>
        <v>2.3092229393689871</v>
      </c>
      <c r="AX74" s="21">
        <f t="shared" si="60"/>
        <v>35.03367442929072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9.733749999999997</v>
      </c>
      <c r="BD74" s="12">
        <f>IF('Données projet'!$A$88&gt;35,BD73+BC74-BL73,IF(A74&lt;'Données projet'!$A$88,$BA$205^A74,IF(A74='Données projet'!$A$88,'Données projet'!$B$88,BD73+BC74-BL73)))</f>
        <v>281.7587500000003</v>
      </c>
      <c r="BE74" s="13">
        <f>BD74*VLOOKUP('Données projet'!$B$11,Paramètres!$A$1:$I$89,3,0)*VLOOKUP('Données projet'!$B$11,Paramètres!$A$1:$I$89,5,0)</f>
        <v>268.12162650000027</v>
      </c>
      <c r="BF74" s="13">
        <f t="shared" si="91"/>
        <v>64.450469198583448</v>
      </c>
      <c r="BG74" s="20">
        <f t="shared" si="61"/>
        <v>579.2297333416999</v>
      </c>
      <c r="BH74" s="59">
        <f t="shared" si="62"/>
        <v>846.1024144197479</v>
      </c>
      <c r="BI74" s="59">
        <f ca="1">AVERAGE(OFFSET($BH$3,0,0,'Données projet'!$E$11+1,1))-AVERAGE(OFFSET($H$3,0,0,'Données projet'!$E$11+1,1))</f>
        <v>711.91538686535682</v>
      </c>
      <c r="BJ74" s="59">
        <f t="shared" si="92"/>
        <v>313.24593837351722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7.6974391740858987</v>
      </c>
      <c r="BQ74" s="21">
        <f>EXP(-LN(2)/25)*BQ73+(1-EXP(-LN(2)/25))/(LN(2)/25)*Calculateur!BL74*Calculateur!BN74*VLOOKUP('Données projet'!$B$11,Paramètres!$A$1:$I$89,3,0)*0.475*44/12</f>
        <v>30.962931515572546</v>
      </c>
      <c r="BR74" s="21">
        <f>EXP(-LN(2)/2)*BR73+(1-EXP(-LN(2)/2))/(LN(2)/2)*BL74*BO74*VLOOKUP('Données projet'!$B$11,Paramètres!$A$1:$I$89,3,0)*0.475*44/12</f>
        <v>0.95182879675160514</v>
      </c>
      <c r="BS74" s="22">
        <f t="shared" si="63"/>
        <v>39.612199486410049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9.733749999999997</v>
      </c>
      <c r="BY74" s="12">
        <f>IF('Données projet'!$A$114&gt;35,BY73+BX74-CG73,IF(A74&lt;'Données projet'!$A$114,$BV$205^A74,IF(A74='Données projet'!$A$114,'Données projet'!$B$114,BY73+BX74-CG73)))</f>
        <v>281.7587500000003</v>
      </c>
      <c r="BZ74" s="13">
        <f>BY74*VLOOKUP('Données projet'!$B$12,Paramètres!$A$1:$I$89,3,0)*VLOOKUP('Données projet'!$B$12,Paramètres!$A$1:$I$89,5,0)</f>
        <v>254.93531700000028</v>
      </c>
      <c r="CA74" s="13">
        <f t="shared" si="93"/>
        <v>61.641559307209917</v>
      </c>
      <c r="CB74" s="20">
        <f t="shared" si="64"/>
        <v>551.37139290172445</v>
      </c>
      <c r="CC74" s="59">
        <f t="shared" si="65"/>
        <v>818.24407397977234</v>
      </c>
      <c r="CD74" s="59">
        <f ca="1">AVERAGE(OFFSET($CC$3,0,0,'Données projet'!$E$12+1,1))-AVERAGE(OFFSET($H$3,0,0,'Données projet'!$E$12+1,1))</f>
        <v>681.47578137804555</v>
      </c>
      <c r="CE74" s="59">
        <f t="shared" si="94"/>
        <v>300.88511065995885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7.3188765917538046</v>
      </c>
      <c r="CL74" s="21">
        <f>EXP(-LN(2)/25)*CL73+(1-EXP(-LN(2)/25))/(LN(2)/25)*Calculateur!CG74*Calculateur!CI74*VLOOKUP('Données projet'!$B$12,Paramètres!$A$1:$I$89,3,0)*0.475*44/12</f>
        <v>29.440164391855873</v>
      </c>
      <c r="CM74" s="21">
        <f>EXP(-LN(2)/2)*CM73+(1-EXP(-LN(2)/2))/(LN(2)/2)*CG74*CJ74*VLOOKUP('Données projet'!$B$12,Paramètres!$A$1:$I$89,3,0)*0.475*44/12</f>
        <v>0.90501754445234595</v>
      </c>
      <c r="CN74" s="22">
        <f t="shared" si="66"/>
        <v>37.664058528062029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2.3076923076923093</v>
      </c>
      <c r="CT74" s="12">
        <f>IF('Données projet'!$A$140&gt;35,CT73+CS74-DB73,IF(A74&lt;'Données projet'!$A$140,$CQ$205^A74,IF(A74='Données projet'!$A$140,'Données projet'!$B$140,CT73+CS74-DB73)))</f>
        <v>109.35897435897431</v>
      </c>
      <c r="CU74" s="17">
        <f>CT74*VLOOKUP('Données projet'!$B$13,Paramètres!$A$1:$I$89,3,0)*VLOOKUP('Données projet'!$B$13,Paramètres!$A$1:$I$89,5,0)</f>
        <v>88.711999999999961</v>
      </c>
      <c r="CV74" s="13">
        <f t="shared" si="95"/>
        <v>24.254330290837913</v>
      </c>
      <c r="CW74" s="20">
        <f t="shared" si="67"/>
        <v>196.74969192320927</v>
      </c>
      <c r="CX74" s="59">
        <f t="shared" si="68"/>
        <v>463.62237300125719</v>
      </c>
      <c r="CY74" s="59">
        <f ca="1">AVERAGE(OFFSET($CX$3,0,0,'Données projet'!$E$13+1,1))-AVERAGE(OFFSET($H$3,0,0,'Données projet'!$E$13+1,1))</f>
        <v>186.54446846714993</v>
      </c>
      <c r="CZ74" s="59">
        <f t="shared" si="96"/>
        <v>154.43773051601286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3.8104409822053542</v>
      </c>
      <c r="DH74" s="21">
        <f>EXP(-LN(2)/2)*DH73+(1-EXP(-LN(2)/2))/(LN(2)/2)*DB74*DE74*VLOOKUP('Données projet'!$B$13,Paramètres!$A$1:$I$89,3,0)*0.475*44/12</f>
        <v>1.1589279221930984</v>
      </c>
      <c r="DI74" s="22">
        <f t="shared" si="69"/>
        <v>4.9693689043984524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6.8770000000000007</v>
      </c>
      <c r="DO74" s="12">
        <f>IF('Données projet'!$A$166&gt;35,DO73+DN74-DW73,IF(A74&lt;'Données projet'!$A$166,$DL$205^A74,IF(A74='Données projet'!$A$166,'Données projet'!$B$166,DO73+DN74-DW73)))</f>
        <v>187.48600000000016</v>
      </c>
      <c r="DP74" s="17">
        <f>DO74*VLOOKUP('Données projet'!$B$14,Paramètres!$A$1:$I$89,3,0)*VLOOKUP('Données projet'!$B$14,Paramètres!$A$1:$I$89,5,0)</f>
        <v>213.50905680000017</v>
      </c>
      <c r="DQ74" s="13">
        <f t="shared" si="97"/>
        <v>52.701661754891695</v>
      </c>
      <c r="DR74" s="20">
        <f t="shared" si="70"/>
        <v>463.65033481643667</v>
      </c>
      <c r="DS74" s="59">
        <f t="shared" si="71"/>
        <v>730.52301589448462</v>
      </c>
      <c r="DT74" s="59">
        <f ca="1">AVERAGE(OFFSET($DS$3,0,0,'Données projet'!$E$14+1,1))-AVERAGE(OFFSET($H$3,0,0,'Données projet'!$E$14+1,1))</f>
        <v>651.35546372812314</v>
      </c>
      <c r="DU74" s="59">
        <f t="shared" si="98"/>
        <v>293.6561676213388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34.499171798761274</v>
      </c>
      <c r="EC74" s="21">
        <f>EXP(-LN(2)/2)*EC73+(1-EXP(-LN(2)/2))/(LN(2)/2)*DW74*DZ74*VLOOKUP('Données projet'!$B$14,Paramètres!$A$1:$I$89,3,0)*0.475*44/12</f>
        <v>0.50662812482458586</v>
      </c>
      <c r="ED74" s="22">
        <f t="shared" si="72"/>
        <v>35.005799923585862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2.4358974358974366</v>
      </c>
      <c r="EJ74" s="12">
        <f>IF('Données projet'!$A$192&gt;35,EJ73+EI74-ER73,IF(A74&lt;'Données projet'!$A$192,$EG$205^A74,IF(A74='Données projet'!$A$192,'Données projet'!$B$192,EJ73+EI74-ER73)))</f>
        <v>133.20512820512829</v>
      </c>
      <c r="EK74" s="17">
        <f>EJ74*VLOOKUP('Données projet'!$B$15,Paramètres!$A$1:$I$89,3,0)*VLOOKUP('Données projet'!$B$15,Paramètres!$A$1:$I$89,5,0)</f>
        <v>139.22600000000011</v>
      </c>
      <c r="EL74" s="13">
        <f t="shared" si="99"/>
        <v>36.119635793564029</v>
      </c>
      <c r="EM74" s="20">
        <f t="shared" si="73"/>
        <v>305.39364900712422</v>
      </c>
      <c r="EN74" s="59">
        <f t="shared" si="74"/>
        <v>572.26633008517217</v>
      </c>
      <c r="EO74" s="59">
        <f ca="1">AVERAGE(OFFSET($EN$3,0,0,'Données projet'!$E$15+1,1))-AVERAGE(OFFSET($H$3,0,0,'Données projet'!$E$15+1,1))</f>
        <v>290.69667785754848</v>
      </c>
      <c r="EP74" s="59">
        <f t="shared" si="100"/>
        <v>256.28124185489082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1.905395214961138</v>
      </c>
      <c r="EW74" s="21">
        <f>EXP(-LN(2)/25)*EW73+(1-EXP(-LN(2)/25))/(LN(2)/25)*Calculateur!ER74*Calculateur!ET74*VLOOKUP('Données projet'!$B$15,Paramètres!$A$1:$I$89,3,0)*0.475*44/12</f>
        <v>19.219248955922097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21.124644170883236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9.733749999999997</v>
      </c>
      <c r="N75" s="13">
        <f>IF('Données projet'!$A$36&gt;35,N74+M75-V74,IF(A75&lt;'Données projet'!$A$36,$K$205^A75,IF(A75='Données projet'!$A$36,'Données projet'!$B$36,N74+M75-V74)))</f>
        <v>291.49250000000029</v>
      </c>
      <c r="O75" s="13">
        <f>N75*VLOOKUP('Données projet'!$B$9,Paramètres!$A$1:$I$89,3,0)*VLOOKUP('Données projet'!$B$9,Paramètres!$A$1:$I$89,5,0)</f>
        <v>295.57339500000029</v>
      </c>
      <c r="P75" s="13">
        <f t="shared" si="87"/>
        <v>70.247675710683964</v>
      </c>
      <c r="Q75" s="20">
        <f t="shared" si="54"/>
        <v>637.13836482110844</v>
      </c>
      <c r="R75" s="59">
        <f t="shared" si="55"/>
        <v>904.47007905862961</v>
      </c>
      <c r="S75" s="59">
        <f ca="1">AVERAGE(OFFSET($R$3,0,0,'Données projet'!$E$9+1,1))-AVERAGE(OFFSET($H$3,0,0,'Données projet'!$E$9+1,1))</f>
        <v>752.45542076695506</v>
      </c>
      <c r="T75" s="59">
        <f t="shared" si="88"/>
        <v>329.70629768420724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8.041349354846961</v>
      </c>
      <c r="AA75" s="21">
        <f>EXP(-LN(2)/25)*AA74+(1-EXP(-LN(2)/25))/(LN(2)/25)*Calculateur!V75*Calculateur!X75*VLOOKUP('Données projet'!$B$9,Paramètres!$A$1:$I$89,3,0)*0.475*44/12</f>
        <v>32.091084493862503</v>
      </c>
      <c r="AB75" s="21">
        <f>EXP(-LN(2)/2)*AB74+(1-EXP(-LN(2)/2))/(LN(2)/2)*V75*Y75*VLOOKUP('Données projet'!$B$9,Paramètres!$A$1:$I$89,3,0)*0.475*44/12</f>
        <v>0.71717866862721313</v>
      </c>
      <c r="AC75" s="22">
        <f t="shared" si="57"/>
        <v>40.849612517336681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4.2</v>
      </c>
      <c r="AI75" s="13">
        <f>IF('Données projet'!$A$62&gt;35,AI74+AH75-AQ74,IF(A75&lt;'Données projet'!$A$62,$AF$205^A75,IF(A75='Données projet'!$A$62,'Données projet'!$B$62,AI74+AH75-AQ74)))</f>
        <v>311.39999999999992</v>
      </c>
      <c r="AJ75" s="13">
        <f>AI75*VLOOKUP('Données projet'!$B$10,Paramètres!$A$1:$I$89,3,0)*VLOOKUP('Données projet'!$B$10,Paramètres!$A$1:$I$89,5,0)</f>
        <v>272.03904</v>
      </c>
      <c r="AK75" s="13">
        <f t="shared" si="89"/>
        <v>65.281815371368268</v>
      </c>
      <c r="AL75" s="20">
        <f t="shared" si="58"/>
        <v>587.50048977179972</v>
      </c>
      <c r="AM75" s="59">
        <f t="shared" si="59"/>
        <v>854.83220400932078</v>
      </c>
      <c r="AN75" s="59">
        <f ca="1">AVERAGE(OFFSET($AM$3,0,0,'Données projet'!$E$10+1,1))-AVERAGE(OFFSET($H$3,0,0,'Données projet'!$E$10+1,1))</f>
        <v>408.246209980743</v>
      </c>
      <c r="AO75" s="59">
        <f t="shared" si="90"/>
        <v>394.10236303013903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15.771525903503957</v>
      </c>
      <c r="AV75" s="21">
        <f>EXP(-LN(2)/25)*AV74+(1-EXP(-LN(2)/25))/(LN(2)/25)*Calculateur!AQ75*Calculateur!AS75*VLOOKUP('Données projet'!$B$10,Paramètres!$A$1:$I$89,3,0)*0.475*44/12</f>
        <v>16.182517201847997</v>
      </c>
      <c r="AW75" s="21">
        <f>EXP(-LN(2)/2)*AW74+(1-EXP(-LN(2)/2))/(LN(2)/2)*AQ75*AT75*VLOOKUP('Données projet'!$B$10,Paramètres!$A$1:$I$89,3,0)*0.475*44/12</f>
        <v>1.6328671996993427</v>
      </c>
      <c r="AX75" s="21">
        <f t="shared" si="60"/>
        <v>33.586910305051298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9.733749999999997</v>
      </c>
      <c r="BD75" s="12">
        <f>IF('Données projet'!$A$88&gt;35,BD74+BC75-BL74,IF(A75&lt;'Données projet'!$A$88,$BA$205^A75,IF(A75='Données projet'!$A$88,'Données projet'!$B$88,BD74+BC75-BL74)))</f>
        <v>291.49250000000029</v>
      </c>
      <c r="BE75" s="13">
        <f>BD75*VLOOKUP('Données projet'!$B$11,Paramètres!$A$1:$I$89,3,0)*VLOOKUP('Données projet'!$B$11,Paramètres!$A$1:$I$89,5,0)</f>
        <v>277.38426300000032</v>
      </c>
      <c r="BF75" s="13">
        <f t="shared" si="91"/>
        <v>66.413926862937842</v>
      </c>
      <c r="BG75" s="20">
        <f t="shared" si="61"/>
        <v>598.78184734461729</v>
      </c>
      <c r="BH75" s="59">
        <f t="shared" si="62"/>
        <v>866.11356158213835</v>
      </c>
      <c r="BI75" s="59">
        <f ca="1">AVERAGE(OFFSET($BH$3,0,0,'Données projet'!$E$11+1,1))-AVERAGE(OFFSET($H$3,0,0,'Données projet'!$E$11+1,1))</f>
        <v>711.91538686535682</v>
      </c>
      <c r="BJ75" s="59">
        <f t="shared" si="92"/>
        <v>313.24593837351722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7.5464970868563803</v>
      </c>
      <c r="BQ75" s="21">
        <f>EXP(-LN(2)/25)*BQ74+(1-EXP(-LN(2)/25))/(LN(2)/25)*Calculateur!BL75*Calculateur!BN75*VLOOKUP('Données projet'!$B$11,Paramètres!$A$1:$I$89,3,0)*0.475*44/12</f>
        <v>30.116248525009414</v>
      </c>
      <c r="BR75" s="21">
        <f>EXP(-LN(2)/2)*BR74+(1-EXP(-LN(2)/2))/(LN(2)/2)*BL75*BO75*VLOOKUP('Données projet'!$B$11,Paramètres!$A$1:$I$89,3,0)*0.475*44/12</f>
        <v>0.67304459671169214</v>
      </c>
      <c r="BS75" s="22">
        <f t="shared" si="63"/>
        <v>38.335790208577485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9.733749999999997</v>
      </c>
      <c r="BY75" s="12">
        <f>IF('Données projet'!$A$114&gt;35,BY74+BX75-CG74,IF(A75&lt;'Données projet'!$A$114,$BV$205^A75,IF(A75='Données projet'!$A$114,'Données projet'!$B$114,BY74+BX75-CG74)))</f>
        <v>291.49250000000029</v>
      </c>
      <c r="BZ75" s="13">
        <f>BY75*VLOOKUP('Données projet'!$B$12,Paramètres!$A$1:$I$89,3,0)*VLOOKUP('Données projet'!$B$12,Paramètres!$A$1:$I$89,5,0)</f>
        <v>263.74241400000022</v>
      </c>
      <c r="CA75" s="13">
        <f t="shared" si="93"/>
        <v>63.519444659628142</v>
      </c>
      <c r="CB75" s="20">
        <f t="shared" si="64"/>
        <v>569.98107049885277</v>
      </c>
      <c r="CC75" s="59">
        <f t="shared" si="65"/>
        <v>837.31278473637394</v>
      </c>
      <c r="CD75" s="59">
        <f ca="1">AVERAGE(OFFSET($CC$3,0,0,'Données projet'!$E$12+1,1))-AVERAGE(OFFSET($H$3,0,0,'Données projet'!$E$12+1,1))</f>
        <v>681.47578137804555</v>
      </c>
      <c r="CE75" s="59">
        <f t="shared" si="94"/>
        <v>300.88511065995885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7.175357885863443</v>
      </c>
      <c r="CL75" s="21">
        <f>EXP(-LN(2)/25)*CL74+(1-EXP(-LN(2)/25))/(LN(2)/25)*Calculateur!CG75*Calculateur!CI75*VLOOKUP('Données projet'!$B$12,Paramètres!$A$1:$I$89,3,0)*0.475*44/12</f>
        <v>28.635121548369614</v>
      </c>
      <c r="CM75" s="21">
        <f>EXP(-LN(2)/2)*CM74+(1-EXP(-LN(2)/2))/(LN(2)/2)*CG75*CJ75*VLOOKUP('Données projet'!$B$12,Paramètres!$A$1:$I$89,3,0)*0.475*44/12</f>
        <v>0.63994404277505157</v>
      </c>
      <c r="CN75" s="22">
        <f t="shared" si="66"/>
        <v>36.450423477008108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2.3076923076923093</v>
      </c>
      <c r="CT75" s="12">
        <f>IF('Données projet'!$A$140&gt;35,CT74+CS75-DB74,IF(A75&lt;'Données projet'!$A$140,$CQ$205^A75,IF(A75='Données projet'!$A$140,'Données projet'!$B$140,CT74+CS75-DB74)))</f>
        <v>111.66666666666661</v>
      </c>
      <c r="CU75" s="17">
        <f>CT75*VLOOKUP('Données projet'!$B$13,Paramètres!$A$1:$I$89,3,0)*VLOOKUP('Données projet'!$B$13,Paramètres!$A$1:$I$89,5,0)</f>
        <v>90.583999999999961</v>
      </c>
      <c r="CV75" s="13">
        <f t="shared" si="95"/>
        <v>24.706018667982935</v>
      </c>
      <c r="CW75" s="20">
        <f t="shared" si="67"/>
        <v>200.79678251340351</v>
      </c>
      <c r="CX75" s="59">
        <f t="shared" si="68"/>
        <v>468.12849675092463</v>
      </c>
      <c r="CY75" s="59">
        <f ca="1">AVERAGE(OFFSET($CX$3,0,0,'Données projet'!$E$13+1,1))-AVERAGE(OFFSET($H$3,0,0,'Données projet'!$E$13+1,1))</f>
        <v>186.54446846714993</v>
      </c>
      <c r="CZ75" s="59">
        <f t="shared" si="96"/>
        <v>154.43773051601286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3.7062442731645664</v>
      </c>
      <c r="DH75" s="21">
        <f>EXP(-LN(2)/2)*DH74+(1-EXP(-LN(2)/2))/(LN(2)/2)*DB75*DE75*VLOOKUP('Données projet'!$B$13,Paramètres!$A$1:$I$89,3,0)*0.475*44/12</f>
        <v>0.81948579268917543</v>
      </c>
      <c r="DI75" s="22">
        <f t="shared" si="69"/>
        <v>4.5257300658537414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6.8770000000000007</v>
      </c>
      <c r="DO75" s="12">
        <f>IF('Données projet'!$A$166&gt;35,DO74+DN75-DW74,IF(A75&lt;'Données projet'!$A$166,$DL$205^A75,IF(A75='Données projet'!$A$166,'Données projet'!$B$166,DO74+DN75-DW74)))</f>
        <v>194.36300000000017</v>
      </c>
      <c r="DP75" s="17">
        <f>DO75*VLOOKUP('Données projet'!$B$14,Paramètres!$A$1:$I$89,3,0)*VLOOKUP('Données projet'!$B$14,Paramètres!$A$1:$I$89,5,0)</f>
        <v>221.34058440000021</v>
      </c>
      <c r="DQ75" s="13">
        <f t="shared" si="97"/>
        <v>54.406152017087912</v>
      </c>
      <c r="DR75" s="20">
        <f t="shared" si="70"/>
        <v>480.25889925976179</v>
      </c>
      <c r="DS75" s="59">
        <f t="shared" si="71"/>
        <v>747.5906134972829</v>
      </c>
      <c r="DT75" s="59">
        <f ca="1">AVERAGE(OFFSET($DS$3,0,0,'Données projet'!$E$14+1,1))-AVERAGE(OFFSET($H$3,0,0,'Données projet'!$E$14+1,1))</f>
        <v>651.35546372812314</v>
      </c>
      <c r="DU75" s="59">
        <f t="shared" si="98"/>
        <v>293.6561676213388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33.555790131691552</v>
      </c>
      <c r="EC75" s="21">
        <f>EXP(-LN(2)/2)*EC74+(1-EXP(-LN(2)/2))/(LN(2)/2)*DW75*DZ75*VLOOKUP('Données projet'!$B$14,Paramètres!$A$1:$I$89,3,0)*0.475*44/12</f>
        <v>0.35824018260328933</v>
      </c>
      <c r="ED75" s="22">
        <f t="shared" si="72"/>
        <v>33.914030314294841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2.4358974358974366</v>
      </c>
      <c r="EJ75" s="12">
        <f>IF('Données projet'!$A$192&gt;35,EJ74+EI75-ER74,IF(A75&lt;'Données projet'!$A$192,$EG$205^A75,IF(A75='Données projet'!$A$192,'Données projet'!$B$192,EJ74+EI75-ER74)))</f>
        <v>135.64102564102572</v>
      </c>
      <c r="EK75" s="17">
        <f>EJ75*VLOOKUP('Données projet'!$B$15,Paramètres!$A$1:$I$89,3,0)*VLOOKUP('Données projet'!$B$15,Paramètres!$A$1:$I$89,5,0)</f>
        <v>141.77200000000011</v>
      </c>
      <c r="EL75" s="13">
        <f t="shared" si="99"/>
        <v>36.702648176707207</v>
      </c>
      <c r="EM75" s="20">
        <f t="shared" si="73"/>
        <v>310.84334557443191</v>
      </c>
      <c r="EN75" s="59">
        <f t="shared" si="74"/>
        <v>578.17505981195302</v>
      </c>
      <c r="EO75" s="59">
        <f ca="1">AVERAGE(OFFSET($EN$3,0,0,'Données projet'!$E$15+1,1))-AVERAGE(OFFSET($H$3,0,0,'Données projet'!$E$15+1,1))</f>
        <v>290.69667785754848</v>
      </c>
      <c r="EP75" s="59">
        <f t="shared" si="100"/>
        <v>256.28124185489082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1.8680315769720759</v>
      </c>
      <c r="EW75" s="21">
        <f>EXP(-LN(2)/25)*EW74+(1-EXP(-LN(2)/25))/(LN(2)/25)*Calculateur!ER75*Calculateur!ET75*VLOOKUP('Données projet'!$B$15,Paramètres!$A$1:$I$89,3,0)*0.475*44/12</f>
        <v>18.693697582526031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20.561729159498107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9.733749999999997</v>
      </c>
      <c r="N76" s="13">
        <f>IF('Données projet'!$A$36&gt;35,N75+M76-V75,IF(A76&lt;'Données projet'!$A$36,$K$205^A76,IF(A76='Données projet'!$A$36,'Données projet'!$B$36,N75+M76-V75)))</f>
        <v>301.22625000000028</v>
      </c>
      <c r="O76" s="13">
        <f>N76*VLOOKUP('Données projet'!$B$9,Paramètres!$A$1:$I$89,3,0)*VLOOKUP('Données projet'!$B$9,Paramètres!$A$1:$I$89,5,0)</f>
        <v>305.44341750000029</v>
      </c>
      <c r="P76" s="13">
        <f t="shared" si="87"/>
        <v>72.316415847426583</v>
      </c>
      <c r="Q76" s="20">
        <f t="shared" si="54"/>
        <v>657.93170974676843</v>
      </c>
      <c r="R76" s="59">
        <f t="shared" si="55"/>
        <v>925.71449394469028</v>
      </c>
      <c r="S76" s="59">
        <f ca="1">AVERAGE(OFFSET($R$3,0,0,'Données projet'!$E$9+1,1))-AVERAGE(OFFSET($H$3,0,0,'Données projet'!$E$9+1,1))</f>
        <v>752.45542076695506</v>
      </c>
      <c r="T76" s="59">
        <f t="shared" si="88"/>
        <v>329.70629768420724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7.883663398737216</v>
      </c>
      <c r="AA76" s="21">
        <f>EXP(-LN(2)/25)*AA75+(1-EXP(-LN(2)/25))/(LN(2)/25)*Calculateur!V76*Calculateur!X76*VLOOKUP('Données projet'!$B$9,Paramètres!$A$1:$I$89,3,0)*0.475*44/12</f>
        <v>31.213552100781044</v>
      </c>
      <c r="AB76" s="21">
        <f>EXP(-LN(2)/2)*AB75+(1-EXP(-LN(2)/2))/(LN(2)/2)*V76*Y76*VLOOKUP('Données projet'!$B$9,Paramètres!$A$1:$I$89,3,0)*0.475*44/12</f>
        <v>0.50712189990864232</v>
      </c>
      <c r="AC76" s="22">
        <f t="shared" si="57"/>
        <v>39.604337399426896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4.2</v>
      </c>
      <c r="AI76" s="13">
        <f>IF('Données projet'!$A$62&gt;35,AI75+AH76-AQ75,IF(A76&lt;'Données projet'!$A$62,$AF$205^A76,IF(A76='Données projet'!$A$62,'Données projet'!$B$62,AI75+AH76-AQ75)))</f>
        <v>315.59999999999991</v>
      </c>
      <c r="AJ76" s="13">
        <f>AI76*VLOOKUP('Données projet'!$B$10,Paramètres!$A$1:$I$89,3,0)*VLOOKUP('Données projet'!$B$10,Paramètres!$A$1:$I$89,5,0)</f>
        <v>275.70815999999996</v>
      </c>
      <c r="AK76" s="13">
        <f t="shared" si="89"/>
        <v>66.05920594467139</v>
      </c>
      <c r="AL76" s="20">
        <f t="shared" si="58"/>
        <v>595.24482902030275</v>
      </c>
      <c r="AM76" s="59">
        <f t="shared" si="59"/>
        <v>863.02761321822459</v>
      </c>
      <c r="AN76" s="59">
        <f ca="1">AVERAGE(OFFSET($AM$3,0,0,'Données projet'!$E$10+1,1))-AVERAGE(OFFSET($H$3,0,0,'Données projet'!$E$10+1,1))</f>
        <v>408.246209980743</v>
      </c>
      <c r="AO76" s="59">
        <f t="shared" si="90"/>
        <v>394.10236303013903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15.46225590021718</v>
      </c>
      <c r="AV76" s="21">
        <f>EXP(-LN(2)/25)*AV75+(1-EXP(-LN(2)/25))/(LN(2)/25)*Calculateur!AQ76*Calculateur!AS76*VLOOKUP('Données projet'!$B$10,Paramètres!$A$1:$I$89,3,0)*0.475*44/12</f>
        <v>15.74000541796187</v>
      </c>
      <c r="AW76" s="21">
        <f>EXP(-LN(2)/2)*AW75+(1-EXP(-LN(2)/2))/(LN(2)/2)*AQ76*AT76*VLOOKUP('Données projet'!$B$10,Paramètres!$A$1:$I$89,3,0)*0.475*44/12</f>
        <v>1.1546114696844938</v>
      </c>
      <c r="AX76" s="21">
        <f t="shared" si="60"/>
        <v>32.356872787863544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9.733749999999997</v>
      </c>
      <c r="BD76" s="12">
        <f>IF('Données projet'!$A$88&gt;35,BD75+BC76-BL75,IF(A76&lt;'Données projet'!$A$88,$BA$205^A76,IF(A76='Données projet'!$A$88,'Données projet'!$B$88,BD75+BC76-BL75)))</f>
        <v>301.22625000000028</v>
      </c>
      <c r="BE76" s="13">
        <f>BD76*VLOOKUP('Données projet'!$B$11,Paramètres!$A$1:$I$89,3,0)*VLOOKUP('Données projet'!$B$11,Paramètres!$A$1:$I$89,5,0)</f>
        <v>286.64689950000025</v>
      </c>
      <c r="BF76" s="13">
        <f t="shared" si="91"/>
        <v>68.369766038399021</v>
      </c>
      <c r="BG76" s="20">
        <f t="shared" si="61"/>
        <v>618.32069247937864</v>
      </c>
      <c r="BH76" s="59">
        <f t="shared" si="62"/>
        <v>886.10347667730048</v>
      </c>
      <c r="BI76" s="59">
        <f ca="1">AVERAGE(OFFSET($BH$3,0,0,'Données projet'!$E$11+1,1))-AVERAGE(OFFSET($H$3,0,0,'Données projet'!$E$11+1,1))</f>
        <v>711.91538686535682</v>
      </c>
      <c r="BJ76" s="59">
        <f t="shared" si="92"/>
        <v>313.24593837351722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7.3985148818918498</v>
      </c>
      <c r="BQ76" s="21">
        <f>EXP(-LN(2)/25)*BQ75+(1-EXP(-LN(2)/25))/(LN(2)/25)*Calculateur!BL76*Calculateur!BN76*VLOOKUP('Données projet'!$B$11,Paramètres!$A$1:$I$89,3,0)*0.475*44/12</f>
        <v>29.292718125348355</v>
      </c>
      <c r="BR76" s="21">
        <f>EXP(-LN(2)/2)*BR75+(1-EXP(-LN(2)/2))/(LN(2)/2)*BL76*BO76*VLOOKUP('Données projet'!$B$11,Paramètres!$A$1:$I$89,3,0)*0.475*44/12</f>
        <v>0.47591439837580263</v>
      </c>
      <c r="BS76" s="22">
        <f t="shared" si="63"/>
        <v>37.167147405616006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9.733749999999997</v>
      </c>
      <c r="BY76" s="12">
        <f>IF('Données projet'!$A$114&gt;35,BY75+BX76-CG75,IF(A76&lt;'Données projet'!$A$114,$BV$205^A76,IF(A76='Données projet'!$A$114,'Données projet'!$B$114,BY75+BX76-CG75)))</f>
        <v>301.22625000000028</v>
      </c>
      <c r="BZ76" s="13">
        <f>BY76*VLOOKUP('Données projet'!$B$12,Paramètres!$A$1:$I$89,3,0)*VLOOKUP('Données projet'!$B$12,Paramètres!$A$1:$I$89,5,0)</f>
        <v>272.54951100000028</v>
      </c>
      <c r="CA76" s="13">
        <f t="shared" si="93"/>
        <v>65.390043555628168</v>
      </c>
      <c r="CB76" s="20">
        <f t="shared" si="64"/>
        <v>588.57805751771946</v>
      </c>
      <c r="CC76" s="59">
        <f t="shared" si="65"/>
        <v>856.3608417156413</v>
      </c>
      <c r="CD76" s="59">
        <f ca="1">AVERAGE(OFFSET($CC$3,0,0,'Données projet'!$E$12+1,1))-AVERAGE(OFFSET($H$3,0,0,'Données projet'!$E$12+1,1))</f>
        <v>681.47578137804555</v>
      </c>
      <c r="CE76" s="59">
        <f t="shared" si="94"/>
        <v>300.88511065995885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7.0346534942578245</v>
      </c>
      <c r="CL76" s="21">
        <f>EXP(-LN(2)/25)*CL75+(1-EXP(-LN(2)/25))/(LN(2)/25)*Calculateur!CG76*Calculateur!CI76*VLOOKUP('Données projet'!$B$12,Paramètres!$A$1:$I$89,3,0)*0.475*44/12</f>
        <v>27.852092643773851</v>
      </c>
      <c r="CM76" s="21">
        <f>EXP(-LN(2)/2)*CM75+(1-EXP(-LN(2)/2))/(LN(2)/2)*CG76*CJ76*VLOOKUP('Données projet'!$B$12,Paramètres!$A$1:$I$89,3,0)*0.475*44/12</f>
        <v>0.45250877222617303</v>
      </c>
      <c r="CN76" s="22">
        <f t="shared" si="66"/>
        <v>35.33925491025785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2.3076923076923093</v>
      </c>
      <c r="CT76" s="12">
        <f>IF('Données projet'!$A$140&gt;35,CT75+CS76-DB75,IF(A76&lt;'Données projet'!$A$140,$CQ$205^A76,IF(A76='Données projet'!$A$140,'Données projet'!$B$140,CT75+CS76-DB75)))</f>
        <v>113.97435897435892</v>
      </c>
      <c r="CU76" s="17">
        <f>CT76*VLOOKUP('Données projet'!$B$13,Paramètres!$A$1:$I$89,3,0)*VLOOKUP('Données projet'!$B$13,Paramètres!$A$1:$I$89,5,0)</f>
        <v>92.455999999999975</v>
      </c>
      <c r="CV76" s="13">
        <f t="shared" si="95"/>
        <v>25.156621727947371</v>
      </c>
      <c r="CW76" s="20">
        <f t="shared" si="67"/>
        <v>204.84198284284162</v>
      </c>
      <c r="CX76" s="59">
        <f t="shared" si="68"/>
        <v>472.6247670407634</v>
      </c>
      <c r="CY76" s="59">
        <f ca="1">AVERAGE(OFFSET($CX$3,0,0,'Données projet'!$E$13+1,1))-AVERAGE(OFFSET($H$3,0,0,'Données projet'!$E$13+1,1))</f>
        <v>186.54446846714993</v>
      </c>
      <c r="CZ76" s="59">
        <f t="shared" si="96"/>
        <v>154.43773051601286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3.6048968286119658</v>
      </c>
      <c r="DH76" s="21">
        <f>EXP(-LN(2)/2)*DH75+(1-EXP(-LN(2)/2))/(LN(2)/2)*DB76*DE76*VLOOKUP('Données projet'!$B$13,Paramètres!$A$1:$I$89,3,0)*0.475*44/12</f>
        <v>0.5794639610965493</v>
      </c>
      <c r="DI76" s="22">
        <f t="shared" si="69"/>
        <v>4.1843607897085153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>
        <f>VLOOKUP(A76,'Données projet'!$A$165:$I$185,2,0)</f>
        <v>201.24</v>
      </c>
      <c r="DM76" s="12">
        <f>VLOOKUP(A76,'Données projet'!$A$165:$I$185,9,0)</f>
        <v>6.8770000000000007</v>
      </c>
      <c r="DN76" s="12">
        <f t="array" ref="DN76">INDEX(DM:DM,MIN(IF(ISNUMBER(DM76:DM272),ROW(DM76:DM272),"")))</f>
        <v>6.8770000000000007</v>
      </c>
      <c r="DO76" s="12">
        <f>IF('Données projet'!$A$166&gt;35,DO75+DN76-DW75,IF(A76&lt;'Données projet'!$A$166,$DL$205^A76,IF(A76='Données projet'!$A$166,'Données projet'!$B$166,DO75+DN76-DW75)))</f>
        <v>201.24000000000018</v>
      </c>
      <c r="DP76" s="17">
        <f>DO76*VLOOKUP('Données projet'!$B$14,Paramètres!$A$1:$I$89,3,0)*VLOOKUP('Données projet'!$B$14,Paramètres!$A$1:$I$89,5,0)</f>
        <v>229.1721120000002</v>
      </c>
      <c r="DQ76" s="13">
        <f t="shared" si="97"/>
        <v>56.103635238349824</v>
      </c>
      <c r="DR76" s="20">
        <f t="shared" si="70"/>
        <v>496.85525977345964</v>
      </c>
      <c r="DS76" s="59">
        <f t="shared" si="71"/>
        <v>764.63804397138142</v>
      </c>
      <c r="DT76" s="59">
        <f ca="1">AVERAGE(OFFSET($DS$3,0,0,'Données projet'!$E$14+1,1))-AVERAGE(OFFSET($H$3,0,0,'Données projet'!$E$14+1,1))</f>
        <v>651.35546372812314</v>
      </c>
      <c r="DU76" s="59">
        <f t="shared" si="98"/>
        <v>293.6561676213388</v>
      </c>
      <c r="DV76" s="15">
        <f>IF(ISNA(VLOOKUP(A76,'Données projet'!$A$165:$I$185,3,0)),0,VLOOKUP(A76,'Données projet'!$A$165:$I$185,3,0))</f>
        <v>4</v>
      </c>
      <c r="DW76" s="15">
        <f>IF(ISNA(VLOOKUP(A76,'Données projet'!$A$165:$I$185,4,0)),0,VLOOKUP(A76,'Données projet'!$A$165:$I$185,4,0))</f>
        <v>36.890000000000015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0.34400000000000003</v>
      </c>
      <c r="DZ76" s="16">
        <f>IF(ISNA(VLOOKUP(A76,'Données projet'!$A$165:$I$185,7,0)),0%,VLOOKUP(A76,'Données projet'!$A$165:$I$185,7,0))</f>
        <v>0.2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48.551067726574779</v>
      </c>
      <c r="EC76" s="21">
        <f>EXP(-LN(2)/2)*EC75+(1-EXP(-LN(2)/2))/(LN(2)/2)*DW76*DZ76*VLOOKUP('Données projet'!$B$14,Paramètres!$A$1:$I$89,3,0)*0.475*44/12</f>
        <v>8.1808898491138997</v>
      </c>
      <c r="ED76" s="22">
        <f t="shared" si="72"/>
        <v>56.731957575688682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2.4358974358974366</v>
      </c>
      <c r="EJ76" s="12">
        <f>IF('Données projet'!$A$192&gt;35,EJ75+EI76-ER75,IF(A76&lt;'Données projet'!$A$192,$EG$205^A76,IF(A76='Données projet'!$A$192,'Données projet'!$B$192,EJ75+EI76-ER75)))</f>
        <v>138.07692307692315</v>
      </c>
      <c r="EK76" s="17">
        <f>EJ76*VLOOKUP('Données projet'!$B$15,Paramètres!$A$1:$I$89,3,0)*VLOOKUP('Données projet'!$B$15,Paramètres!$A$1:$I$89,5,0)</f>
        <v>144.3180000000001</v>
      </c>
      <c r="EL76" s="13">
        <f t="shared" si="99"/>
        <v>37.284443058265509</v>
      </c>
      <c r="EM76" s="20">
        <f t="shared" si="73"/>
        <v>316.29092165981257</v>
      </c>
      <c r="EN76" s="59">
        <f t="shared" si="74"/>
        <v>584.07370585773435</v>
      </c>
      <c r="EO76" s="59">
        <f ca="1">AVERAGE(OFFSET($EN$3,0,0,'Données projet'!$E$15+1,1))-AVERAGE(OFFSET($H$3,0,0,'Données projet'!$E$15+1,1))</f>
        <v>290.69667785754848</v>
      </c>
      <c r="EP76" s="59">
        <f t="shared" si="100"/>
        <v>256.28124185489082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1.8314006171344104</v>
      </c>
      <c r="EW76" s="21">
        <f>EXP(-LN(2)/25)*EW75+(1-EXP(-LN(2)/25))/(LN(2)/25)*Calculateur!ER76*Calculateur!ET76*VLOOKUP('Données projet'!$B$15,Paramètres!$A$1:$I$89,3,0)*0.475*44/12</f>
        <v>18.182517439073028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20.013918056207437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>
        <f>VLOOKUP(A77,'Données projet'!$A$35:$I$55,2,0)</f>
        <v>310.95999999999998</v>
      </c>
      <c r="L77" s="12">
        <f>VLOOKUP(A77,'Données projet'!$A$35:$I$55,9,0)</f>
        <v>9.733749999999997</v>
      </c>
      <c r="M77" s="12">
        <f t="array" ref="M77">INDEX(L:L,MIN(IF(ISNUMBER(L77:L273),ROW(L77:L273),"")))</f>
        <v>9.733749999999997</v>
      </c>
      <c r="N77" s="13">
        <f>IF('Données projet'!$A$36&gt;35,N76+M77-V76,IF(A77&lt;'Données projet'!$A$36,$K$205^A77,IF(A77='Données projet'!$A$36,'Données projet'!$B$36,N76+M77-V76)))</f>
        <v>310.96000000000026</v>
      </c>
      <c r="O77" s="13">
        <f>N77*VLOOKUP('Données projet'!$B$9,Paramètres!$A$1:$I$89,3,0)*VLOOKUP('Données projet'!$B$9,Paramètres!$A$1:$I$89,5,0)</f>
        <v>315.31344000000024</v>
      </c>
      <c r="P77" s="13">
        <f t="shared" si="87"/>
        <v>74.377387976510789</v>
      </c>
      <c r="Q77" s="20">
        <f t="shared" si="54"/>
        <v>678.71152539242337</v>
      </c>
      <c r="R77" s="59">
        <f t="shared" si="55"/>
        <v>946.93755449537423</v>
      </c>
      <c r="S77" s="59">
        <f ca="1">AVERAGE(OFFSET($R$3,0,0,'Données projet'!$E$9+1,1))-AVERAGE(OFFSET($H$3,0,0,'Données projet'!$E$9+1,1))</f>
        <v>752.45542076695506</v>
      </c>
      <c r="T77" s="59">
        <f t="shared" si="88"/>
        <v>329.70629768420724</v>
      </c>
      <c r="U77" s="15">
        <f>IF(ISNA(VLOOKUP(A77,'Données projet'!$A$35:$I$55,3,0)),0,VLOOKUP(A77,'Données projet'!$A$35:$I$55,3,0))</f>
        <v>5</v>
      </c>
      <c r="V77" s="15">
        <f>IF(ISNA(VLOOKUP(A77,'Données projet'!$A$35:$I$55,4,0)),0,VLOOKUP(A77,'Données projet'!$A$35:$I$55,4,0))</f>
        <v>51.339999999999975</v>
      </c>
      <c r="W77" s="16">
        <f>IF(ISNA(VLOOKUP(A77,'Données projet'!$A$35:$I$55,5,0)),0%,VLOOKUP(A77,'Données projet'!$A$35:$I$55,5,0)*VLOOKUP('Données projet'!$B$9,Paramètres!$A$1:$I$89,7,0))</f>
        <v>0.15049999999999999</v>
      </c>
      <c r="X77" s="16">
        <f>IF(ISNA(VLOOKUP(A77,'Données projet'!$A$35:$I$55,6,0)),0%,VLOOKUP(A77,'Données projet'!$A$35:$I$55,6,0)*VLOOKUP('Données projet'!$B$9,Paramètres!$A$1:$I$89,7,0))</f>
        <v>8.6000000000000007E-2</v>
      </c>
      <c r="Y77" s="16">
        <f>IF(ISNA(VLOOKUP(A77,'Données projet'!$A$35:$I$55,7,0)),0%,VLOOKUP(A77,'Données projet'!$A$35:$I$55,7,0))</f>
        <v>0.1</v>
      </c>
      <c r="Z77" s="21">
        <f>EXP(-LN(2)/35)*Z76+(1-EXP(-LN(2)/35))/(LN(2)/35)*V77*W77*VLOOKUP('Données projet'!$B$9,Paramètres!$A$1:$I$89,3,0)*0.475*44/12</f>
        <v>16.390256852917666</v>
      </c>
      <c r="AA77" s="21">
        <f>EXP(-LN(2)/25)*AA76+(1-EXP(-LN(2)/25))/(LN(2)/25)*Calculateur!V77*Calculateur!X77*VLOOKUP('Données projet'!$B$9,Paramètres!$A$1:$I$89,3,0)*0.475*44/12</f>
        <v>35.289778671626223</v>
      </c>
      <c r="AB77" s="21">
        <f>EXP(-LN(2)/2)*AB76+(1-EXP(-LN(2)/2))/(LN(2)/2)*V77*Y77*VLOOKUP('Données projet'!$B$9,Paramètres!$A$1:$I$89,3,0)*0.475*44/12</f>
        <v>5.2704734544118432</v>
      </c>
      <c r="AC77" s="22">
        <f t="shared" si="57"/>
        <v>56.950508978955732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4.2</v>
      </c>
      <c r="AI77" s="13">
        <f>IF('Données projet'!$A$62&gt;35,AI76+AH77-AQ76,IF(A77&lt;'Données projet'!$A$62,$AF$205^A77,IF(A77='Données projet'!$A$62,'Données projet'!$B$62,AI76+AH77-AQ76)))</f>
        <v>319.7999999999999</v>
      </c>
      <c r="AJ77" s="13">
        <f>AI77*VLOOKUP('Données projet'!$B$10,Paramètres!$A$1:$I$89,3,0)*VLOOKUP('Données projet'!$B$10,Paramètres!$A$1:$I$89,5,0)</f>
        <v>279.37727999999993</v>
      </c>
      <c r="AK77" s="13">
        <f t="shared" si="89"/>
        <v>66.835393196206056</v>
      </c>
      <c r="AL77" s="20">
        <f t="shared" si="58"/>
        <v>602.98707248339201</v>
      </c>
      <c r="AM77" s="59">
        <f t="shared" si="59"/>
        <v>871.21310158634287</v>
      </c>
      <c r="AN77" s="59">
        <f ca="1">AVERAGE(OFFSET($AM$3,0,0,'Données projet'!$E$10+1,1))-AVERAGE(OFFSET($H$3,0,0,'Données projet'!$E$10+1,1))</f>
        <v>408.246209980743</v>
      </c>
      <c r="AO77" s="59">
        <f t="shared" si="90"/>
        <v>394.10236303013903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15.159050493058782</v>
      </c>
      <c r="AV77" s="21">
        <f>EXP(-LN(2)/25)*AV76+(1-EXP(-LN(2)/25))/(LN(2)/25)*Calculateur!AQ77*Calculateur!AS77*VLOOKUP('Données projet'!$B$10,Paramètres!$A$1:$I$89,3,0)*0.475*44/12</f>
        <v>15.309594142076792</v>
      </c>
      <c r="AW77" s="21">
        <f>EXP(-LN(2)/2)*AW76+(1-EXP(-LN(2)/2))/(LN(2)/2)*AQ77*AT77*VLOOKUP('Données projet'!$B$10,Paramètres!$A$1:$I$89,3,0)*0.475*44/12</f>
        <v>0.81643359984967145</v>
      </c>
      <c r="AX77" s="21">
        <f t="shared" si="60"/>
        <v>31.285078234985246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>
        <f>VLOOKUP(A77,'Données projet'!$A$87:$I$107,2,0)</f>
        <v>310.95999999999998</v>
      </c>
      <c r="BB77" s="12">
        <f>VLOOKUP(A77,'Données projet'!$A$87:$I$107,9,0)</f>
        <v>9.733749999999997</v>
      </c>
      <c r="BC77" s="12">
        <f t="array" ref="BC77">INDEX(BB:BB,MIN(IF(ISNUMBER(BB77:BB273),ROW(BB77:BB273),"")))</f>
        <v>9.733749999999997</v>
      </c>
      <c r="BD77" s="12">
        <f>IF('Données projet'!$A$88&gt;35,BD76+BC77-BL76,IF(A77&lt;'Données projet'!$A$88,$BA$205^A77,IF(A77='Données projet'!$A$88,'Données projet'!$B$88,BD76+BC77-BL76)))</f>
        <v>310.96000000000026</v>
      </c>
      <c r="BE77" s="13">
        <f>BD77*VLOOKUP('Données projet'!$B$11,Paramètres!$A$1:$I$89,3,0)*VLOOKUP('Données projet'!$B$11,Paramètres!$A$1:$I$89,5,0)</f>
        <v>295.90953600000029</v>
      </c>
      <c r="BF77" s="13">
        <f t="shared" si="91"/>
        <v>70.318261143223381</v>
      </c>
      <c r="BG77" s="20">
        <f t="shared" si="61"/>
        <v>637.8467466911145</v>
      </c>
      <c r="BH77" s="59">
        <f t="shared" si="62"/>
        <v>906.07277579406536</v>
      </c>
      <c r="BI77" s="59">
        <f ca="1">AVERAGE(OFFSET($BH$3,0,0,'Données projet'!$E$11+1,1))-AVERAGE(OFFSET($H$3,0,0,'Données projet'!$E$11+1,1))</f>
        <v>711.91538686535682</v>
      </c>
      <c r="BJ77" s="59">
        <f t="shared" si="92"/>
        <v>313.24593837351722</v>
      </c>
      <c r="BK77" s="15">
        <f>IF(ISNA(VLOOKUP(A77,'Données projet'!$A$87:$I$107,3,0)),0,VLOOKUP(A77,'Données projet'!$A$87:$I$107,3,0))</f>
        <v>5</v>
      </c>
      <c r="BL77" s="15">
        <f>IF(ISNA(VLOOKUP(A77,'Données projet'!$A$87:$I$107,4,0)),0,VLOOKUP(A77,'Données projet'!$A$87:$I$107,4,0))</f>
        <v>51.339999999999975</v>
      </c>
      <c r="BM77" s="16">
        <f>IF(ISNA(VLOOKUP(A77,'Données projet'!$A$87:$I$107,5,0)),0%,VLOOKUP(A77,'Données projet'!$A$87:$I$107,5,0)*VLOOKUP('Données projet'!$B$11,Paramètres!$A$1:$I$89,7,0))</f>
        <v>0.15049999999999999</v>
      </c>
      <c r="BN77" s="16">
        <f>IF(ISNA(VLOOKUP(A77,'Données projet'!$A$87:$I$107,6,0)),0%,VLOOKUP(A77,'Données projet'!$A$87:$I$107,6,0)*VLOOKUP('Données projet'!$B$11,Paramètres!$A$1:$I$89,7,0))</f>
        <v>8.6000000000000007E-2</v>
      </c>
      <c r="BO77" s="16">
        <f>IF(ISNA(VLOOKUP(A77,'Données projet'!$A$87:$I$107,7,0)),0%,VLOOKUP(A77,'Données projet'!$A$87:$I$107,7,0))</f>
        <v>0.1</v>
      </c>
      <c r="BP77" s="21">
        <f>EXP(-LN(2)/35)*BP76+(1-EXP(-LN(2)/35))/(LN(2)/35)*BL77*BM77*VLOOKUP('Données projet'!$B$11,Paramètres!$A$1:$I$89,3,0)*0.475*44/12</f>
        <v>15.381625661968885</v>
      </c>
      <c r="BQ77" s="21">
        <f>EXP(-LN(2)/25)*BQ76+(1-EXP(-LN(2)/25))/(LN(2)/25)*Calculateur!BL77*Calculateur!BN77*VLOOKUP('Données projet'!$B$11,Paramètres!$A$1:$I$89,3,0)*0.475*44/12</f>
        <v>33.118099984141523</v>
      </c>
      <c r="BR77" s="21">
        <f>EXP(-LN(2)/2)*BR76+(1-EXP(-LN(2)/2))/(LN(2)/2)*BL77*BO77*VLOOKUP('Données projet'!$B$11,Paramètres!$A$1:$I$89,3,0)*0.475*44/12</f>
        <v>4.9461366264480375</v>
      </c>
      <c r="BS77" s="22">
        <f t="shared" si="63"/>
        <v>53.445862272558443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>
        <f>VLOOKUP(A77,'Données projet'!$A$113:$I$133,2,0)</f>
        <v>310.95999999999998</v>
      </c>
      <c r="BW77" s="12">
        <f>VLOOKUP(A77,'Données projet'!$A$113:$I$133,9,0)</f>
        <v>9.733749999999997</v>
      </c>
      <c r="BX77" s="12">
        <f t="array" ref="BX77">INDEX(BW:BW,MIN(IF(ISNUMBER(BW77:BW273),ROW(BW77:BW273),"")))</f>
        <v>9.733749999999997</v>
      </c>
      <c r="BY77" s="12">
        <f>IF('Données projet'!$A$114&gt;35,BY76+BX77-CG76,IF(A77&lt;'Données projet'!$A$114,$BV$205^A77,IF(A77='Données projet'!$A$114,'Données projet'!$B$114,BY76+BX77-CG76)))</f>
        <v>310.96000000000026</v>
      </c>
      <c r="BZ77" s="13">
        <f>BY77*VLOOKUP('Données projet'!$B$12,Paramètres!$A$1:$I$89,3,0)*VLOOKUP('Données projet'!$B$12,Paramètres!$A$1:$I$89,5,0)</f>
        <v>281.35660800000022</v>
      </c>
      <c r="CA77" s="13">
        <f t="shared" si="93"/>
        <v>67.253618453644265</v>
      </c>
      <c r="CB77" s="20">
        <f t="shared" si="64"/>
        <v>607.16281107343082</v>
      </c>
      <c r="CC77" s="59">
        <f t="shared" si="65"/>
        <v>875.38884017638168</v>
      </c>
      <c r="CD77" s="59">
        <f ca="1">AVERAGE(OFFSET($CC$3,0,0,'Données projet'!$E$12+1,1))-AVERAGE(OFFSET($H$3,0,0,'Données projet'!$E$12+1,1))</f>
        <v>681.47578137804555</v>
      </c>
      <c r="CE77" s="59">
        <f t="shared" si="94"/>
        <v>300.88511065995885</v>
      </c>
      <c r="CF77" s="15">
        <f>IF(ISNA(VLOOKUP(A77,'Données projet'!$A$113:$I$133,3,0)),0,VLOOKUP(A77,'Données projet'!$A$113:$I$133,3,0))</f>
        <v>5</v>
      </c>
      <c r="CG77" s="15">
        <f>IF(ISNA(VLOOKUP(A77,'Données projet'!$A$113:$I$133,4,0)),0,VLOOKUP(A77,'Données projet'!$A$113:$I$133,4,0))</f>
        <v>51.339999999999975</v>
      </c>
      <c r="CH77" s="16">
        <f>IF(ISNA(VLOOKUP(A77,'Données projet'!$A$113:$I$133,5,0)),0%,VLOOKUP(A77,'Données projet'!$A$113:$I$133,5,0)*VLOOKUP('Données projet'!$B$12,Paramètres!$A$1:$I$89,7,0))</f>
        <v>0.15049999999999999</v>
      </c>
      <c r="CI77" s="16">
        <f>IF(ISNA(VLOOKUP(A77,'Données projet'!$A$113:$I$133,6,0)),0%,VLOOKUP(A77,'Données projet'!$A$113:$I$133,6,0)*VLOOKUP('Données projet'!$B$12,Paramètres!$A$1:$I$89,7,0))</f>
        <v>8.6000000000000007E-2</v>
      </c>
      <c r="CJ77" s="16">
        <f>IF(ISNA(VLOOKUP(A77,'Données projet'!$A$113:$I$133,7,0)),0%,VLOOKUP(A77,'Données projet'!$A$113:$I$133,7,0))</f>
        <v>0.1</v>
      </c>
      <c r="CK77" s="21">
        <f>EXP(-LN(2)/35)*CK76+(1-EXP(-LN(2)/35))/(LN(2)/35)*CG77*CH77*VLOOKUP('Données projet'!$B$12,Paramètres!$A$1:$I$89,3,0)*0.475*44/12</f>
        <v>14.625152268757301</v>
      </c>
      <c r="CL77" s="21">
        <f>EXP(-LN(2)/25)*CL76+(1-EXP(-LN(2)/25))/(LN(2)/25)*Calculateur!CG77*Calculateur!CI77*VLOOKUP('Données projet'!$B$12,Paramètres!$A$1:$I$89,3,0)*0.475*44/12</f>
        <v>31.489340968528012</v>
      </c>
      <c r="CM77" s="21">
        <f>EXP(-LN(2)/2)*CM76+(1-EXP(-LN(2)/2))/(LN(2)/2)*CG77*CJ77*VLOOKUP('Données projet'!$B$12,Paramètres!$A$1:$I$89,3,0)*0.475*44/12</f>
        <v>4.7028840054751821</v>
      </c>
      <c r="CN77" s="22">
        <f t="shared" si="66"/>
        <v>50.8173772427605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2.3076923076923093</v>
      </c>
      <c r="CT77" s="12">
        <f>IF('Données projet'!$A$140&gt;35,CT76+CS77-DB76,IF(A77&lt;'Données projet'!$A$140,$CQ$205^A77,IF(A77='Données projet'!$A$140,'Données projet'!$B$140,CT76+CS77-DB76)))</f>
        <v>116.28205128205123</v>
      </c>
      <c r="CU77" s="17">
        <f>CT77*VLOOKUP('Données projet'!$B$13,Paramètres!$A$1:$I$89,3,0)*VLOOKUP('Données projet'!$B$13,Paramètres!$A$1:$I$89,5,0)</f>
        <v>94.32799999999996</v>
      </c>
      <c r="CV77" s="13">
        <f t="shared" si="95"/>
        <v>25.606163978031738</v>
      </c>
      <c r="CW77" s="20">
        <f t="shared" si="67"/>
        <v>208.88533559507187</v>
      </c>
      <c r="CX77" s="59">
        <f t="shared" si="68"/>
        <v>477.11136469802273</v>
      </c>
      <c r="CY77" s="59">
        <f ca="1">AVERAGE(OFFSET($CX$3,0,0,'Données projet'!$E$13+1,1))-AVERAGE(OFFSET($H$3,0,0,'Données projet'!$E$13+1,1))</f>
        <v>186.54446846714993</v>
      </c>
      <c r="CZ77" s="59">
        <f t="shared" si="96"/>
        <v>154.43773051601286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3.5063207352602865</v>
      </c>
      <c r="DH77" s="21">
        <f>EXP(-LN(2)/2)*DH76+(1-EXP(-LN(2)/2))/(LN(2)/2)*DB77*DE77*VLOOKUP('Données projet'!$B$13,Paramètres!$A$1:$I$89,3,0)*0.475*44/12</f>
        <v>0.40974289634458783</v>
      </c>
      <c r="DI77" s="22">
        <f t="shared" si="69"/>
        <v>3.9160636316048745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6.8810000000000002</v>
      </c>
      <c r="DO77" s="12">
        <f>IF('Données projet'!$A$166&gt;35,DO76+DN77-DW76,IF(A77&lt;'Données projet'!$A$166,$DL$205^A77,IF(A77='Données projet'!$A$166,'Données projet'!$B$166,DO76+DN77-DW76)))</f>
        <v>171.23100000000017</v>
      </c>
      <c r="DP77" s="17">
        <f>DO77*VLOOKUP('Données projet'!$B$14,Paramètres!$A$1:$I$89,3,0)*VLOOKUP('Données projet'!$B$14,Paramètres!$A$1:$I$89,5,0)</f>
        <v>194.99786280000021</v>
      </c>
      <c r="DQ77" s="13">
        <f t="shared" si="97"/>
        <v>48.643234082857191</v>
      </c>
      <c r="DR77" s="20">
        <f t="shared" si="70"/>
        <v>424.34157707097665</v>
      </c>
      <c r="DS77" s="59">
        <f t="shared" si="71"/>
        <v>692.56760617392752</v>
      </c>
      <c r="DT77" s="59">
        <f ca="1">AVERAGE(OFFSET($DS$3,0,0,'Données projet'!$E$14+1,1))-AVERAGE(OFFSET($H$3,0,0,'Données projet'!$E$14+1,1))</f>
        <v>651.35546372812314</v>
      </c>
      <c r="DU77" s="59">
        <f t="shared" si="98"/>
        <v>293.6561676213388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47.223436226401901</v>
      </c>
      <c r="EC77" s="21">
        <f>EXP(-LN(2)/2)*EC76+(1-EXP(-LN(2)/2))/(LN(2)/2)*DW77*DZ77*VLOOKUP('Données projet'!$B$14,Paramètres!$A$1:$I$89,3,0)*0.475*44/12</f>
        <v>5.7847626884486303</v>
      </c>
      <c r="ED77" s="22">
        <f t="shared" si="72"/>
        <v>53.008198914850531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2.4358974358974366</v>
      </c>
      <c r="EJ77" s="12">
        <f>IF('Données projet'!$A$192&gt;35,EJ76+EI77-ER76,IF(A77&lt;'Données projet'!$A$192,$EG$205^A77,IF(A77='Données projet'!$A$192,'Données projet'!$B$192,EJ76+EI77-ER76)))</f>
        <v>140.51282051282058</v>
      </c>
      <c r="EK77" s="17">
        <f>EJ77*VLOOKUP('Données projet'!$B$15,Paramètres!$A$1:$I$89,3,0)*VLOOKUP('Données projet'!$B$15,Paramètres!$A$1:$I$89,5,0)</f>
        <v>146.86400000000009</v>
      </c>
      <c r="EL77" s="13">
        <f t="shared" si="99"/>
        <v>37.865044394930777</v>
      </c>
      <c r="EM77" s="20">
        <f t="shared" si="73"/>
        <v>321.73641898783791</v>
      </c>
      <c r="EN77" s="59">
        <f t="shared" si="74"/>
        <v>589.96244809078871</v>
      </c>
      <c r="EO77" s="59">
        <f ca="1">AVERAGE(OFFSET($EN$3,0,0,'Données projet'!$E$15+1,1))-AVERAGE(OFFSET($H$3,0,0,'Données projet'!$E$15+1,1))</f>
        <v>290.69667785754848</v>
      </c>
      <c r="EP77" s="59">
        <f t="shared" si="100"/>
        <v>256.28124185489082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1.7954879680764821</v>
      </c>
      <c r="EW77" s="21">
        <f>EXP(-LN(2)/25)*EW76+(1-EXP(-LN(2)/25))/(LN(2)/25)*Calculateur!ER77*Calculateur!ET77*VLOOKUP('Données projet'!$B$15,Paramètres!$A$1:$I$89,3,0)*0.475*44/12</f>
        <v>17.685315543524542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19.480803511601025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9.546999999999997</v>
      </c>
      <c r="N78" s="13">
        <f>IF('Données projet'!$A$36&gt;35,N77+M78-V77,IF(A78&lt;'Données projet'!$A$36,$K$205^A78,IF(A78='Données projet'!$A$36,'Données projet'!$B$36,N77+M78-V77)))</f>
        <v>269.16700000000031</v>
      </c>
      <c r="O78" s="13">
        <f>N78*VLOOKUP('Données projet'!$B$9,Paramètres!$A$1:$I$89,3,0)*VLOOKUP('Données projet'!$B$9,Paramètres!$A$1:$I$89,5,0)</f>
        <v>272.93533800000034</v>
      </c>
      <c r="P78" s="13">
        <f t="shared" si="87"/>
        <v>65.471829519996945</v>
      </c>
      <c r="Q78" s="20">
        <f t="shared" si="54"/>
        <v>589.39248343066197</v>
      </c>
      <c r="R78" s="59">
        <f t="shared" si="55"/>
        <v>858.05406813048671</v>
      </c>
      <c r="S78" s="59">
        <f ca="1">AVERAGE(OFFSET($R$3,0,0,'Données projet'!$E$9+1,1))-AVERAGE(OFFSET($H$3,0,0,'Données projet'!$E$9+1,1))</f>
        <v>752.45542076695506</v>
      </c>
      <c r="T78" s="59">
        <f t="shared" si="88"/>
        <v>329.70629768420724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16.068853913101503</v>
      </c>
      <c r="AA78" s="21">
        <f>EXP(-LN(2)/25)*AA77+(1-EXP(-LN(2)/25))/(LN(2)/25)*Calculateur!V78*Calculateur!X78*VLOOKUP('Données projet'!$B$9,Paramètres!$A$1:$I$89,3,0)*0.475*44/12</f>
        <v>34.324777818041802</v>
      </c>
      <c r="AB78" s="21">
        <f>EXP(-LN(2)/2)*AB77+(1-EXP(-LN(2)/2))/(LN(2)/2)*V78*Y78*VLOOKUP('Données projet'!$B$9,Paramètres!$A$1:$I$89,3,0)*0.475*44/12</f>
        <v>3.7267875196783029</v>
      </c>
      <c r="AC78" s="22">
        <f t="shared" si="57"/>
        <v>54.120419250821605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324</v>
      </c>
      <c r="AG78" s="12">
        <f>VLOOKUP(A78,'Données projet'!$A$61:$I$81,9,0)</f>
        <v>4.2</v>
      </c>
      <c r="AH78" s="12">
        <f t="array" ref="AH78">INDEX(AG:AG,MIN(IF(ISNUMBER(AG78:AG274),ROW(AG78:AG274),"")))</f>
        <v>4.2</v>
      </c>
      <c r="AI78" s="13">
        <f>IF('Données projet'!$A$62&gt;35,AI77+AH78-AQ77,IF(A78&lt;'Données projet'!$A$62,$AF$205^A78,IF(A78='Données projet'!$A$62,'Données projet'!$B$62,AI77+AH78-AQ77)))</f>
        <v>323.99999999999989</v>
      </c>
      <c r="AJ78" s="13">
        <f>AI78*VLOOKUP('Données projet'!$B$10,Paramètres!$A$1:$I$89,3,0)*VLOOKUP('Données projet'!$B$10,Paramètres!$A$1:$I$89,5,0)</f>
        <v>283.04639999999989</v>
      </c>
      <c r="AK78" s="13">
        <f t="shared" si="89"/>
        <v>67.610394756513259</v>
      </c>
      <c r="AL78" s="20">
        <f t="shared" si="58"/>
        <v>610.72725086759363</v>
      </c>
      <c r="AM78" s="59">
        <f t="shared" si="59"/>
        <v>879.38883556741848</v>
      </c>
      <c r="AN78" s="59">
        <f ca="1">AVERAGE(OFFSET($AM$3,0,0,'Données projet'!$E$10+1,1))-AVERAGE(OFFSET($H$3,0,0,'Données projet'!$E$10+1,1))</f>
        <v>408.246209980743</v>
      </c>
      <c r="AO78" s="59">
        <f t="shared" si="90"/>
        <v>394.10236303013903</v>
      </c>
      <c r="AP78" s="15">
        <f>IF(ISNA(VLOOKUP(A78,'Données projet'!$A$61:$I$81,3,0)),0,VLOOKUP(A78,'Données projet'!$A$61:$I$81,3,0))</f>
        <v>13</v>
      </c>
      <c r="AQ78" s="15">
        <f>IF(ISNA(VLOOKUP(A78,'Données projet'!$A$61:$I$81,4,0)),0,VLOOKUP(A78,'Données projet'!$A$61:$I$81,4,0))</f>
        <v>12</v>
      </c>
      <c r="AR78" s="16">
        <f>IF(ISNA(VLOOKUP(A78,'Données projet'!$A$61:$I$81,5,0)),0%,VLOOKUP(A78,'Données projet'!$A$61:$I$81,5,0)*VLOOKUP('Données projet'!$B$10,Paramètres!$A$1:$I$89,7,0))</f>
        <v>0.13250000000000001</v>
      </c>
      <c r="AS78" s="16">
        <f>IF(ISNA(VLOOKUP(A78,'Données projet'!$A$61:$I$81,6,0)),0%,VLOOKUP(A78,'Données projet'!$A$61:$I$81,6,0)*VLOOKUP('Données projet'!$B$10,Paramètres!$A$1:$I$89,7,0))</f>
        <v>0.13250000000000001</v>
      </c>
      <c r="AT78" s="16">
        <f>IF(ISNA(VLOOKUP(A78,'Données projet'!$A$61:$I$81,7,0)),0%,VLOOKUP(A78,'Données projet'!$A$61:$I$81,7,0))</f>
        <v>0.25</v>
      </c>
      <c r="AU78" s="21">
        <f>EXP(-LN(2)/35)*AU77+(1-EXP(-LN(2)/35))/(LN(2)/35)*AQ78*AR78*VLOOKUP('Données projet'!$B$10,Paramètres!$A$1:$I$89,3,0)*0.475*44/12</f>
        <v>16.3973156474581</v>
      </c>
      <c r="AV78" s="21">
        <f>EXP(-LN(2)/25)*AV77+(1-EXP(-LN(2)/25))/(LN(2)/25)*Calculateur!AQ78*Calculateur!AS78*VLOOKUP('Données projet'!$B$10,Paramètres!$A$1:$I$89,3,0)*0.475*44/12</f>
        <v>16.420431427058794</v>
      </c>
      <c r="AW78" s="21">
        <f>EXP(-LN(2)/2)*AW77+(1-EXP(-LN(2)/2))/(LN(2)/2)*AQ78*AT78*VLOOKUP('Données projet'!$B$10,Paramètres!$A$1:$I$89,3,0)*0.475*44/12</f>
        <v>3.0501010726400488</v>
      </c>
      <c r="AX78" s="21">
        <f t="shared" si="60"/>
        <v>35.867848147156941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9.546999999999997</v>
      </c>
      <c r="BD78" s="12">
        <f>IF('Données projet'!$A$88&gt;35,BD77+BC78-BL77,IF(A78&lt;'Données projet'!$A$88,$BA$205^A78,IF(A78='Données projet'!$A$88,'Données projet'!$B$88,BD77+BC78-BL77)))</f>
        <v>269.16700000000031</v>
      </c>
      <c r="BE78" s="13">
        <f>BD78*VLOOKUP('Données projet'!$B$11,Paramètres!$A$1:$I$89,3,0)*VLOOKUP('Données projet'!$B$11,Paramètres!$A$1:$I$89,5,0)</f>
        <v>256.13931720000033</v>
      </c>
      <c r="BF78" s="13">
        <f t="shared" si="91"/>
        <v>61.898721250680353</v>
      </c>
      <c r="BG78" s="20">
        <f t="shared" si="61"/>
        <v>553.91625030160219</v>
      </c>
      <c r="BH78" s="59">
        <f t="shared" si="62"/>
        <v>822.57783500142705</v>
      </c>
      <c r="BI78" s="59">
        <f ca="1">AVERAGE(OFFSET($BH$3,0,0,'Données projet'!$E$11+1,1))-AVERAGE(OFFSET($H$3,0,0,'Données projet'!$E$11+1,1))</f>
        <v>711.91538686535682</v>
      </c>
      <c r="BJ78" s="59">
        <f t="shared" si="92"/>
        <v>313.24593837351722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15.080001364602946</v>
      </c>
      <c r="BQ78" s="21">
        <f>EXP(-LN(2)/25)*BQ77+(1-EXP(-LN(2)/25))/(LN(2)/25)*Calculateur!BL78*Calculateur!BN78*VLOOKUP('Données projet'!$B$11,Paramètres!$A$1:$I$89,3,0)*0.475*44/12</f>
        <v>32.212483798469989</v>
      </c>
      <c r="BR78" s="21">
        <f>EXP(-LN(2)/2)*BR77+(1-EXP(-LN(2)/2))/(LN(2)/2)*BL78*BO78*VLOOKUP('Données projet'!$B$11,Paramètres!$A$1:$I$89,3,0)*0.475*44/12</f>
        <v>3.4974467492365608</v>
      </c>
      <c r="BS78" s="22">
        <f t="shared" si="63"/>
        <v>50.789931912309498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9.546999999999997</v>
      </c>
      <c r="BY78" s="12">
        <f>IF('Données projet'!$A$114&gt;35,BY77+BX78-CG77,IF(A78&lt;'Données projet'!$A$114,$BV$205^A78,IF(A78='Données projet'!$A$114,'Données projet'!$B$114,BY77+BX78-CG77)))</f>
        <v>269.16700000000031</v>
      </c>
      <c r="BZ78" s="13">
        <f>BY78*VLOOKUP('Données projet'!$B$12,Paramètres!$A$1:$I$89,3,0)*VLOOKUP('Données projet'!$B$12,Paramètres!$A$1:$I$89,5,0)</f>
        <v>243.54230160000029</v>
      </c>
      <c r="CA78" s="13">
        <f t="shared" si="93"/>
        <v>59.201022808040776</v>
      </c>
      <c r="CB78" s="20">
        <f t="shared" si="64"/>
        <v>527.27795667733812</v>
      </c>
      <c r="CC78" s="59">
        <f t="shared" si="65"/>
        <v>795.93954137716287</v>
      </c>
      <c r="CD78" s="59">
        <f ca="1">AVERAGE(OFFSET($CC$3,0,0,'Données projet'!$E$12+1,1))-AVERAGE(OFFSET($H$3,0,0,'Données projet'!$E$12+1,1))</f>
        <v>681.47578137804555</v>
      </c>
      <c r="CE78" s="59">
        <f t="shared" si="94"/>
        <v>300.88511065995885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14.338361953229031</v>
      </c>
      <c r="CL78" s="21">
        <f>EXP(-LN(2)/25)*CL77+(1-EXP(-LN(2)/25))/(LN(2)/25)*Calculateur!CG78*Calculateur!CI78*VLOOKUP('Données projet'!$B$12,Paramètres!$A$1:$I$89,3,0)*0.475*44/12</f>
        <v>30.628263283791142</v>
      </c>
      <c r="CM78" s="21">
        <f>EXP(-LN(2)/2)*CM77+(1-EXP(-LN(2)/2))/(LN(2)/2)*CG78*CJ78*VLOOKUP('Données projet'!$B$12,Paramètres!$A$1:$I$89,3,0)*0.475*44/12</f>
        <v>3.3254411714052541</v>
      </c>
      <c r="CN78" s="22">
        <f t="shared" si="66"/>
        <v>48.292066408425427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118.58974358974359</v>
      </c>
      <c r="CR78" s="12">
        <f>VLOOKUP(A78,'Données projet'!$A$139:$I$159,9,0)</f>
        <v>2.3076923076923093</v>
      </c>
      <c r="CS78" s="12">
        <f t="array" ref="CS78">INDEX(CR:CR,MIN(IF(ISNUMBER(CR78:CR274),ROW(CR78:CR274),"")))</f>
        <v>2.3076923076923093</v>
      </c>
      <c r="CT78" s="12">
        <f>IF('Données projet'!$A$140&gt;35,CT77+CS78-DB77,IF(A78&lt;'Données projet'!$A$140,$CQ$205^A78,IF(A78='Données projet'!$A$140,'Données projet'!$B$140,CT77+CS78-DB77)))</f>
        <v>118.58974358974353</v>
      </c>
      <c r="CU78" s="17">
        <f>CT78*VLOOKUP('Données projet'!$B$13,Paramètres!$A$1:$I$89,3,0)*VLOOKUP('Données projet'!$B$13,Paramètres!$A$1:$I$89,5,0)</f>
        <v>96.19999999999996</v>
      </c>
      <c r="CV78" s="13">
        <f t="shared" si="95"/>
        <v>26.054668897183113</v>
      </c>
      <c r="CW78" s="20">
        <f t="shared" si="67"/>
        <v>212.92688166259384</v>
      </c>
      <c r="CX78" s="59">
        <f t="shared" si="68"/>
        <v>481.58846636241867</v>
      </c>
      <c r="CY78" s="59">
        <f ca="1">AVERAGE(OFFSET($CX$3,0,0,'Données projet'!$E$13+1,1))-AVERAGE(OFFSET($H$3,0,0,'Données projet'!$E$13+1,1))</f>
        <v>186.54446846714993</v>
      </c>
      <c r="CZ78" s="59">
        <f t="shared" si="96"/>
        <v>154.43773051601286</v>
      </c>
      <c r="DA78" s="15">
        <f>IF(ISNA(VLOOKUP(A78,'Données projet'!$A$139:$I$159,3,0)),0,VLOOKUP(A78,'Données projet'!$A$139:$I$159,3,0))</f>
        <v>13</v>
      </c>
      <c r="DB78" s="15">
        <f>IF(ISNA(VLOOKUP(A78,'Données projet'!$A$139:$I$159,4,0)),0,VLOOKUP(A78,'Données projet'!$A$139:$I$159,4,0))</f>
        <v>7.0512820512820511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0.1075</v>
      </c>
      <c r="DE78" s="16">
        <f>IF(ISNA(VLOOKUP(A78,'Données projet'!$A$139:$I$159,7,0)),0%,VLOOKUP(A78,'Données projet'!$A$139:$I$159,7,0))</f>
        <v>0.25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4.0875174972734243</v>
      </c>
      <c r="DH78" s="21">
        <f>EXP(-LN(2)/2)*DH77+(1-EXP(-LN(2)/2))/(LN(2)/2)*DB78*DE78*VLOOKUP('Données projet'!$B$13,Paramètres!$A$1:$I$89,3,0)*0.475*44/12</f>
        <v>1.6389754684339801</v>
      </c>
      <c r="DI78" s="22">
        <f t="shared" si="69"/>
        <v>5.7264929657074042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6.8810000000000002</v>
      </c>
      <c r="DO78" s="12">
        <f>IF('Données projet'!$A$166&gt;35,DO77+DN78-DW77,IF(A78&lt;'Données projet'!$A$166,$DL$205^A78,IF(A78='Données projet'!$A$166,'Données projet'!$B$166,DO77+DN78-DW77)))</f>
        <v>178.11200000000017</v>
      </c>
      <c r="DP78" s="17">
        <f>DO78*VLOOKUP('Données projet'!$B$14,Paramètres!$A$1:$I$89,3,0)*VLOOKUP('Données projet'!$B$14,Paramètres!$A$1:$I$89,5,0)</f>
        <v>202.83394560000019</v>
      </c>
      <c r="DQ78" s="13">
        <f t="shared" si="97"/>
        <v>50.366472259159657</v>
      </c>
      <c r="DR78" s="20">
        <f t="shared" si="70"/>
        <v>440.99072777137002</v>
      </c>
      <c r="DS78" s="59">
        <f t="shared" si="71"/>
        <v>709.65231247119482</v>
      </c>
      <c r="DT78" s="59">
        <f ca="1">AVERAGE(OFFSET($DS$3,0,0,'Données projet'!$E$14+1,1))-AVERAGE(OFFSET($H$3,0,0,'Données projet'!$E$14+1,1))</f>
        <v>651.35546372812314</v>
      </c>
      <c r="DU78" s="59">
        <f t="shared" si="98"/>
        <v>293.6561676213388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</v>
      </c>
      <c r="EB78" s="21">
        <f>EXP(-LN(2)/25)*EB77+(1-EXP(-LN(2)/25))/(LN(2)/25)*Calculateur!DW78*Calculateur!DY78*VLOOKUP('Données projet'!$B$14,Paramètres!$A$1:$I$89,3,0)*0.475*44/12</f>
        <v>45.932108879418358</v>
      </c>
      <c r="EC78" s="21">
        <f>EXP(-LN(2)/2)*EC77+(1-EXP(-LN(2)/2))/(LN(2)/2)*DW78*DZ78*VLOOKUP('Données projet'!$B$14,Paramètres!$A$1:$I$89,3,0)*0.475*44/12</f>
        <v>4.0904449245569499</v>
      </c>
      <c r="ED78" s="22">
        <f t="shared" si="72"/>
        <v>50.022553803975306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142.94871794871796</v>
      </c>
      <c r="EH78" s="12">
        <f>VLOOKUP(A78,'Données projet'!$A$191:$I$211,9,0)</f>
        <v>2.4358974358974366</v>
      </c>
      <c r="EI78" s="12">
        <f t="array" ref="EI78">INDEX(EH:EH,MIN(IF(ISNUMBER(EH78:EH274),ROW(EH78:EH274),"")))</f>
        <v>2.4358974358974366</v>
      </c>
      <c r="EJ78" s="12">
        <f>IF('Données projet'!$A$192&gt;35,EJ77+EI78-ER77,IF(A78&lt;'Données projet'!$A$192,$EG$205^A78,IF(A78='Données projet'!$A$192,'Données projet'!$B$192,EJ77+EI78-ER77)))</f>
        <v>142.94871794871801</v>
      </c>
      <c r="EK78" s="17">
        <f>EJ78*VLOOKUP('Données projet'!$B$15,Paramètres!$A$1:$I$89,3,0)*VLOOKUP('Données projet'!$B$15,Paramètres!$A$1:$I$89,5,0)</f>
        <v>149.41000000000008</v>
      </c>
      <c r="EL78" s="13">
        <f t="shared" si="99"/>
        <v>38.444475265192452</v>
      </c>
      <c r="EM78" s="20">
        <f t="shared" si="73"/>
        <v>327.17987775354368</v>
      </c>
      <c r="EN78" s="59">
        <f t="shared" si="74"/>
        <v>595.84146245336842</v>
      </c>
      <c r="EO78" s="59">
        <f ca="1">AVERAGE(OFFSET($EN$3,0,0,'Données projet'!$E$15+1,1))-AVERAGE(OFFSET($H$3,0,0,'Données projet'!$E$15+1,1))</f>
        <v>290.69667785754848</v>
      </c>
      <c r="EP78" s="59">
        <f t="shared" si="100"/>
        <v>256.28124185489082</v>
      </c>
      <c r="EQ78" s="15">
        <f>IF(ISNA(VLOOKUP(A78,'Données projet'!$A$191:$I$211,3,0)),0,VLOOKUP(A78,'Données projet'!$A$191:$I$211,3,0))</f>
        <v>12</v>
      </c>
      <c r="ER78" s="15">
        <f>IF(ISNA(VLOOKUP(A78,'Données projet'!$A$191:$I$211,4,0)),0,VLOOKUP(A78,'Données projet'!$A$191:$I$211,4,0))</f>
        <v>8.9743589743589745</v>
      </c>
      <c r="ES78" s="16">
        <f>IF(ISNA(VLOOKUP(A78,'Données projet'!$A$191:$I$211,5,0)),0%,VLOOKUP(A78,'Données projet'!$A$191:$I$211,5,0)*VLOOKUP('Données projet'!$B$15,Paramètres!$A$1:$I$89,7,0))</f>
        <v>4.3000000000000003E-2</v>
      </c>
      <c r="ET78" s="16">
        <f>IF(ISNA(VLOOKUP(A78,'Données projet'!$A$191:$I$211,6,0)),0%,VLOOKUP(A78,'Données projet'!$A$191:$I$211,6,0)*VLOOKUP('Données projet'!$B$15,Paramètres!$A$1:$I$89,7,0))</f>
        <v>0.215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2.2061599670428471</v>
      </c>
      <c r="EW78" s="21">
        <f>EXP(-LN(2)/25)*EW77+(1-EXP(-LN(2)/25))/(LN(2)/25)*Calculateur!ER78*Calculateur!ET78*VLOOKUP('Données projet'!$B$15,Paramètres!$A$1:$I$89,3,0)*0.475*44/12</f>
        <v>19.422333768767427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21.628493735810274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9.546999999999997</v>
      </c>
      <c r="N79" s="13">
        <f>IF('Données projet'!$A$36&gt;35,N78+M79-V78,IF(A79&lt;'Données projet'!$A$36,$K$205^A79,IF(A79='Données projet'!$A$36,'Données projet'!$B$36,N78+M79-V78)))</f>
        <v>278.71400000000028</v>
      </c>
      <c r="O79" s="13">
        <f>N79*VLOOKUP('Données projet'!$B$9,Paramètres!$A$1:$I$89,3,0)*VLOOKUP('Données projet'!$B$9,Paramètres!$A$1:$I$89,5,0)</f>
        <v>282.61599600000028</v>
      </c>
      <c r="P79" s="13">
        <f t="shared" si="87"/>
        <v>67.519544470872418</v>
      </c>
      <c r="Q79" s="20">
        <f t="shared" si="54"/>
        <v>609.81939965343656</v>
      </c>
      <c r="R79" s="59">
        <f t="shared" si="55"/>
        <v>878.90898403428605</v>
      </c>
      <c r="S79" s="59">
        <f ca="1">AVERAGE(OFFSET($R$3,0,0,'Données projet'!$E$9+1,1))-AVERAGE(OFFSET($H$3,0,0,'Données projet'!$E$9+1,1))</f>
        <v>752.45542076695506</v>
      </c>
      <c r="T79" s="59">
        <f t="shared" si="88"/>
        <v>329.70629768420724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15.753753488898697</v>
      </c>
      <c r="AA79" s="21">
        <f>EXP(-LN(2)/25)*AA78+(1-EXP(-LN(2)/25))/(LN(2)/25)*Calculateur!V79*Calculateur!X79*VLOOKUP('Données projet'!$B$9,Paramètres!$A$1:$I$89,3,0)*0.475*44/12</f>
        <v>33.386164963545838</v>
      </c>
      <c r="AB79" s="21">
        <f>EXP(-LN(2)/2)*AB78+(1-EXP(-LN(2)/2))/(LN(2)/2)*V79*Y79*VLOOKUP('Données projet'!$B$9,Paramètres!$A$1:$I$89,3,0)*0.475*44/12</f>
        <v>2.6352367272059221</v>
      </c>
      <c r="AC79" s="22">
        <f t="shared" si="57"/>
        <v>51.775155179650454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3.6</v>
      </c>
      <c r="AI79" s="13">
        <f>IF('Données projet'!$A$62&gt;35,AI78+AH79-AQ78,IF(A79&lt;'Données projet'!$A$62,$AF$205^A79,IF(A79='Données projet'!$A$62,'Données projet'!$B$62,AI78+AH79-AQ78)))</f>
        <v>315.59999999999991</v>
      </c>
      <c r="AJ79" s="13">
        <f>AI79*VLOOKUP('Données projet'!$B$10,Paramètres!$A$1:$I$89,3,0)*VLOOKUP('Données projet'!$B$10,Paramètres!$A$1:$I$89,5,0)</f>
        <v>275.70815999999996</v>
      </c>
      <c r="AK79" s="13">
        <f t="shared" si="89"/>
        <v>66.05920594467139</v>
      </c>
      <c r="AL79" s="20">
        <f t="shared" si="58"/>
        <v>595.24482902030275</v>
      </c>
      <c r="AM79" s="59">
        <f t="shared" si="59"/>
        <v>864.33441340115223</v>
      </c>
      <c r="AN79" s="59">
        <f ca="1">AVERAGE(OFFSET($AM$3,0,0,'Données projet'!$E$10+1,1))-AVERAGE(OFFSET($H$3,0,0,'Données projet'!$E$10+1,1))</f>
        <v>408.246209980743</v>
      </c>
      <c r="AO79" s="59">
        <f t="shared" si="90"/>
        <v>394.10236303013903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16.075774288986437</v>
      </c>
      <c r="AV79" s="21">
        <f>EXP(-LN(2)/25)*AV78+(1-EXP(-LN(2)/25))/(LN(2)/25)*Calculateur!AQ79*Calculateur!AS79*VLOOKUP('Données projet'!$B$10,Paramètres!$A$1:$I$89,3,0)*0.475*44/12</f>
        <v>15.971413866172913</v>
      </c>
      <c r="AW79" s="21">
        <f>EXP(-LN(2)/2)*AW78+(1-EXP(-LN(2)/2))/(LN(2)/2)*AQ79*AT79*VLOOKUP('Données projet'!$B$10,Paramètres!$A$1:$I$89,3,0)*0.475*44/12</f>
        <v>2.1567471517681409</v>
      </c>
      <c r="AX79" s="21">
        <f t="shared" si="60"/>
        <v>34.203935306927491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9.546999999999997</v>
      </c>
      <c r="BD79" s="12">
        <f>IF('Données projet'!$A$88&gt;35,BD78+BC79-BL78,IF(A79&lt;'Données projet'!$A$88,$BA$205^A79,IF(A79='Données projet'!$A$88,'Données projet'!$B$88,BD78+BC79-BL78)))</f>
        <v>278.71400000000028</v>
      </c>
      <c r="BE79" s="13">
        <f>BD79*VLOOKUP('Données projet'!$B$11,Paramètres!$A$1:$I$89,3,0)*VLOOKUP('Données projet'!$B$11,Paramètres!$A$1:$I$89,5,0)</f>
        <v>265.22424240000026</v>
      </c>
      <c r="BF79" s="13">
        <f t="shared" si="91"/>
        <v>63.834682684389406</v>
      </c>
      <c r="BG79" s="20">
        <f t="shared" si="61"/>
        <v>573.11096118864532</v>
      </c>
      <c r="BH79" s="59">
        <f t="shared" si="62"/>
        <v>842.20054556949481</v>
      </c>
      <c r="BI79" s="59">
        <f ca="1">AVERAGE(OFFSET($BH$3,0,0,'Données projet'!$E$11+1,1))-AVERAGE(OFFSET($H$3,0,0,'Données projet'!$E$11+1,1))</f>
        <v>711.91538686535682</v>
      </c>
      <c r="BJ79" s="59">
        <f t="shared" si="92"/>
        <v>313.24593837351722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14.784291735735698</v>
      </c>
      <c r="BQ79" s="21">
        <f>EXP(-LN(2)/25)*BQ78+(1-EXP(-LN(2)/25))/(LN(2)/25)*Calculateur!BL79*Calculateur!BN79*VLOOKUP('Données projet'!$B$11,Paramètres!$A$1:$I$89,3,0)*0.475*44/12</f>
        <v>31.331631735019926</v>
      </c>
      <c r="BR79" s="21">
        <f>EXP(-LN(2)/2)*BR78+(1-EXP(-LN(2)/2))/(LN(2)/2)*BL79*BO79*VLOOKUP('Données projet'!$B$11,Paramètres!$A$1:$I$89,3,0)*0.475*44/12</f>
        <v>2.4730683132240188</v>
      </c>
      <c r="BS79" s="22">
        <f t="shared" si="63"/>
        <v>48.588991783979644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9.546999999999997</v>
      </c>
      <c r="BY79" s="12">
        <f>IF('Données projet'!$A$114&gt;35,BY78+BX79-CG78,IF(A79&lt;'Données projet'!$A$114,$BV$205^A79,IF(A79='Données projet'!$A$114,'Données projet'!$B$114,BY78+BX79-CG78)))</f>
        <v>278.71400000000028</v>
      </c>
      <c r="BZ79" s="13">
        <f>BY79*VLOOKUP('Données projet'!$B$12,Paramètres!$A$1:$I$89,3,0)*VLOOKUP('Données projet'!$B$12,Paramètres!$A$1:$I$89,5,0)</f>
        <v>252.18042720000025</v>
      </c>
      <c r="CA79" s="13">
        <f t="shared" si="93"/>
        <v>61.052610283141384</v>
      </c>
      <c r="CB79" s="20">
        <f t="shared" si="64"/>
        <v>545.54754028313835</v>
      </c>
      <c r="CC79" s="59">
        <f t="shared" si="65"/>
        <v>814.63712466398783</v>
      </c>
      <c r="CD79" s="59">
        <f ca="1">AVERAGE(OFFSET($CC$3,0,0,'Données projet'!$E$12+1,1))-AVERAGE(OFFSET($H$3,0,0,'Données projet'!$E$12+1,1))</f>
        <v>681.47578137804555</v>
      </c>
      <c r="CE79" s="59">
        <f t="shared" si="94"/>
        <v>300.88511065995885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14.057195420863451</v>
      </c>
      <c r="CL79" s="21">
        <f>EXP(-LN(2)/25)*CL78+(1-EXP(-LN(2)/25))/(LN(2)/25)*Calculateur!CG79*Calculateur!CI79*VLOOKUP('Données projet'!$B$12,Paramètres!$A$1:$I$89,3,0)*0.475*44/12</f>
        <v>29.790731813625509</v>
      </c>
      <c r="CM79" s="21">
        <f>EXP(-LN(2)/2)*CM78+(1-EXP(-LN(2)/2))/(LN(2)/2)*CG79*CJ79*VLOOKUP('Données projet'!$B$12,Paramètres!$A$1:$I$89,3,0)*0.475*44/12</f>
        <v>2.3514420027375915</v>
      </c>
      <c r="CN79" s="22">
        <f t="shared" si="66"/>
        <v>46.199369237226556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2.3076923076923039</v>
      </c>
      <c r="CT79" s="12">
        <f>IF('Données projet'!$A$140&gt;35,CT78+CS79-DB78,IF(A79&lt;'Données projet'!$A$140,$CQ$205^A79,IF(A79='Données projet'!$A$140,'Données projet'!$B$140,CT78+CS79-DB78)))</f>
        <v>113.84615384615378</v>
      </c>
      <c r="CU79" s="17">
        <f>CT79*VLOOKUP('Données projet'!$B$13,Paramètres!$A$1:$I$89,3,0)*VLOOKUP('Données projet'!$B$13,Paramètres!$A$1:$I$89,5,0)</f>
        <v>92.351999999999947</v>
      </c>
      <c r="CV79" s="13">
        <f t="shared" si="95"/>
        <v>25.131616275989728</v>
      </c>
      <c r="CW79" s="20">
        <f t="shared" si="67"/>
        <v>204.61729834734868</v>
      </c>
      <c r="CX79" s="59">
        <f t="shared" si="68"/>
        <v>473.70688272819814</v>
      </c>
      <c r="CY79" s="59">
        <f ca="1">AVERAGE(OFFSET($CX$3,0,0,'Données projet'!$E$13+1,1))-AVERAGE(OFFSET($H$3,0,0,'Données projet'!$E$13+1,1))</f>
        <v>186.54446846714993</v>
      </c>
      <c r="CZ79" s="59">
        <f t="shared" si="96"/>
        <v>154.43773051601286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3.9757441163572795</v>
      </c>
      <c r="DH79" s="21">
        <f>EXP(-LN(2)/2)*DH78+(1-EXP(-LN(2)/2))/(LN(2)/2)*DB79*DE79*VLOOKUP('Données projet'!$B$13,Paramètres!$A$1:$I$89,3,0)*0.475*44/12</f>
        <v>1.1589306679280658</v>
      </c>
      <c r="DI79" s="22">
        <f t="shared" si="69"/>
        <v>5.1346747842853455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6.8810000000000002</v>
      </c>
      <c r="DO79" s="12">
        <f>IF('Données projet'!$A$166&gt;35,DO78+DN79-DW78,IF(A79&lt;'Données projet'!$A$166,$DL$205^A79,IF(A79='Données projet'!$A$166,'Données projet'!$B$166,DO78+DN79-DW78)))</f>
        <v>184.99300000000017</v>
      </c>
      <c r="DP79" s="17">
        <f>DO79*VLOOKUP('Données projet'!$B$14,Paramètres!$A$1:$I$89,3,0)*VLOOKUP('Données projet'!$B$14,Paramètres!$A$1:$I$89,5,0)</f>
        <v>210.67002840000021</v>
      </c>
      <c r="DQ79" s="13">
        <f t="shared" si="97"/>
        <v>52.081976604702739</v>
      </c>
      <c r="DR79" s="20">
        <f t="shared" si="70"/>
        <v>457.62640871652428</v>
      </c>
      <c r="DS79" s="59">
        <f t="shared" si="71"/>
        <v>726.71599309737371</v>
      </c>
      <c r="DT79" s="59">
        <f ca="1">AVERAGE(OFFSET($DS$3,0,0,'Données projet'!$E$14+1,1))-AVERAGE(OFFSET($H$3,0,0,'Données projet'!$E$14+1,1))</f>
        <v>651.35546372812314</v>
      </c>
      <c r="DU79" s="59">
        <f t="shared" si="98"/>
        <v>293.6561676213388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</v>
      </c>
      <c r="EB79" s="21">
        <f>EXP(-LN(2)/25)*EB78+(1-EXP(-LN(2)/25))/(LN(2)/25)*Calculateur!DW79*Calculateur!DY79*VLOOKUP('Données projet'!$B$14,Paramètres!$A$1:$I$89,3,0)*0.475*44/12</f>
        <v>44.676092946646037</v>
      </c>
      <c r="EC79" s="21">
        <f>EXP(-LN(2)/2)*EC78+(1-EXP(-LN(2)/2))/(LN(2)/2)*DW79*DZ79*VLOOKUP('Données projet'!$B$14,Paramètres!$A$1:$I$89,3,0)*0.475*44/12</f>
        <v>2.8923813442243151</v>
      </c>
      <c r="ED79" s="22">
        <f t="shared" si="72"/>
        <v>47.568474290870356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2.3076923076923093</v>
      </c>
      <c r="EJ79" s="12">
        <f>IF('Données projet'!$A$192&gt;35,EJ78+EI79-ER78,IF(A79&lt;'Données projet'!$A$192,$EG$205^A79,IF(A79='Données projet'!$A$192,'Données projet'!$B$192,EJ78+EI79-ER78)))</f>
        <v>136.28205128205136</v>
      </c>
      <c r="EK79" s="17">
        <f>EJ79*VLOOKUP('Données projet'!$B$15,Paramètres!$A$1:$I$89,3,0)*VLOOKUP('Données projet'!$B$15,Paramètres!$A$1:$I$89,5,0)</f>
        <v>142.44200000000009</v>
      </c>
      <c r="EL79" s="13">
        <f t="shared" si="99"/>
        <v>36.855869139220644</v>
      </c>
      <c r="EM79" s="20">
        <f t="shared" si="73"/>
        <v>312.27712208414272</v>
      </c>
      <c r="EN79" s="59">
        <f t="shared" si="74"/>
        <v>581.36670646499215</v>
      </c>
      <c r="EO79" s="59">
        <f ca="1">AVERAGE(OFFSET($EN$3,0,0,'Données projet'!$E$15+1,1))-AVERAGE(OFFSET($H$3,0,0,'Données projet'!$E$15+1,1))</f>
        <v>290.69667785754848</v>
      </c>
      <c r="EP79" s="59">
        <f t="shared" si="100"/>
        <v>256.28124185489082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2.1628985157138474</v>
      </c>
      <c r="EW79" s="21">
        <f>EXP(-LN(2)/25)*EW78+(1-EXP(-LN(2)/25))/(LN(2)/25)*Calculateur!ER79*Calculateur!ET79*VLOOKUP('Données projet'!$B$15,Paramètres!$A$1:$I$89,3,0)*0.475*44/12</f>
        <v>18.89122903048434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21.054127546198188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9.546999999999997</v>
      </c>
      <c r="N80" s="13">
        <f>IF('Données projet'!$A$36&gt;35,N79+M80-V79,IF(A80&lt;'Données projet'!$A$36,$K$205^A80,IF(A80='Données projet'!$A$36,'Données projet'!$B$36,N79+M80-V79)))</f>
        <v>288.26100000000031</v>
      </c>
      <c r="O80" s="13">
        <f>N80*VLOOKUP('Données projet'!$B$9,Paramètres!$A$1:$I$89,3,0)*VLOOKUP('Données projet'!$B$9,Paramètres!$A$1:$I$89,5,0)</f>
        <v>292.29665400000033</v>
      </c>
      <c r="P80" s="13">
        <f t="shared" si="87"/>
        <v>69.559109473742168</v>
      </c>
      <c r="Q80" s="20">
        <f t="shared" si="54"/>
        <v>630.23212138343479</v>
      </c>
      <c r="R80" s="59">
        <f t="shared" si="55"/>
        <v>899.74228060770702</v>
      </c>
      <c r="S80" s="59">
        <f ca="1">AVERAGE(OFFSET($R$3,0,0,'Données projet'!$E$9+1,1))-AVERAGE(OFFSET($H$3,0,0,'Données projet'!$E$9+1,1))</f>
        <v>752.45542076695506</v>
      </c>
      <c r="T80" s="59">
        <f t="shared" si="88"/>
        <v>329.70629768420724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15.444831991822229</v>
      </c>
      <c r="AA80" s="21">
        <f>EXP(-LN(2)/25)*AA79+(1-EXP(-LN(2)/25))/(LN(2)/25)*Calculateur!V80*Calculateur!X80*VLOOKUP('Données projet'!$B$9,Paramètres!$A$1:$I$89,3,0)*0.475*44/12</f>
        <v>32.473218526915566</v>
      </c>
      <c r="AB80" s="21">
        <f>EXP(-LN(2)/2)*AB79+(1-EXP(-LN(2)/2))/(LN(2)/2)*V80*Y80*VLOOKUP('Données projet'!$B$9,Paramètres!$A$1:$I$89,3,0)*0.475*44/12</f>
        <v>1.8633937598391517</v>
      </c>
      <c r="AC80" s="22">
        <f t="shared" si="57"/>
        <v>49.781444278576942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3.6</v>
      </c>
      <c r="AI80" s="13">
        <f>IF('Données projet'!$A$62&gt;35,AI79+AH80-AQ79,IF(A80&lt;'Données projet'!$A$62,$AF$205^A80,IF(A80='Données projet'!$A$62,'Données projet'!$B$62,AI79+AH80-AQ79)))</f>
        <v>319.19999999999993</v>
      </c>
      <c r="AJ80" s="13">
        <f>AI80*VLOOKUP('Données projet'!$B$10,Paramètres!$A$1:$I$89,3,0)*VLOOKUP('Données projet'!$B$10,Paramètres!$A$1:$I$89,5,0)</f>
        <v>278.85311999999999</v>
      </c>
      <c r="AK80" s="13">
        <f t="shared" si="89"/>
        <v>66.724582302351905</v>
      </c>
      <c r="AL80" s="20">
        <f t="shared" si="58"/>
        <v>601.88116484326292</v>
      </c>
      <c r="AM80" s="59">
        <f t="shared" si="59"/>
        <v>871.39132406753515</v>
      </c>
      <c r="AN80" s="59">
        <f ca="1">AVERAGE(OFFSET($AM$3,0,0,'Données projet'!$E$10+1,1))-AVERAGE(OFFSET($H$3,0,0,'Données projet'!$E$10+1,1))</f>
        <v>408.246209980743</v>
      </c>
      <c r="AO80" s="59">
        <f t="shared" si="90"/>
        <v>394.10236303013903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15.760538160433541</v>
      </c>
      <c r="AV80" s="21">
        <f>EXP(-LN(2)/25)*AV79+(1-EXP(-LN(2)/25))/(LN(2)/25)*Calculateur!AQ80*Calculateur!AS80*VLOOKUP('Données projet'!$B$10,Paramètres!$A$1:$I$89,3,0)*0.475*44/12</f>
        <v>15.534674714102263</v>
      </c>
      <c r="AW80" s="21">
        <f>EXP(-LN(2)/2)*AW79+(1-EXP(-LN(2)/2))/(LN(2)/2)*AQ80*AT80*VLOOKUP('Données projet'!$B$10,Paramètres!$A$1:$I$89,3,0)*0.475*44/12</f>
        <v>1.5250505363200246</v>
      </c>
      <c r="AX80" s="21">
        <f t="shared" si="60"/>
        <v>32.82026341085583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9.546999999999997</v>
      </c>
      <c r="BD80" s="12">
        <f>IF('Données projet'!$A$88&gt;35,BD79+BC80-BL79,IF(A80&lt;'Données projet'!$A$88,$BA$205^A80,IF(A80='Données projet'!$A$88,'Données projet'!$B$88,BD79+BC80-BL79)))</f>
        <v>288.26100000000031</v>
      </c>
      <c r="BE80" s="13">
        <f>BD80*VLOOKUP('Données projet'!$B$11,Paramètres!$A$1:$I$89,3,0)*VLOOKUP('Données projet'!$B$11,Paramètres!$A$1:$I$89,5,0)</f>
        <v>274.30916760000031</v>
      </c>
      <c r="BF80" s="13">
        <f t="shared" si="91"/>
        <v>65.762938951410732</v>
      </c>
      <c r="BG80" s="20">
        <f t="shared" si="61"/>
        <v>592.29225224370759</v>
      </c>
      <c r="BH80" s="59">
        <f t="shared" si="62"/>
        <v>861.80241146797994</v>
      </c>
      <c r="BI80" s="59">
        <f ca="1">AVERAGE(OFFSET($BH$3,0,0,'Données projet'!$E$11+1,1))-AVERAGE(OFFSET($H$3,0,0,'Données projet'!$E$11+1,1))</f>
        <v>711.91538686535682</v>
      </c>
      <c r="BJ80" s="59">
        <f t="shared" si="92"/>
        <v>313.24593837351722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14.494380792325472</v>
      </c>
      <c r="BQ80" s="21">
        <f>EXP(-LN(2)/25)*BQ79+(1-EXP(-LN(2)/25))/(LN(2)/25)*Calculateur!BL80*Calculateur!BN80*VLOOKUP('Données projet'!$B$11,Paramètres!$A$1:$I$89,3,0)*0.475*44/12</f>
        <v>30.474866617566903</v>
      </c>
      <c r="BR80" s="21">
        <f>EXP(-LN(2)/2)*BR79+(1-EXP(-LN(2)/2))/(LN(2)/2)*BL80*BO80*VLOOKUP('Données projet'!$B$11,Paramètres!$A$1:$I$89,3,0)*0.475*44/12</f>
        <v>1.7487233746182804</v>
      </c>
      <c r="BS80" s="22">
        <f t="shared" si="63"/>
        <v>46.717970784510655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9.546999999999997</v>
      </c>
      <c r="BY80" s="12">
        <f>IF('Données projet'!$A$114&gt;35,BY79+BX80-CG79,IF(A80&lt;'Données projet'!$A$114,$BV$205^A80,IF(A80='Données projet'!$A$114,'Données projet'!$B$114,BY79+BX80-CG79)))</f>
        <v>288.26100000000031</v>
      </c>
      <c r="BZ80" s="13">
        <f>BY80*VLOOKUP('Données projet'!$B$12,Paramètres!$A$1:$I$89,3,0)*VLOOKUP('Données projet'!$B$12,Paramètres!$A$1:$I$89,5,0)</f>
        <v>260.8185528000003</v>
      </c>
      <c r="CA80" s="13">
        <f t="shared" si="93"/>
        <v>62.896828401660521</v>
      </c>
      <c r="CB80" s="20">
        <f t="shared" si="64"/>
        <v>563.80428892622592</v>
      </c>
      <c r="CC80" s="59">
        <f t="shared" si="65"/>
        <v>833.31444815049827</v>
      </c>
      <c r="CD80" s="59">
        <f ca="1">AVERAGE(OFFSET($CC$3,0,0,'Données projet'!$E$12+1,1))-AVERAGE(OFFSET($H$3,0,0,'Données projet'!$E$12+1,1))</f>
        <v>681.47578137804555</v>
      </c>
      <c r="CE80" s="59">
        <f t="shared" si="94"/>
        <v>300.88511065995885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13.781542392702908</v>
      </c>
      <c r="CL80" s="21">
        <f>EXP(-LN(2)/25)*CL79+(1-EXP(-LN(2)/25))/(LN(2)/25)*Calculateur!CG80*Calculateur!CI80*VLOOKUP('Données projet'!$B$12,Paramètres!$A$1:$I$89,3,0)*0.475*44/12</f>
        <v>28.976102685555421</v>
      </c>
      <c r="CM80" s="21">
        <f>EXP(-LN(2)/2)*CM79+(1-EXP(-LN(2)/2))/(LN(2)/2)*CG80*CJ80*VLOOKUP('Données projet'!$B$12,Paramètres!$A$1:$I$89,3,0)*0.475*44/12</f>
        <v>1.6627205857026273</v>
      </c>
      <c r="CN80" s="22">
        <f t="shared" si="66"/>
        <v>44.420365663960958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2.3076923076923039</v>
      </c>
      <c r="CT80" s="12">
        <f>IF('Données projet'!$A$140&gt;35,CT79+CS80-DB79,IF(A80&lt;'Données projet'!$A$140,$CQ$205^A80,IF(A80='Données projet'!$A$140,'Données projet'!$B$140,CT79+CS80-DB79)))</f>
        <v>116.15384615384609</v>
      </c>
      <c r="CU80" s="17">
        <f>CT80*VLOOKUP('Données projet'!$B$13,Paramètres!$A$1:$I$89,3,0)*VLOOKUP('Données projet'!$B$13,Paramètres!$A$1:$I$89,5,0)</f>
        <v>94.223999999999961</v>
      </c>
      <c r="CV80" s="13">
        <f t="shared" si="95"/>
        <v>25.581216834792983</v>
      </c>
      <c r="CW80" s="20">
        <f t="shared" si="67"/>
        <v>208.66075265393101</v>
      </c>
      <c r="CX80" s="59">
        <f t="shared" si="68"/>
        <v>478.1709118782033</v>
      </c>
      <c r="CY80" s="59">
        <f ca="1">AVERAGE(OFFSET($CX$3,0,0,'Données projet'!$E$13+1,1))-AVERAGE(OFFSET($H$3,0,0,'Données projet'!$E$13+1,1))</f>
        <v>186.54446846714993</v>
      </c>
      <c r="CZ80" s="59">
        <f t="shared" si="96"/>
        <v>154.43773051601286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3.8670271844201936</v>
      </c>
      <c r="DH80" s="21">
        <f>EXP(-LN(2)/2)*DH79+(1-EXP(-LN(2)/2))/(LN(2)/2)*DB80*DE80*VLOOKUP('Données projet'!$B$13,Paramètres!$A$1:$I$89,3,0)*0.475*44/12</f>
        <v>0.81948773421699017</v>
      </c>
      <c r="DI80" s="22">
        <f t="shared" si="69"/>
        <v>4.6865149186371839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6.8810000000000002</v>
      </c>
      <c r="DO80" s="12">
        <f>IF('Données projet'!$A$166&gt;35,DO79+DN80-DW79,IF(A80&lt;'Données projet'!$A$166,$DL$205^A80,IF(A80='Données projet'!$A$166,'Données projet'!$B$166,DO79+DN80-DW79)))</f>
        <v>191.87400000000017</v>
      </c>
      <c r="DP80" s="17">
        <f>DO80*VLOOKUP('Données projet'!$B$14,Paramètres!$A$1:$I$89,3,0)*VLOOKUP('Données projet'!$B$14,Paramètres!$A$1:$I$89,5,0)</f>
        <v>218.50611120000016</v>
      </c>
      <c r="DQ80" s="13">
        <f t="shared" si="97"/>
        <v>53.790067727794714</v>
      </c>
      <c r="DR80" s="20">
        <f t="shared" si="70"/>
        <v>474.24917829924271</v>
      </c>
      <c r="DS80" s="59">
        <f t="shared" si="71"/>
        <v>743.759337523515</v>
      </c>
      <c r="DT80" s="59">
        <f ca="1">AVERAGE(OFFSET($DS$3,0,0,'Données projet'!$E$14+1,1))-AVERAGE(OFFSET($H$3,0,0,'Données projet'!$E$14+1,1))</f>
        <v>651.35546372812314</v>
      </c>
      <c r="DU80" s="59">
        <f t="shared" si="98"/>
        <v>293.6561676213388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</v>
      </c>
      <c r="EB80" s="21">
        <f>EXP(-LN(2)/25)*EB79+(1-EXP(-LN(2)/25))/(LN(2)/25)*Calculateur!DW80*Calculateur!DY80*VLOOKUP('Données projet'!$B$14,Paramètres!$A$1:$I$89,3,0)*0.475*44/12</f>
        <v>43.45442283560638</v>
      </c>
      <c r="EC80" s="21">
        <f>EXP(-LN(2)/2)*EC79+(1-EXP(-LN(2)/2))/(LN(2)/2)*DW80*DZ80*VLOOKUP('Données projet'!$B$14,Paramètres!$A$1:$I$89,3,0)*0.475*44/12</f>
        <v>2.0452224622784749</v>
      </c>
      <c r="ED80" s="22">
        <f t="shared" si="72"/>
        <v>45.499645297884854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2.3076923076923093</v>
      </c>
      <c r="EJ80" s="12">
        <f>IF('Données projet'!$A$192&gt;35,EJ79+EI80-ER79,IF(A80&lt;'Données projet'!$A$192,$EG$205^A80,IF(A80='Données projet'!$A$192,'Données projet'!$B$192,EJ79+EI80-ER79)))</f>
        <v>138.58974358974368</v>
      </c>
      <c r="EK80" s="17">
        <f>EJ80*VLOOKUP('Données projet'!$B$15,Paramètres!$A$1:$I$89,3,0)*VLOOKUP('Données projet'!$B$15,Paramètres!$A$1:$I$89,5,0)</f>
        <v>144.8540000000001</v>
      </c>
      <c r="EL80" s="13">
        <f t="shared" si="99"/>
        <v>37.406773318436038</v>
      </c>
      <c r="EM80" s="20">
        <f t="shared" si="73"/>
        <v>317.43751352960959</v>
      </c>
      <c r="EN80" s="59">
        <f t="shared" si="74"/>
        <v>586.94767275388187</v>
      </c>
      <c r="EO80" s="59">
        <f ca="1">AVERAGE(OFFSET($EN$3,0,0,'Données projet'!$E$15+1,1))-AVERAGE(OFFSET($H$3,0,0,'Données projet'!$E$15+1,1))</f>
        <v>290.69667785754848</v>
      </c>
      <c r="EP80" s="59">
        <f t="shared" si="100"/>
        <v>256.28124185489082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2.1204853950585294</v>
      </c>
      <c r="EW80" s="21">
        <f>EXP(-LN(2)/25)*EW79+(1-EXP(-LN(2)/25))/(LN(2)/25)*Calculateur!ER80*Calculateur!ET80*VLOOKUP('Données projet'!$B$15,Paramètres!$A$1:$I$89,3,0)*0.475*44/12</f>
        <v>18.374647379199185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20.495132774257716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9.546999999999997</v>
      </c>
      <c r="N81" s="13">
        <f>IF('Données projet'!$A$36&gt;35,N80+M81-V80,IF(A81&lt;'Données projet'!$A$36,$K$205^A81,IF(A81='Données projet'!$A$36,'Données projet'!$B$36,N80+M81-V80)))</f>
        <v>297.80800000000033</v>
      </c>
      <c r="O81" s="13">
        <f>N81*VLOOKUP('Données projet'!$B$9,Paramètres!$A$1:$I$89,3,0)*VLOOKUP('Données projet'!$B$9,Paramètres!$A$1:$I$89,5,0)</f>
        <v>301.97731200000038</v>
      </c>
      <c r="P81" s="13">
        <f t="shared" si="87"/>
        <v>71.590825399464663</v>
      </c>
      <c r="Q81" s="20">
        <f t="shared" si="54"/>
        <v>650.63117263740162</v>
      </c>
      <c r="R81" s="59">
        <f t="shared" si="55"/>
        <v>920.55461067182785</v>
      </c>
      <c r="S81" s="59">
        <f ca="1">AVERAGE(OFFSET($R$3,0,0,'Données projet'!$E$9+1,1))-AVERAGE(OFFSET($H$3,0,0,'Données projet'!$E$9+1,1))</f>
        <v>752.45542076695506</v>
      </c>
      <c r="T81" s="59">
        <f t="shared" si="88"/>
        <v>329.70629768420724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15.14196825687992</v>
      </c>
      <c r="AA81" s="21">
        <f>EXP(-LN(2)/25)*AA80+(1-EXP(-LN(2)/25))/(LN(2)/25)*Calculateur!V81*Calculateur!X81*VLOOKUP('Données projet'!$B$9,Paramètres!$A$1:$I$89,3,0)*0.475*44/12</f>
        <v>31.585236658604718</v>
      </c>
      <c r="AB81" s="21">
        <f>EXP(-LN(2)/2)*AB80+(1-EXP(-LN(2)/2))/(LN(2)/2)*V81*Y81*VLOOKUP('Données projet'!$B$9,Paramètres!$A$1:$I$89,3,0)*0.475*44/12</f>
        <v>1.3176183636029613</v>
      </c>
      <c r="AC81" s="22">
        <f t="shared" si="57"/>
        <v>48.044823279087595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3.6</v>
      </c>
      <c r="AI81" s="13">
        <f>IF('Données projet'!$A$62&gt;35,AI80+AH81-AQ80,IF(A81&lt;'Données projet'!$A$62,$AF$205^A81,IF(A81='Données projet'!$A$62,'Données projet'!$B$62,AI80+AH81-AQ80)))</f>
        <v>322.79999999999995</v>
      </c>
      <c r="AJ81" s="13">
        <f>AI81*VLOOKUP('Données projet'!$B$10,Paramètres!$A$1:$I$89,3,0)*VLOOKUP('Données projet'!$B$10,Paramètres!$A$1:$I$89,5,0)</f>
        <v>281.99808000000002</v>
      </c>
      <c r="AK81" s="13">
        <f t="shared" si="89"/>
        <v>67.389085719488818</v>
      </c>
      <c r="AL81" s="20">
        <f t="shared" si="58"/>
        <v>608.51598029477634</v>
      </c>
      <c r="AM81" s="59">
        <f t="shared" si="59"/>
        <v>878.43941832920257</v>
      </c>
      <c r="AN81" s="59">
        <f ca="1">AVERAGE(OFFSET($AM$3,0,0,'Données projet'!$E$10+1,1))-AVERAGE(OFFSET($H$3,0,0,'Données projet'!$E$10+1,1))</f>
        <v>408.246209980743</v>
      </c>
      <c r="AO81" s="59">
        <f t="shared" si="90"/>
        <v>394.10236303013903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15.451483620086513</v>
      </c>
      <c r="AV81" s="21">
        <f>EXP(-LN(2)/25)*AV80+(1-EXP(-LN(2)/25))/(LN(2)/25)*Calculateur!AQ81*Calculateur!AS81*VLOOKUP('Données projet'!$B$10,Paramètres!$A$1:$I$89,3,0)*0.475*44/12</f>
        <v>15.109878217112097</v>
      </c>
      <c r="AW81" s="21">
        <f>EXP(-LN(2)/2)*AW80+(1-EXP(-LN(2)/2))/(LN(2)/2)*AQ81*AT81*VLOOKUP('Données projet'!$B$10,Paramètres!$A$1:$I$89,3,0)*0.475*44/12</f>
        <v>1.0783735758840707</v>
      </c>
      <c r="AX81" s="21">
        <f t="shared" si="60"/>
        <v>31.639735413082683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9.546999999999997</v>
      </c>
      <c r="BD81" s="12">
        <f>IF('Données projet'!$A$88&gt;35,BD80+BC81-BL80,IF(A81&lt;'Données projet'!$A$88,$BA$205^A81,IF(A81='Données projet'!$A$88,'Données projet'!$B$88,BD80+BC81-BL80)))</f>
        <v>297.80800000000033</v>
      </c>
      <c r="BE81" s="13">
        <f>BD81*VLOOKUP('Données projet'!$B$11,Paramètres!$A$1:$I$89,3,0)*VLOOKUP('Données projet'!$B$11,Paramètres!$A$1:$I$89,5,0)</f>
        <v>283.39409280000029</v>
      </c>
      <c r="BF81" s="13">
        <f t="shared" si="91"/>
        <v>67.683774502652653</v>
      </c>
      <c r="BG81" s="20">
        <f t="shared" si="61"/>
        <v>611.46061888545398</v>
      </c>
      <c r="BH81" s="59">
        <f t="shared" si="62"/>
        <v>881.38405691988021</v>
      </c>
      <c r="BI81" s="59">
        <f ca="1">AVERAGE(OFFSET($BH$3,0,0,'Données projet'!$E$11+1,1))-AVERAGE(OFFSET($H$3,0,0,'Données projet'!$E$11+1,1))</f>
        <v>711.91538686535682</v>
      </c>
      <c r="BJ81" s="59">
        <f t="shared" si="92"/>
        <v>313.24593837351722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14.210154825687306</v>
      </c>
      <c r="BQ81" s="21">
        <f>EXP(-LN(2)/25)*BQ80+(1-EXP(-LN(2)/25))/(LN(2)/25)*Calculateur!BL81*Calculateur!BN81*VLOOKUP('Données projet'!$B$11,Paramètres!$A$1:$I$89,3,0)*0.475*44/12</f>
        <v>29.641529787305952</v>
      </c>
      <c r="BR81" s="21">
        <f>EXP(-LN(2)/2)*BR80+(1-EXP(-LN(2)/2))/(LN(2)/2)*BL81*BO81*VLOOKUP('Données projet'!$B$11,Paramètres!$A$1:$I$89,3,0)*0.475*44/12</f>
        <v>1.2365341566120094</v>
      </c>
      <c r="BS81" s="22">
        <f t="shared" si="63"/>
        <v>45.08821876960527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9.546999999999997</v>
      </c>
      <c r="BY81" s="12">
        <f>IF('Données projet'!$A$114&gt;35,BY80+BX81-CG80,IF(A81&lt;'Données projet'!$A$114,$BV$205^A81,IF(A81='Données projet'!$A$114,'Données projet'!$B$114,BY80+BX81-CG80)))</f>
        <v>297.80800000000033</v>
      </c>
      <c r="BZ81" s="13">
        <f>BY81*VLOOKUP('Données projet'!$B$12,Paramètres!$A$1:$I$89,3,0)*VLOOKUP('Données projet'!$B$12,Paramètres!$A$1:$I$89,5,0)</f>
        <v>269.45667840000027</v>
      </c>
      <c r="CA81" s="13">
        <f t="shared" si="93"/>
        <v>64.733949217436958</v>
      </c>
      <c r="CB81" s="20">
        <f t="shared" si="64"/>
        <v>582.04867643370324</v>
      </c>
      <c r="CC81" s="59">
        <f t="shared" si="65"/>
        <v>851.97211446812946</v>
      </c>
      <c r="CD81" s="59">
        <f ca="1">AVERAGE(OFFSET($CC$3,0,0,'Données projet'!$E$12+1,1))-AVERAGE(OFFSET($H$3,0,0,'Données projet'!$E$12+1,1))</f>
        <v>681.47578137804555</v>
      </c>
      <c r="CE81" s="59">
        <f t="shared" si="94"/>
        <v>300.88511065995885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13.51129475229285</v>
      </c>
      <c r="CL81" s="21">
        <f>EXP(-LN(2)/25)*CL80+(1-EXP(-LN(2)/25))/(LN(2)/25)*Calculateur!CG81*Calculateur!CI81*VLOOKUP('Données projet'!$B$12,Paramètres!$A$1:$I$89,3,0)*0.475*44/12</f>
        <v>28.183749633831894</v>
      </c>
      <c r="CM81" s="21">
        <f>EXP(-LN(2)/2)*CM80+(1-EXP(-LN(2)/2))/(LN(2)/2)*CG81*CJ81*VLOOKUP('Données projet'!$B$12,Paramètres!$A$1:$I$89,3,0)*0.475*44/12</f>
        <v>1.175721001368796</v>
      </c>
      <c r="CN81" s="22">
        <f t="shared" si="66"/>
        <v>42.870765387493535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2.3076923076923039</v>
      </c>
      <c r="CT81" s="12">
        <f>IF('Données projet'!$A$140&gt;35,CT80+CS81-DB80,IF(A81&lt;'Données projet'!$A$140,$CQ$205^A81,IF(A81='Données projet'!$A$140,'Données projet'!$B$140,CT80+CS81-DB80)))</f>
        <v>118.4615384615384</v>
      </c>
      <c r="CU81" s="17">
        <f>CT81*VLOOKUP('Données projet'!$B$13,Paramètres!$A$1:$I$89,3,0)*VLOOKUP('Données projet'!$B$13,Paramètres!$A$1:$I$89,5,0)</f>
        <v>96.095999999999947</v>
      </c>
      <c r="CV81" s="13">
        <f t="shared" si="95"/>
        <v>26.029778784173327</v>
      </c>
      <c r="CW81" s="20">
        <f t="shared" si="67"/>
        <v>212.70239804910179</v>
      </c>
      <c r="CX81" s="59">
        <f t="shared" si="68"/>
        <v>482.62583608352804</v>
      </c>
      <c r="CY81" s="59">
        <f ca="1">AVERAGE(OFFSET($CX$3,0,0,'Données projet'!$E$13+1,1))-AVERAGE(OFFSET($H$3,0,0,'Données projet'!$E$13+1,1))</f>
        <v>186.54446846714993</v>
      </c>
      <c r="CZ81" s="59">
        <f t="shared" si="96"/>
        <v>154.43773051601286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</v>
      </c>
      <c r="DG81" s="21">
        <f>EXP(-LN(2)/25)*DG80+(1-EXP(-LN(2)/25))/(LN(2)/25)*Calculateur!DB81*Calculateur!DD81*VLOOKUP('Données projet'!$B$13,Paramètres!$A$1:$I$89,3,0)*0.475*44/12</f>
        <v>3.7612831227041021</v>
      </c>
      <c r="DH81" s="21">
        <f>EXP(-LN(2)/2)*DH80+(1-EXP(-LN(2)/2))/(LN(2)/2)*DB81*DE81*VLOOKUP('Données projet'!$B$13,Paramètres!$A$1:$I$89,3,0)*0.475*44/12</f>
        <v>0.57946533396403288</v>
      </c>
      <c r="DI81" s="22">
        <f t="shared" si="69"/>
        <v>4.3407484566681349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6.8810000000000002</v>
      </c>
      <c r="DO81" s="12">
        <f>IF('Données projet'!$A$166&gt;35,DO80+DN81-DW80,IF(A81&lt;'Données projet'!$A$166,$DL$205^A81,IF(A81='Données projet'!$A$166,'Données projet'!$B$166,DO80+DN81-DW80)))</f>
        <v>198.75500000000017</v>
      </c>
      <c r="DP81" s="17">
        <f>DO81*VLOOKUP('Données projet'!$B$14,Paramètres!$A$1:$I$89,3,0)*VLOOKUP('Données projet'!$B$14,Paramètres!$A$1:$I$89,5,0)</f>
        <v>226.34219400000018</v>
      </c>
      <c r="DQ81" s="13">
        <f t="shared" si="97"/>
        <v>55.491041937892852</v>
      </c>
      <c r="DR81" s="20">
        <f t="shared" si="70"/>
        <v>490.85955259183038</v>
      </c>
      <c r="DS81" s="59">
        <f t="shared" si="71"/>
        <v>760.78299062625661</v>
      </c>
      <c r="DT81" s="59">
        <f ca="1">AVERAGE(OFFSET($DS$3,0,0,'Données projet'!$E$14+1,1))-AVERAGE(OFFSET($H$3,0,0,'Données projet'!$E$14+1,1))</f>
        <v>651.35546372812314</v>
      </c>
      <c r="DU81" s="59">
        <f t="shared" si="98"/>
        <v>293.6561676213388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</v>
      </c>
      <c r="EB81" s="21">
        <f>EXP(-LN(2)/25)*EB80+(1-EXP(-LN(2)/25))/(LN(2)/25)*Calculateur!DW81*Calculateur!DY81*VLOOKUP('Données projet'!$B$14,Paramètres!$A$1:$I$89,3,0)*0.475*44/12</f>
        <v>42.266159357997942</v>
      </c>
      <c r="EC81" s="21">
        <f>EXP(-LN(2)/2)*EC80+(1-EXP(-LN(2)/2))/(LN(2)/2)*DW81*DZ81*VLOOKUP('Données projet'!$B$14,Paramètres!$A$1:$I$89,3,0)*0.475*44/12</f>
        <v>1.4461906721121576</v>
      </c>
      <c r="ED81" s="22">
        <f t="shared" si="72"/>
        <v>43.712350030110102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2.3076923076923093</v>
      </c>
      <c r="EJ81" s="12">
        <f>IF('Données projet'!$A$192&gt;35,EJ80+EI81-ER80,IF(A81&lt;'Données projet'!$A$192,$EG$205^A81,IF(A81='Données projet'!$A$192,'Données projet'!$B$192,EJ80+EI81-ER80)))</f>
        <v>140.897435897436</v>
      </c>
      <c r="EK81" s="17">
        <f>EJ81*VLOOKUP('Données projet'!$B$15,Paramètres!$A$1:$I$89,3,0)*VLOOKUP('Données projet'!$B$15,Paramètres!$A$1:$I$89,5,0)</f>
        <v>147.2660000000001</v>
      </c>
      <c r="EL81" s="13">
        <f t="shared" si="99"/>
        <v>37.95661071420276</v>
      </c>
      <c r="EM81" s="20">
        <f t="shared" si="73"/>
        <v>322.59604699390326</v>
      </c>
      <c r="EN81" s="59">
        <f t="shared" si="74"/>
        <v>592.51948502832943</v>
      </c>
      <c r="EO81" s="59">
        <f ca="1">AVERAGE(OFFSET($EN$3,0,0,'Données projet'!$E$15+1,1))-AVERAGE(OFFSET($H$3,0,0,'Données projet'!$E$15+1,1))</f>
        <v>290.69667785754848</v>
      </c>
      <c r="EP81" s="59">
        <f t="shared" si="100"/>
        <v>256.28124185489082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2.0789039698298133</v>
      </c>
      <c r="EW81" s="21">
        <f>EXP(-LN(2)/25)*EW80+(1-EXP(-LN(2)/25))/(LN(2)/25)*Calculateur!ER81*Calculateur!ET81*VLOOKUP('Données projet'!$B$15,Paramètres!$A$1:$I$89,3,0)*0.475*44/12</f>
        <v>17.872191680334275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19.951095650164088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9.546999999999997</v>
      </c>
      <c r="N82" s="13">
        <f>IF('Données projet'!$A$36&gt;35,N81+M82-V81,IF(A82&lt;'Données projet'!$A$36,$K$205^A82,IF(A82='Données projet'!$A$36,'Données projet'!$B$36,N81+M82-V81)))</f>
        <v>307.35500000000036</v>
      </c>
      <c r="O82" s="13">
        <f>N82*VLOOKUP('Données projet'!$B$9,Paramètres!$A$1:$I$89,3,0)*VLOOKUP('Données projet'!$B$9,Paramètres!$A$1:$I$89,5,0)</f>
        <v>311.65797000000038</v>
      </c>
      <c r="P82" s="13">
        <f t="shared" si="87"/>
        <v>73.614972733257659</v>
      </c>
      <c r="Q82" s="20">
        <f t="shared" si="54"/>
        <v>671.0170419270911</v>
      </c>
      <c r="R82" s="59">
        <f t="shared" si="55"/>
        <v>941.34658930826799</v>
      </c>
      <c r="S82" s="59">
        <f ca="1">AVERAGE(OFFSET($R$3,0,0,'Données projet'!$E$9+1,1))-AVERAGE(OFFSET($H$3,0,0,'Données projet'!$E$9+1,1))</f>
        <v>752.45542076695506</v>
      </c>
      <c r="T82" s="59">
        <f t="shared" si="88"/>
        <v>329.70629768420724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14.845043495051193</v>
      </c>
      <c r="AA82" s="21">
        <f>EXP(-LN(2)/25)*AA81+(1-EXP(-LN(2)/25))/(LN(2)/25)*Calculateur!V82*Calculateur!X82*VLOOKUP('Données projet'!$B$9,Paramètres!$A$1:$I$89,3,0)*0.475*44/12</f>
        <v>30.721536701179765</v>
      </c>
      <c r="AB82" s="21">
        <f>EXP(-LN(2)/2)*AB81+(1-EXP(-LN(2)/2))/(LN(2)/2)*V82*Y82*VLOOKUP('Données projet'!$B$9,Paramètres!$A$1:$I$89,3,0)*0.475*44/12</f>
        <v>0.93169687991957595</v>
      </c>
      <c r="AC82" s="22">
        <f t="shared" si="57"/>
        <v>46.498277076150536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3.6</v>
      </c>
      <c r="AI82" s="13">
        <f>IF('Données projet'!$A$62&gt;35,AI81+AH82-AQ81,IF(A82&lt;'Données projet'!$A$62,$AF$205^A82,IF(A82='Données projet'!$A$62,'Données projet'!$B$62,AI81+AH82-AQ81)))</f>
        <v>326.39999999999998</v>
      </c>
      <c r="AJ82" s="13">
        <f>AI82*VLOOKUP('Données projet'!$B$10,Paramètres!$A$1:$I$89,3,0)*VLOOKUP('Données projet'!$B$10,Paramètres!$A$1:$I$89,5,0)</f>
        <v>285.14303999999998</v>
      </c>
      <c r="AK82" s="13">
        <f t="shared" si="89"/>
        <v>68.052727058079924</v>
      </c>
      <c r="AL82" s="20">
        <f t="shared" si="58"/>
        <v>615.14929429282256</v>
      </c>
      <c r="AM82" s="59">
        <f t="shared" si="59"/>
        <v>885.47884167399957</v>
      </c>
      <c r="AN82" s="59">
        <f ca="1">AVERAGE(OFFSET($AM$3,0,0,'Données projet'!$E$10+1,1))-AVERAGE(OFFSET($H$3,0,0,'Données projet'!$E$10+1,1))</f>
        <v>408.246209980743</v>
      </c>
      <c r="AO82" s="59">
        <f t="shared" si="90"/>
        <v>394.10236303013903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15.148489450771036</v>
      </c>
      <c r="AV82" s="21">
        <f>EXP(-LN(2)/25)*AV81+(1-EXP(-LN(2)/25))/(LN(2)/25)*Calculateur!AQ82*Calculateur!AS82*VLOOKUP('Données projet'!$B$10,Paramètres!$A$1:$I$89,3,0)*0.475*44/12</f>
        <v>14.696697802671206</v>
      </c>
      <c r="AW82" s="21">
        <f>EXP(-LN(2)/2)*AW81+(1-EXP(-LN(2)/2))/(LN(2)/2)*AQ82*AT82*VLOOKUP('Données projet'!$B$10,Paramètres!$A$1:$I$89,3,0)*0.475*44/12</f>
        <v>0.76252526816001243</v>
      </c>
      <c r="AX82" s="21">
        <f t="shared" si="60"/>
        <v>30.607712521602252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9.546999999999997</v>
      </c>
      <c r="BD82" s="12">
        <f>IF('Données projet'!$A$88&gt;35,BD81+BC82-BL81,IF(A82&lt;'Données projet'!$A$88,$BA$205^A82,IF(A82='Données projet'!$A$88,'Données projet'!$B$88,BD81+BC82-BL81)))</f>
        <v>307.35500000000036</v>
      </c>
      <c r="BE82" s="13">
        <f>BD82*VLOOKUP('Données projet'!$B$11,Paramètres!$A$1:$I$89,3,0)*VLOOKUP('Données projet'!$B$11,Paramètres!$A$1:$I$89,5,0)</f>
        <v>292.47901800000034</v>
      </c>
      <c r="BF82" s="13">
        <f t="shared" si="91"/>
        <v>69.597454515924511</v>
      </c>
      <c r="BG82" s="20">
        <f t="shared" si="61"/>
        <v>630.61652296523562</v>
      </c>
      <c r="BH82" s="59">
        <f t="shared" si="62"/>
        <v>900.94607034641263</v>
      </c>
      <c r="BI82" s="59">
        <f ca="1">AVERAGE(OFFSET($BH$3,0,0,'Données projet'!$E$11+1,1))-AVERAGE(OFFSET($H$3,0,0,'Données projet'!$E$11+1,1))</f>
        <v>711.91538686535682</v>
      </c>
      <c r="BJ82" s="59">
        <f t="shared" si="92"/>
        <v>313.24593837351722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13.931502356894192</v>
      </c>
      <c r="BQ82" s="21">
        <f>EXP(-LN(2)/25)*BQ81+(1-EXP(-LN(2)/25))/(LN(2)/25)*Calculateur!BL82*Calculateur!BN82*VLOOKUP('Données projet'!$B$11,Paramètres!$A$1:$I$89,3,0)*0.475*44/12</f>
        <v>28.830980596491766</v>
      </c>
      <c r="BR82" s="21">
        <f>EXP(-LN(2)/2)*BR81+(1-EXP(-LN(2)/2))/(LN(2)/2)*BL82*BO82*VLOOKUP('Données projet'!$B$11,Paramètres!$A$1:$I$89,3,0)*0.475*44/12</f>
        <v>0.87436168730914021</v>
      </c>
      <c r="BS82" s="22">
        <f t="shared" si="63"/>
        <v>43.636844640695095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9.546999999999997</v>
      </c>
      <c r="BY82" s="12">
        <f>IF('Données projet'!$A$114&gt;35,BY81+BX82-CG81,IF(A82&lt;'Données projet'!$A$114,$BV$205^A82,IF(A82='Données projet'!$A$114,'Données projet'!$B$114,BY81+BX82-CG81)))</f>
        <v>307.35500000000036</v>
      </c>
      <c r="BZ82" s="13">
        <f>BY82*VLOOKUP('Données projet'!$B$12,Paramètres!$A$1:$I$89,3,0)*VLOOKUP('Données projet'!$B$12,Paramètres!$A$1:$I$89,5,0)</f>
        <v>278.09480400000029</v>
      </c>
      <c r="CA82" s="13">
        <f t="shared" si="93"/>
        <v>66.564226351179173</v>
      </c>
      <c r="CB82" s="20">
        <f t="shared" si="64"/>
        <v>600.28114452830425</v>
      </c>
      <c r="CC82" s="59">
        <f t="shared" si="65"/>
        <v>870.61069190948115</v>
      </c>
      <c r="CD82" s="59">
        <f ca="1">AVERAGE(OFFSET($CC$3,0,0,'Données projet'!$E$12+1,1))-AVERAGE(OFFSET($H$3,0,0,'Données projet'!$E$12+1,1))</f>
        <v>681.47578137804555</v>
      </c>
      <c r="CE82" s="59">
        <f t="shared" si="94"/>
        <v>300.88511065995885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13.246346503276447</v>
      </c>
      <c r="CL82" s="21">
        <f>EXP(-LN(2)/25)*CL81+(1-EXP(-LN(2)/25))/(LN(2)/25)*Calculateur!CG82*Calculateur!CI82*VLOOKUP('Données projet'!$B$12,Paramètres!$A$1:$I$89,3,0)*0.475*44/12</f>
        <v>27.413063517975782</v>
      </c>
      <c r="CM82" s="21">
        <f>EXP(-LN(2)/2)*CM81+(1-EXP(-LN(2)/2))/(LN(2)/2)*CG82*CJ82*VLOOKUP('Données projet'!$B$12,Paramètres!$A$1:$I$89,3,0)*0.475*44/12</f>
        <v>0.83136029285131385</v>
      </c>
      <c r="CN82" s="22">
        <f t="shared" si="66"/>
        <v>41.490770314103543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2.3076923076923039</v>
      </c>
      <c r="CT82" s="12">
        <f>IF('Données projet'!$A$140&gt;35,CT81+CS82-DB81,IF(A82&lt;'Données projet'!$A$140,$CQ$205^A82,IF(A82='Données projet'!$A$140,'Données projet'!$B$140,CT81+CS82-DB81)))</f>
        <v>120.7692307692307</v>
      </c>
      <c r="CU82" s="17">
        <f>CT82*VLOOKUP('Données projet'!$B$13,Paramètres!$A$1:$I$89,3,0)*VLOOKUP('Données projet'!$B$13,Paramètres!$A$1:$I$89,5,0)</f>
        <v>97.967999999999961</v>
      </c>
      <c r="CV82" s="13">
        <f t="shared" si="95"/>
        <v>26.477324689152407</v>
      </c>
      <c r="CW82" s="20">
        <f t="shared" si="67"/>
        <v>216.74227383360707</v>
      </c>
      <c r="CX82" s="59">
        <f t="shared" si="68"/>
        <v>487.07182121478399</v>
      </c>
      <c r="CY82" s="59">
        <f ca="1">AVERAGE(OFFSET($CX$3,0,0,'Données projet'!$E$13+1,1))-AVERAGE(OFFSET($H$3,0,0,'Données projet'!$E$13+1,1))</f>
        <v>186.54446846714993</v>
      </c>
      <c r="CZ82" s="59">
        <f t="shared" si="96"/>
        <v>154.43773051601286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</v>
      </c>
      <c r="DG82" s="21">
        <f>EXP(-LN(2)/25)*DG81+(1-EXP(-LN(2)/25))/(LN(2)/25)*Calculateur!DB82*Calculateur!DD82*VLOOKUP('Données projet'!$B$13,Paramètres!$A$1:$I$89,3,0)*0.475*44/12</f>
        <v>3.6584306379164757</v>
      </c>
      <c r="DH82" s="21">
        <f>EXP(-LN(2)/2)*DH81+(1-EXP(-LN(2)/2))/(LN(2)/2)*DB82*DE82*VLOOKUP('Données projet'!$B$13,Paramètres!$A$1:$I$89,3,0)*0.475*44/12</f>
        <v>0.40974386710849509</v>
      </c>
      <c r="DI82" s="22">
        <f t="shared" si="69"/>
        <v>4.0681745050249711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6.8810000000000002</v>
      </c>
      <c r="DO82" s="12">
        <f>IF('Données projet'!$A$166&gt;35,DO81+DN82-DW81,IF(A82&lt;'Données projet'!$A$166,$DL$205^A82,IF(A82='Données projet'!$A$166,'Données projet'!$B$166,DO81+DN82-DW81)))</f>
        <v>205.63600000000017</v>
      </c>
      <c r="DP82" s="17">
        <f>DO82*VLOOKUP('Données projet'!$B$14,Paramètres!$A$1:$I$89,3,0)*VLOOKUP('Données projet'!$B$14,Paramètres!$A$1:$I$89,5,0)</f>
        <v>234.17827680000019</v>
      </c>
      <c r="DQ82" s="13">
        <f t="shared" si="97"/>
        <v>57.185173864107142</v>
      </c>
      <c r="DR82" s="20">
        <f t="shared" si="70"/>
        <v>507.45800990665361</v>
      </c>
      <c r="DS82" s="59">
        <f t="shared" si="71"/>
        <v>777.78755728783062</v>
      </c>
      <c r="DT82" s="59">
        <f ca="1">AVERAGE(OFFSET($DS$3,0,0,'Données projet'!$E$14+1,1))-AVERAGE(OFFSET($H$3,0,0,'Données projet'!$E$14+1,1))</f>
        <v>651.35546372812314</v>
      </c>
      <c r="DU82" s="59">
        <f t="shared" si="98"/>
        <v>293.6561676213388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</v>
      </c>
      <c r="EB82" s="21">
        <f>EXP(-LN(2)/25)*EB81+(1-EXP(-LN(2)/25))/(LN(2)/25)*Calculateur!DW82*Calculateur!DY82*VLOOKUP('Données projet'!$B$14,Paramètres!$A$1:$I$89,3,0)*0.475*44/12</f>
        <v>41.110389007672765</v>
      </c>
      <c r="EC82" s="21">
        <f>EXP(-LN(2)/2)*EC81+(1-EXP(-LN(2)/2))/(LN(2)/2)*DW82*DZ82*VLOOKUP('Données projet'!$B$14,Paramètres!$A$1:$I$89,3,0)*0.475*44/12</f>
        <v>1.0226112311392375</v>
      </c>
      <c r="ED82" s="22">
        <f t="shared" si="72"/>
        <v>42.133000238812002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2.3076923076923093</v>
      </c>
      <c r="EJ82" s="12">
        <f>IF('Données projet'!$A$192&gt;35,EJ81+EI82-ER81,IF(A82&lt;'Données projet'!$A$192,$EG$205^A82,IF(A82='Données projet'!$A$192,'Données projet'!$B$192,EJ81+EI82-ER81)))</f>
        <v>143.20512820512832</v>
      </c>
      <c r="EK82" s="17">
        <f>EJ82*VLOOKUP('Données projet'!$B$15,Paramètres!$A$1:$I$89,3,0)*VLOOKUP('Données projet'!$B$15,Paramètres!$A$1:$I$89,5,0)</f>
        <v>149.67800000000014</v>
      </c>
      <c r="EL82" s="13">
        <f t="shared" si="99"/>
        <v>38.505400815815293</v>
      </c>
      <c r="EM82" s="20">
        <f t="shared" si="73"/>
        <v>327.7527564208786</v>
      </c>
      <c r="EN82" s="59">
        <f t="shared" si="74"/>
        <v>598.08230380205555</v>
      </c>
      <c r="EO82" s="59">
        <f ca="1">AVERAGE(OFFSET($EN$3,0,0,'Données projet'!$E$15+1,1))-AVERAGE(OFFSET($H$3,0,0,'Données projet'!$E$15+1,1))</f>
        <v>290.69667785754848</v>
      </c>
      <c r="EP82" s="59">
        <f t="shared" si="100"/>
        <v>256.28124185489082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2.0381379309876668</v>
      </c>
      <c r="EW82" s="21">
        <f>EXP(-LN(2)/25)*EW81+(1-EXP(-LN(2)/25))/(LN(2)/25)*Calculateur!ER82*Calculateur!ET82*VLOOKUP('Données projet'!$B$15,Paramètres!$A$1:$I$89,3,0)*0.475*44/12</f>
        <v>17.383475658977822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19.421613589965489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9.546999999999997</v>
      </c>
      <c r="N83" s="13">
        <f>IF('Données projet'!$A$36&gt;35,N82+M83-V82,IF(A83&lt;'Données projet'!$A$36,$K$205^A83,IF(A83='Données projet'!$A$36,'Données projet'!$B$36,N82+M83-V82)))</f>
        <v>316.90200000000038</v>
      </c>
      <c r="O83" s="13">
        <f>N83*VLOOKUP('Données projet'!$B$9,Paramètres!$A$1:$I$89,3,0)*VLOOKUP('Données projet'!$B$9,Paramètres!$A$1:$I$89,5,0)</f>
        <v>321.33862800000043</v>
      </c>
      <c r="P83" s="13">
        <f t="shared" si="87"/>
        <v>75.631813545776993</v>
      </c>
      <c r="Q83" s="20">
        <f t="shared" si="54"/>
        <v>691.39018569222901</v>
      </c>
      <c r="R83" s="59">
        <f t="shared" si="55"/>
        <v>962.11879733091519</v>
      </c>
      <c r="S83" s="59">
        <f ca="1">AVERAGE(OFFSET($R$3,0,0,'Données projet'!$E$9+1,1))-AVERAGE(OFFSET($H$3,0,0,'Données projet'!$E$9+1,1))</f>
        <v>752.45542076695506</v>
      </c>
      <c r="T83" s="59">
        <f t="shared" si="88"/>
        <v>329.70629768420724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14.553941246695706</v>
      </c>
      <c r="AA83" s="21">
        <f>EXP(-LN(2)/25)*AA82+(1-EXP(-LN(2)/25))/(LN(2)/25)*Calculateur!V83*Calculateur!X83*VLOOKUP('Données projet'!$B$9,Paramètres!$A$1:$I$89,3,0)*0.475*44/12</f>
        <v>29.881454664510606</v>
      </c>
      <c r="AB83" s="21">
        <f>EXP(-LN(2)/2)*AB82+(1-EXP(-LN(2)/2))/(LN(2)/2)*V83*Y83*VLOOKUP('Données projet'!$B$9,Paramètres!$A$1:$I$89,3,0)*0.475*44/12</f>
        <v>0.65880918180148063</v>
      </c>
      <c r="AC83" s="22">
        <f t="shared" si="57"/>
        <v>45.094205093007794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330</v>
      </c>
      <c r="AG83" s="12">
        <f>VLOOKUP(A83,'Données projet'!$A$61:$I$81,9,0)</f>
        <v>3.6</v>
      </c>
      <c r="AH83" s="12">
        <f t="array" ref="AH83">INDEX(AG:AG,MIN(IF(ISNUMBER(AG83:AG279),ROW(AG83:AG279),"")))</f>
        <v>3.6</v>
      </c>
      <c r="AI83" s="13">
        <f>IF('Données projet'!$A$62&gt;35,AI82+AH83-AQ82,IF(A83&lt;'Données projet'!$A$62,$AF$205^A83,IF(A83='Données projet'!$A$62,'Données projet'!$B$62,AI82+AH83-AQ82)))</f>
        <v>330</v>
      </c>
      <c r="AJ83" s="13">
        <f>AI83*VLOOKUP('Données projet'!$B$10,Paramètres!$A$1:$I$89,3,0)*VLOOKUP('Données projet'!$B$10,Paramètres!$A$1:$I$89,5,0)</f>
        <v>288.28800000000001</v>
      </c>
      <c r="AK83" s="13">
        <f t="shared" si="89"/>
        <v>68.715516926722444</v>
      </c>
      <c r="AL83" s="20">
        <f t="shared" si="58"/>
        <v>621.78112531404156</v>
      </c>
      <c r="AM83" s="59">
        <f t="shared" si="59"/>
        <v>892.50973695272774</v>
      </c>
      <c r="AN83" s="59">
        <f ca="1">AVERAGE(OFFSET($AM$3,0,0,'Données projet'!$E$10+1,1))-AVERAGE(OFFSET($H$3,0,0,'Données projet'!$E$10+1,1))</f>
        <v>408.246209980743</v>
      </c>
      <c r="AO83" s="59">
        <f t="shared" si="90"/>
        <v>394.10236303013903</v>
      </c>
      <c r="AP83" s="15">
        <f>IF(ISNA(VLOOKUP(A83,'Données projet'!$A$61:$I$81,3,0)),0,VLOOKUP(A83,'Données projet'!$A$61:$I$81,3,0))</f>
        <v>14</v>
      </c>
      <c r="AQ83" s="15">
        <f>IF(ISNA(VLOOKUP(A83,'Données projet'!$A$61:$I$81,4,0)),0,VLOOKUP(A83,'Données projet'!$A$61:$I$81,4,0))</f>
        <v>330</v>
      </c>
      <c r="AR83" s="16">
        <f>IF(ISNA(VLOOKUP(A83,'Données projet'!$A$61:$I$81,5,0)),0%,VLOOKUP(A83,'Données projet'!$A$61:$I$81,5,0)*VLOOKUP('Données projet'!$B$10,Paramètres!$A$1:$I$89,7,0))</f>
        <v>0.13250000000000001</v>
      </c>
      <c r="AS83" s="16">
        <f>IF(ISNA(VLOOKUP(A83,'Données projet'!$A$61:$I$81,6,0)),0%,VLOOKUP(A83,'Données projet'!$A$61:$I$81,6,0)*VLOOKUP('Données projet'!$B$10,Paramètres!$A$1:$I$89,7,0))</f>
        <v>0.13250000000000001</v>
      </c>
      <c r="AT83" s="16">
        <f>IF(ISNA(VLOOKUP(A83,'Données projet'!$A$61:$I$81,7,0)),0%,VLOOKUP(A83,'Données projet'!$A$61:$I$81,7,0))</f>
        <v>0.25</v>
      </c>
      <c r="AU83" s="21">
        <f>EXP(-LN(2)/35)*AU82+(1-EXP(-LN(2)/35))/(LN(2)/35)*AQ83*AR83*VLOOKUP('Données projet'!$B$10,Paramètres!$A$1:$I$89,3,0)*0.475*44/12</f>
        <v>57.078371244968004</v>
      </c>
      <c r="AV83" s="21">
        <f>EXP(-LN(2)/25)*AV82+(1-EXP(-LN(2)/25))/(LN(2)/25)*Calculateur!AQ83*Calculateur!AS83*VLOOKUP('Données projet'!$B$10,Paramètres!$A$1:$I$89,3,0)*0.475*44/12</f>
        <v>56.35548673046695</v>
      </c>
      <c r="AW83" s="21">
        <f>EXP(-LN(2)/2)*AW82+(1-EXP(-LN(2)/2))/(LN(2)/2)*AQ83*AT83*VLOOKUP('Données projet'!$B$10,Paramètres!$A$1:$I$89,3,0)*0.475*44/12</f>
        <v>68.541058577381563</v>
      </c>
      <c r="AX83" s="21">
        <f t="shared" si="60"/>
        <v>181.97491655281652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9.546999999999997</v>
      </c>
      <c r="BD83" s="12">
        <f>IF('Données projet'!$A$88&gt;35,BD82+BC83-BL82,IF(A83&lt;'Données projet'!$A$88,$BA$205^A83,IF(A83='Données projet'!$A$88,'Données projet'!$B$88,BD82+BC83-BL82)))</f>
        <v>316.90200000000038</v>
      </c>
      <c r="BE83" s="13">
        <f>BD83*VLOOKUP('Données projet'!$B$11,Paramètres!$A$1:$I$89,3,0)*VLOOKUP('Données projet'!$B$11,Paramètres!$A$1:$I$89,5,0)</f>
        <v>301.56394320000038</v>
      </c>
      <c r="BF83" s="13">
        <f t="shared" si="91"/>
        <v>71.504226759443313</v>
      </c>
      <c r="BG83" s="20">
        <f t="shared" si="61"/>
        <v>649.76039601269781</v>
      </c>
      <c r="BH83" s="59">
        <f t="shared" si="62"/>
        <v>920.48900765138387</v>
      </c>
      <c r="BI83" s="59">
        <f ca="1">AVERAGE(OFFSET($BH$3,0,0,'Données projet'!$E$11+1,1))-AVERAGE(OFFSET($H$3,0,0,'Données projet'!$E$11+1,1))</f>
        <v>711.91538686535682</v>
      </c>
      <c r="BJ83" s="59">
        <f t="shared" si="92"/>
        <v>313.24593837351722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13.658314093052889</v>
      </c>
      <c r="BQ83" s="21">
        <f>EXP(-LN(2)/25)*BQ82+(1-EXP(-LN(2)/25))/(LN(2)/25)*Calculateur!BL83*Calculateur!BN83*VLOOKUP('Données projet'!$B$11,Paramètres!$A$1:$I$89,3,0)*0.475*44/12</f>
        <v>28.042595915925325</v>
      </c>
      <c r="BR83" s="21">
        <f>EXP(-LN(2)/2)*BR82+(1-EXP(-LN(2)/2))/(LN(2)/2)*BL83*BO83*VLOOKUP('Données projet'!$B$11,Paramètres!$A$1:$I$89,3,0)*0.475*44/12</f>
        <v>0.61826707830600469</v>
      </c>
      <c r="BS83" s="22">
        <f t="shared" si="63"/>
        <v>42.319177087284217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9.546999999999997</v>
      </c>
      <c r="BY83" s="12">
        <f>IF('Données projet'!$A$114&gt;35,BY82+BX83-CG82,IF(A83&lt;'Données projet'!$A$114,$BV$205^A83,IF(A83='Données projet'!$A$114,'Données projet'!$B$114,BY82+BX83-CG82)))</f>
        <v>316.90200000000038</v>
      </c>
      <c r="BZ83" s="13">
        <f>BY83*VLOOKUP('Données projet'!$B$12,Paramètres!$A$1:$I$89,3,0)*VLOOKUP('Données projet'!$B$12,Paramètres!$A$1:$I$89,5,0)</f>
        <v>286.73292960000038</v>
      </c>
      <c r="CA83" s="13">
        <f t="shared" si="93"/>
        <v>68.387896772756079</v>
      </c>
      <c r="CB83" s="20">
        <f t="shared" si="64"/>
        <v>618.50210593255088</v>
      </c>
      <c r="CC83" s="59">
        <f t="shared" si="65"/>
        <v>889.23071757123694</v>
      </c>
      <c r="CD83" s="59">
        <f ca="1">AVERAGE(OFFSET($CC$3,0,0,'Données projet'!$E$12+1,1))-AVERAGE(OFFSET($H$3,0,0,'Données projet'!$E$12+1,1))</f>
        <v>681.47578137804555</v>
      </c>
      <c r="CE83" s="59">
        <f t="shared" si="94"/>
        <v>300.88511065995885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12.986593727820781</v>
      </c>
      <c r="CL83" s="21">
        <f>EXP(-LN(2)/25)*CL82+(1-EXP(-LN(2)/25))/(LN(2)/25)*Calculateur!CG83*Calculateur!CI83*VLOOKUP('Données projet'!$B$12,Paramètres!$A$1:$I$89,3,0)*0.475*44/12</f>
        <v>26.663451854486379</v>
      </c>
      <c r="CM83" s="21">
        <f>EXP(-LN(2)/2)*CM82+(1-EXP(-LN(2)/2))/(LN(2)/2)*CG83*CJ83*VLOOKUP('Données projet'!$B$12,Paramètres!$A$1:$I$89,3,0)*0.475*44/12</f>
        <v>0.5878605006843981</v>
      </c>
      <c r="CN83" s="22">
        <f t="shared" si="66"/>
        <v>40.237906082991557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123.07692307692307</v>
      </c>
      <c r="CR83" s="12">
        <f>VLOOKUP(A83,'Données projet'!$A$139:$I$159,9,0)</f>
        <v>2.3076923076923039</v>
      </c>
      <c r="CS83" s="12">
        <f t="array" ref="CS83">INDEX(CR:CR,MIN(IF(ISNUMBER(CR83:CR279),ROW(CR83:CR279),"")))</f>
        <v>2.3076923076923039</v>
      </c>
      <c r="CT83" s="12">
        <f>IF('Données projet'!$A$140&gt;35,CT82+CS83-DB82,IF(A83&lt;'Données projet'!$A$140,$CQ$205^A83,IF(A83='Données projet'!$A$140,'Données projet'!$B$140,CT82+CS83-DB82)))</f>
        <v>123.07692307692301</v>
      </c>
      <c r="CU83" s="17">
        <f>CT83*VLOOKUP('Données projet'!$B$13,Paramètres!$A$1:$I$89,3,0)*VLOOKUP('Données projet'!$B$13,Paramètres!$A$1:$I$89,5,0)</f>
        <v>99.839999999999947</v>
      </c>
      <c r="CV83" s="13">
        <f t="shared" si="95"/>
        <v>26.923876203052842</v>
      </c>
      <c r="CW83" s="20">
        <f t="shared" si="67"/>
        <v>220.78041772031693</v>
      </c>
      <c r="CX83" s="59">
        <f t="shared" si="68"/>
        <v>491.50902935900308</v>
      </c>
      <c r="CY83" s="59">
        <f ca="1">AVERAGE(OFFSET($CX$3,0,0,'Données projet'!$E$13+1,1))-AVERAGE(OFFSET($H$3,0,0,'Données projet'!$E$13+1,1))</f>
        <v>186.54446846714993</v>
      </c>
      <c r="CZ83" s="59">
        <f t="shared" si="96"/>
        <v>154.43773051601286</v>
      </c>
      <c r="DA83" s="15">
        <f>IF(ISNA(VLOOKUP(A83,'Données projet'!$A$139:$I$159,3,0)),0,VLOOKUP(A83,'Données projet'!$A$139:$I$159,3,0))</f>
        <v>14</v>
      </c>
      <c r="DB83" s="15">
        <f>IF(ISNA(VLOOKUP(A83,'Données projet'!$A$139:$I$159,4,0)),0,VLOOKUP(A83,'Données projet'!$A$139:$I$159,4,0))</f>
        <v>7.0512820512820511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0.1075</v>
      </c>
      <c r="DE83" s="16">
        <f>IF(ISNA(VLOOKUP(A83,'Données projet'!$A$139:$I$159,7,0)),0%,VLOOKUP(A83,'Données projet'!$A$139:$I$159,7,0))</f>
        <v>0.25</v>
      </c>
      <c r="DF83" s="21">
        <f>EXP(-LN(2)/35)*DF82+(1-EXP(-LN(2)/35))/(LN(2)/35)*DB83*DC83*VLOOKUP('Données projet'!$B$13,Paramètres!$A$1:$I$89,3,0)*0.475*44/12</f>
        <v>0</v>
      </c>
      <c r="DG83" s="21">
        <f>EXP(-LN(2)/25)*DG82+(1-EXP(-LN(2)/25))/(LN(2)/25)*Calculateur!DB83*Calculateur!DD83*VLOOKUP('Données projet'!$B$13,Paramètres!$A$1:$I$89,3,0)*0.475*44/12</f>
        <v>4.2354679466423679</v>
      </c>
      <c r="DH83" s="21">
        <f>EXP(-LN(2)/2)*DH82+(1-EXP(-LN(2)/2))/(LN(2)/2)*DB83*DE83*VLOOKUP('Données projet'!$B$13,Paramètres!$A$1:$I$89,3,0)*0.475*44/12</f>
        <v>1.6389761548677217</v>
      </c>
      <c r="DI83" s="22">
        <f t="shared" si="69"/>
        <v>5.8744441015100897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6.8810000000000002</v>
      </c>
      <c r="DO83" s="12">
        <f>IF('Données projet'!$A$166&gt;35,DO82+DN83-DW82,IF(A83&lt;'Données projet'!$A$166,$DL$205^A83,IF(A83='Données projet'!$A$166,'Données projet'!$B$166,DO82+DN83-DW82)))</f>
        <v>212.51700000000017</v>
      </c>
      <c r="DP83" s="17">
        <f>DO83*VLOOKUP('Données projet'!$B$14,Paramètres!$A$1:$I$89,3,0)*VLOOKUP('Données projet'!$B$14,Paramètres!$A$1:$I$89,5,0)</f>
        <v>242.0143596000002</v>
      </c>
      <c r="DQ83" s="13">
        <f t="shared" si="97"/>
        <v>58.872718713376521</v>
      </c>
      <c r="DR83" s="20">
        <f t="shared" si="70"/>
        <v>524.04499472913108</v>
      </c>
      <c r="DS83" s="59">
        <f t="shared" si="71"/>
        <v>794.77360636781714</v>
      </c>
      <c r="DT83" s="59">
        <f ca="1">AVERAGE(OFFSET($DS$3,0,0,'Données projet'!$E$14+1,1))-AVERAGE(OFFSET($H$3,0,0,'Données projet'!$E$14+1,1))</f>
        <v>651.35546372812314</v>
      </c>
      <c r="DU83" s="59">
        <f t="shared" si="98"/>
        <v>293.6561676213388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</v>
      </c>
      <c r="EB83" s="21">
        <f>EXP(-LN(2)/25)*EB82+(1-EXP(-LN(2)/25))/(LN(2)/25)*Calculateur!DW83*Calculateur!DY83*VLOOKUP('Données projet'!$B$14,Paramètres!$A$1:$I$89,3,0)*0.475*44/12</f>
        <v>39.986223258356553</v>
      </c>
      <c r="EC83" s="21">
        <f>EXP(-LN(2)/2)*EC82+(1-EXP(-LN(2)/2))/(LN(2)/2)*DW83*DZ83*VLOOKUP('Données projet'!$B$14,Paramètres!$A$1:$I$89,3,0)*0.475*44/12</f>
        <v>0.72309533605607879</v>
      </c>
      <c r="ED83" s="22">
        <f t="shared" si="72"/>
        <v>40.709318594412629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145.51282051282053</v>
      </c>
      <c r="EH83" s="12">
        <f>VLOOKUP(A83,'Données projet'!$A$191:$I$211,9,0)</f>
        <v>2.3076923076923093</v>
      </c>
      <c r="EI83" s="12">
        <f t="array" ref="EI83">INDEX(EH:EH,MIN(IF(ISNUMBER(EH83:EH279),ROW(EH83:EH279),"")))</f>
        <v>2.3076923076923093</v>
      </c>
      <c r="EJ83" s="12">
        <f>IF('Données projet'!$A$192&gt;35,EJ82+EI83-ER82,IF(A83&lt;'Données projet'!$A$192,$EG$205^A83,IF(A83='Données projet'!$A$192,'Données projet'!$B$192,EJ82+EI83-ER82)))</f>
        <v>145.51282051282064</v>
      </c>
      <c r="EK83" s="17">
        <f>EJ83*VLOOKUP('Données projet'!$B$15,Paramètres!$A$1:$I$89,3,0)*VLOOKUP('Données projet'!$B$15,Paramètres!$A$1:$I$89,5,0)</f>
        <v>152.09000000000015</v>
      </c>
      <c r="EL83" s="13">
        <f t="shared" si="99"/>
        <v>39.053162448424175</v>
      </c>
      <c r="EM83" s="20">
        <f t="shared" si="73"/>
        <v>332.90767459767238</v>
      </c>
      <c r="EN83" s="59">
        <f t="shared" si="74"/>
        <v>603.6362862363585</v>
      </c>
      <c r="EO83" s="59">
        <f ca="1">AVERAGE(OFFSET($EN$3,0,0,'Données projet'!$E$15+1,1))-AVERAGE(OFFSET($H$3,0,0,'Données projet'!$E$15+1,1))</f>
        <v>290.69667785754848</v>
      </c>
      <c r="EP83" s="59">
        <f t="shared" si="100"/>
        <v>256.28124185489082</v>
      </c>
      <c r="EQ83" s="15">
        <f>IF(ISNA(VLOOKUP(A83,'Données projet'!$A$191:$I$211,3,0)),0,VLOOKUP(A83,'Données projet'!$A$191:$I$211,3,0))</f>
        <v>13</v>
      </c>
      <c r="ER83" s="15">
        <f>IF(ISNA(VLOOKUP(A83,'Données projet'!$A$191:$I$211,4,0)),0,VLOOKUP(A83,'Données projet'!$A$191:$I$211,4,0))</f>
        <v>8.3333333333333339</v>
      </c>
      <c r="ES83" s="16">
        <f>IF(ISNA(VLOOKUP(A83,'Données projet'!$A$191:$I$211,5,0)),0%,VLOOKUP(A83,'Données projet'!$A$191:$I$211,5,0)*VLOOKUP('Données projet'!$B$15,Paramètres!$A$1:$I$89,7,0))</f>
        <v>4.3000000000000003E-2</v>
      </c>
      <c r="ET83" s="16">
        <f>IF(ISNA(VLOOKUP(A83,'Données projet'!$A$191:$I$211,6,0)),0%,VLOOKUP(A83,'Données projet'!$A$191:$I$211,6,0)*VLOOKUP('Données projet'!$B$15,Paramètres!$A$1:$I$89,7,0))</f>
        <v>0.215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2.4122031105488624</v>
      </c>
      <c r="EW83" s="21">
        <f>EXP(-LN(2)/25)*EW82+(1-EXP(-LN(2)/25))/(LN(2)/25)*Calculateur!ER83*Calculateur!ET83*VLOOKUP('Données projet'!$B$15,Paramètres!$A$1:$I$89,3,0)*0.475*44/12</f>
        <v>18.970131703964501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21.382334814513364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9.546999999999997</v>
      </c>
      <c r="N84" s="13">
        <f>IF('Données projet'!$A$36&gt;35,N83+M84-V83,IF(A84&lt;'Données projet'!$A$36,$K$205^A84,IF(A84='Données projet'!$A$36,'Données projet'!$B$36,N83+M84-V83)))</f>
        <v>326.44900000000041</v>
      </c>
      <c r="O84" s="13">
        <f>N84*VLOOKUP('Données projet'!$B$9,Paramètres!$A$1:$I$89,3,0)*VLOOKUP('Données projet'!$B$9,Paramètres!$A$1:$I$89,5,0)</f>
        <v>331.01928600000042</v>
      </c>
      <c r="P84" s="13">
        <f t="shared" si="87"/>
        <v>77.641593219997347</v>
      </c>
      <c r="Q84" s="20">
        <f t="shared" si="54"/>
        <v>711.75103130816262</v>
      </c>
      <c r="R84" s="59">
        <f t="shared" si="55"/>
        <v>982.871784331664</v>
      </c>
      <c r="S84" s="59">
        <f ca="1">AVERAGE(OFFSET($R$3,0,0,'Données projet'!$E$9+1,1))-AVERAGE(OFFSET($H$3,0,0,'Données projet'!$E$9+1,1))</f>
        <v>752.45542076695506</v>
      </c>
      <c r="T84" s="59">
        <f t="shared" si="88"/>
        <v>329.70629768420724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14.268547335875629</v>
      </c>
      <c r="AA84" s="21">
        <f>EXP(-LN(2)/25)*AA83+(1-EXP(-LN(2)/25))/(LN(2)/25)*Calculateur!V84*Calculateur!X84*VLOOKUP('Données projet'!$B$9,Paramètres!$A$1:$I$89,3,0)*0.475*44/12</f>
        <v>29.064344715312156</v>
      </c>
      <c r="AB84" s="21">
        <f>EXP(-LN(2)/2)*AB83+(1-EXP(-LN(2)/2))/(LN(2)/2)*V84*Y84*VLOOKUP('Données projet'!$B$9,Paramètres!$A$1:$I$89,3,0)*0.475*44/12</f>
        <v>0.46584843995978797</v>
      </c>
      <c r="AC84" s="22">
        <f t="shared" si="57"/>
        <v>43.798740491147569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408.246209980743</v>
      </c>
      <c r="AO84" s="59">
        <f t="shared" si="90"/>
        <v>394.10236303013903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55.959099199223004</v>
      </c>
      <c r="AV84" s="21">
        <f>EXP(-LN(2)/25)*AV83+(1-EXP(-LN(2)/25))/(LN(2)/25)*Calculateur!AQ84*Calculateur!AS84*VLOOKUP('Données projet'!$B$10,Paramètres!$A$1:$I$89,3,0)*0.475*44/12</f>
        <v>54.814442982216086</v>
      </c>
      <c r="AW84" s="21">
        <f>EXP(-LN(2)/2)*AW83+(1-EXP(-LN(2)/2))/(LN(2)/2)*AQ84*AT84*VLOOKUP('Données projet'!$B$10,Paramètres!$A$1:$I$89,3,0)*0.475*44/12</f>
        <v>48.465847309770886</v>
      </c>
      <c r="AX84" s="21">
        <f t="shared" si="60"/>
        <v>159.23938949120998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9.546999999999997</v>
      </c>
      <c r="BD84" s="12">
        <f>IF('Données projet'!$A$88&gt;35,BD83+BC84-BL83,IF(A84&lt;'Données projet'!$A$88,$BA$205^A84,IF(A84='Données projet'!$A$88,'Données projet'!$B$88,BD83+BC84-BL83)))</f>
        <v>326.44900000000041</v>
      </c>
      <c r="BE84" s="13">
        <f>BD84*VLOOKUP('Données projet'!$B$11,Paramètres!$A$1:$I$89,3,0)*VLOOKUP('Données projet'!$B$11,Paramètres!$A$1:$I$89,5,0)</f>
        <v>310.64886840000037</v>
      </c>
      <c r="BF84" s="13">
        <f t="shared" si="91"/>
        <v>73.404323224471185</v>
      </c>
      <c r="BG84" s="20">
        <f t="shared" si="61"/>
        <v>668.89264207928784</v>
      </c>
      <c r="BH84" s="59">
        <f t="shared" si="62"/>
        <v>940.01339510278922</v>
      </c>
      <c r="BI84" s="59">
        <f ca="1">AVERAGE(OFFSET($BH$3,0,0,'Données projet'!$E$11+1,1))-AVERAGE(OFFSET($H$3,0,0,'Données projet'!$E$11+1,1))</f>
        <v>711.91538686535682</v>
      </c>
      <c r="BJ84" s="59">
        <f t="shared" si="92"/>
        <v>313.24593837351722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13.390482884437125</v>
      </c>
      <c r="BQ84" s="21">
        <f>EXP(-LN(2)/25)*BQ83+(1-EXP(-LN(2)/25))/(LN(2)/25)*Calculateur!BL84*Calculateur!BN84*VLOOKUP('Données projet'!$B$11,Paramètres!$A$1:$I$89,3,0)*0.475*44/12</f>
        <v>27.27576965590832</v>
      </c>
      <c r="BR84" s="21">
        <f>EXP(-LN(2)/2)*BR83+(1-EXP(-LN(2)/2))/(LN(2)/2)*BL84*BO84*VLOOKUP('Données projet'!$B$11,Paramètres!$A$1:$I$89,3,0)*0.475*44/12</f>
        <v>0.43718084365457011</v>
      </c>
      <c r="BS84" s="22">
        <f t="shared" si="63"/>
        <v>41.10343338400002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9.546999999999997</v>
      </c>
      <c r="BY84" s="12">
        <f>IF('Données projet'!$A$114&gt;35,BY83+BX84-CG83,IF(A84&lt;'Données projet'!$A$114,$BV$205^A84,IF(A84='Données projet'!$A$114,'Données projet'!$B$114,BY83+BX84-CG83)))</f>
        <v>326.44900000000041</v>
      </c>
      <c r="BZ84" s="13">
        <f>BY84*VLOOKUP('Données projet'!$B$12,Paramètres!$A$1:$I$89,3,0)*VLOOKUP('Données projet'!$B$12,Paramètres!$A$1:$I$89,5,0)</f>
        <v>295.37105520000034</v>
      </c>
      <c r="CA84" s="13">
        <f t="shared" si="93"/>
        <v>70.205182362680091</v>
      </c>
      <c r="CB84" s="20">
        <f t="shared" si="64"/>
        <v>636.71194708833502</v>
      </c>
      <c r="CC84" s="59">
        <f t="shared" si="65"/>
        <v>907.8327001118364</v>
      </c>
      <c r="CD84" s="59">
        <f ca="1">AVERAGE(OFFSET($CC$3,0,0,'Données projet'!$E$12+1,1))-AVERAGE(OFFSET($H$3,0,0,'Données projet'!$E$12+1,1))</f>
        <v>681.47578137804555</v>
      </c>
      <c r="CE84" s="59">
        <f t="shared" si="94"/>
        <v>300.88511065995885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12.731934545858252</v>
      </c>
      <c r="CL84" s="21">
        <f>EXP(-LN(2)/25)*CL83+(1-EXP(-LN(2)/25))/(LN(2)/25)*Calculateur!CG84*Calculateur!CI84*VLOOKUP('Données projet'!$B$12,Paramètres!$A$1:$I$89,3,0)*0.475*44/12</f>
        <v>25.934338361355454</v>
      </c>
      <c r="CM84" s="21">
        <f>EXP(-LN(2)/2)*CM83+(1-EXP(-LN(2)/2))/(LN(2)/2)*CG84*CJ84*VLOOKUP('Données projet'!$B$12,Paramètres!$A$1:$I$89,3,0)*0.475*44/12</f>
        <v>0.41568014642565698</v>
      </c>
      <c r="CN84" s="22">
        <f t="shared" si="66"/>
        <v>39.081953053639367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2.0512820512820498</v>
      </c>
      <c r="CT84" s="12">
        <f>IF('Données projet'!$A$140&gt;35,CT83+CS84-DB83,IF(A84&lt;'Données projet'!$A$140,$CQ$205^A84,IF(A84='Données projet'!$A$140,'Données projet'!$B$140,CT83+CS84-DB83)))</f>
        <v>118.07692307692301</v>
      </c>
      <c r="CU84" s="17">
        <f>CT84*VLOOKUP('Données projet'!$B$13,Paramètres!$A$1:$I$89,3,0)*VLOOKUP('Données projet'!$B$13,Paramètres!$A$1:$I$89,5,0)</f>
        <v>95.783999999999963</v>
      </c>
      <c r="CV84" s="13">
        <f t="shared" si="95"/>
        <v>25.955089615728056</v>
      </c>
      <c r="CW84" s="20">
        <f t="shared" si="67"/>
        <v>212.02891441405961</v>
      </c>
      <c r="CX84" s="59">
        <f t="shared" si="68"/>
        <v>483.14966743756105</v>
      </c>
      <c r="CY84" s="59">
        <f ca="1">AVERAGE(OFFSET($CX$3,0,0,'Données projet'!$E$13+1,1))-AVERAGE(OFFSET($H$3,0,0,'Données projet'!$E$13+1,1))</f>
        <v>186.54446846714993</v>
      </c>
      <c r="CZ84" s="59">
        <f t="shared" si="96"/>
        <v>154.43773051601286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</v>
      </c>
      <c r="DG84" s="21">
        <f>EXP(-LN(2)/25)*DG83+(1-EXP(-LN(2)/25))/(LN(2)/25)*Calculateur!DB84*Calculateur!DD84*VLOOKUP('Données projet'!$B$13,Paramètres!$A$1:$I$89,3,0)*0.475*44/12</f>
        <v>4.1196488529078534</v>
      </c>
      <c r="DH84" s="21">
        <f>EXP(-LN(2)/2)*DH83+(1-EXP(-LN(2)/2))/(LN(2)/2)*DB84*DE84*VLOOKUP('Données projet'!$B$13,Paramètres!$A$1:$I$89,3,0)*0.475*44/12</f>
        <v>1.1589311533100193</v>
      </c>
      <c r="DI84" s="22">
        <f t="shared" si="69"/>
        <v>5.2785800062178723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6.8810000000000002</v>
      </c>
      <c r="DO84" s="12">
        <f>IF('Données projet'!$A$166&gt;35,DO83+DN84-DW83,IF(A84&lt;'Données projet'!$A$166,$DL$205^A84,IF(A84='Données projet'!$A$166,'Données projet'!$B$166,DO83+DN84-DW83)))</f>
        <v>219.39800000000017</v>
      </c>
      <c r="DP84" s="17">
        <f>DO84*VLOOKUP('Données projet'!$B$14,Paramètres!$A$1:$I$89,3,0)*VLOOKUP('Données projet'!$B$14,Paramètres!$A$1:$I$89,5,0)</f>
        <v>249.85044240000019</v>
      </c>
      <c r="DQ84" s="13">
        <f t="shared" si="97"/>
        <v>60.553914227963396</v>
      </c>
      <c r="DR84" s="20">
        <f t="shared" si="70"/>
        <v>540.62092112703647</v>
      </c>
      <c r="DS84" s="59">
        <f t="shared" si="71"/>
        <v>811.74167415053785</v>
      </c>
      <c r="DT84" s="59">
        <f ca="1">AVERAGE(OFFSET($DS$3,0,0,'Données projet'!$E$14+1,1))-AVERAGE(OFFSET($H$3,0,0,'Données projet'!$E$14+1,1))</f>
        <v>651.35546372812314</v>
      </c>
      <c r="DU84" s="59">
        <f t="shared" si="98"/>
        <v>293.6561676213388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</v>
      </c>
      <c r="EB84" s="21">
        <f>EXP(-LN(2)/25)*EB83+(1-EXP(-LN(2)/25))/(LN(2)/25)*Calculateur!DW84*Calculateur!DY84*VLOOKUP('Données projet'!$B$14,Paramètres!$A$1:$I$89,3,0)*0.475*44/12</f>
        <v>38.892797880572701</v>
      </c>
      <c r="EC84" s="21">
        <f>EXP(-LN(2)/2)*EC83+(1-EXP(-LN(2)/2))/(LN(2)/2)*DW84*DZ84*VLOOKUP('Données projet'!$B$14,Paramètres!$A$1:$I$89,3,0)*0.475*44/12</f>
        <v>0.51130561556961873</v>
      </c>
      <c r="ED84" s="22">
        <f t="shared" si="72"/>
        <v>39.404103496142319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2.0512820512820498</v>
      </c>
      <c r="EJ84" s="12">
        <f>IF('Données projet'!$A$192&gt;35,EJ83+EI84-ER83,IF(A84&lt;'Données projet'!$A$192,$EG$205^A84,IF(A84='Données projet'!$A$192,'Données projet'!$B$192,EJ83+EI84-ER83)))</f>
        <v>139.23076923076934</v>
      </c>
      <c r="EK84" s="17">
        <f>EJ84*VLOOKUP('Données projet'!$B$15,Paramètres!$A$1:$I$89,3,0)*VLOOKUP('Données projet'!$B$15,Paramètres!$A$1:$I$89,5,0)</f>
        <v>145.52400000000011</v>
      </c>
      <c r="EL84" s="13">
        <f t="shared" si="99"/>
        <v>37.55961209074934</v>
      </c>
      <c r="EM84" s="20">
        <f t="shared" si="73"/>
        <v>318.87062439138862</v>
      </c>
      <c r="EN84" s="59">
        <f t="shared" si="74"/>
        <v>589.99137741489005</v>
      </c>
      <c r="EO84" s="59">
        <f ca="1">AVERAGE(OFFSET($EN$3,0,0,'Données projet'!$E$15+1,1))-AVERAGE(OFFSET($H$3,0,0,'Données projet'!$E$15+1,1))</f>
        <v>290.69667785754848</v>
      </c>
      <c r="EP84" s="59">
        <f t="shared" si="100"/>
        <v>256.28124185489082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2.3649012788496178</v>
      </c>
      <c r="EW84" s="21">
        <f>EXP(-LN(2)/25)*EW83+(1-EXP(-LN(2)/25))/(LN(2)/25)*Calculateur!ER84*Calculateur!ET84*VLOOKUP('Données projet'!$B$15,Paramètres!$A$1:$I$89,3,0)*0.475*44/12</f>
        <v>18.451392454923724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20.816293733773342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9.546999999999997</v>
      </c>
      <c r="N85" s="13">
        <f>IF('Données projet'!$A$36&gt;35,N84+M85-V84,IF(A85&lt;'Données projet'!$A$36,$K$205^A85,IF(A85='Données projet'!$A$36,'Données projet'!$B$36,N84+M85-V84)))</f>
        <v>335.99600000000044</v>
      </c>
      <c r="O85" s="13">
        <f>N85*VLOOKUP('Données projet'!$B$9,Paramètres!$A$1:$I$89,3,0)*VLOOKUP('Données projet'!$B$9,Paramètres!$A$1:$I$89,5,0)</f>
        <v>340.69994400000047</v>
      </c>
      <c r="P85" s="13">
        <f t="shared" si="87"/>
        <v>79.644541970406692</v>
      </c>
      <c r="Q85" s="20">
        <f t="shared" si="54"/>
        <v>732.09997973179236</v>
      </c>
      <c r="R85" s="59">
        <f t="shared" si="55"/>
        <v>1003.6060713637794</v>
      </c>
      <c r="S85" s="59">
        <f ca="1">AVERAGE(OFFSET($R$3,0,0,'Données projet'!$E$9+1,1))-AVERAGE(OFFSET($H$3,0,0,'Données projet'!$E$9+1,1))</f>
        <v>752.45542076695506</v>
      </c>
      <c r="T85" s="59">
        <f t="shared" si="88"/>
        <v>329.70629768420724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13.988749825573638</v>
      </c>
      <c r="AA85" s="21">
        <f>EXP(-LN(2)/25)*AA84+(1-EXP(-LN(2)/25))/(LN(2)/25)*Calculateur!V85*Calculateur!X85*VLOOKUP('Données projet'!$B$9,Paramètres!$A$1:$I$89,3,0)*0.475*44/12</f>
        <v>28.269578680644486</v>
      </c>
      <c r="AB85" s="21">
        <f>EXP(-LN(2)/2)*AB84+(1-EXP(-LN(2)/2))/(LN(2)/2)*V85*Y85*VLOOKUP('Données projet'!$B$9,Paramètres!$A$1:$I$89,3,0)*0.475*44/12</f>
        <v>0.32940459090074031</v>
      </c>
      <c r="AC85" s="22">
        <f t="shared" si="57"/>
        <v>42.587733097118864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408.246209980743</v>
      </c>
      <c r="AO85" s="59">
        <f t="shared" si="90"/>
        <v>394.10236303013903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54.861775395606529</v>
      </c>
      <c r="AV85" s="21">
        <f>EXP(-LN(2)/25)*AV84+(1-EXP(-LN(2)/25))/(LN(2)/25)*Calculateur!AQ85*Calculateur!AS85*VLOOKUP('Données projet'!$B$10,Paramètres!$A$1:$I$89,3,0)*0.475*44/12</f>
        <v>53.315539156301114</v>
      </c>
      <c r="AW85" s="21">
        <f>EXP(-LN(2)/2)*AW84+(1-EXP(-LN(2)/2))/(LN(2)/2)*AQ85*AT85*VLOOKUP('Données projet'!$B$10,Paramètres!$A$1:$I$89,3,0)*0.475*44/12</f>
        <v>34.270529288690788</v>
      </c>
      <c r="AX85" s="21">
        <f t="shared" si="60"/>
        <v>142.44784384059844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9.546999999999997</v>
      </c>
      <c r="BD85" s="12">
        <f>IF('Données projet'!$A$88&gt;35,BD84+BC85-BL84,IF(A85&lt;'Données projet'!$A$88,$BA$205^A85,IF(A85='Données projet'!$A$88,'Données projet'!$B$88,BD84+BC85-BL84)))</f>
        <v>335.99600000000044</v>
      </c>
      <c r="BE85" s="13">
        <f>BD85*VLOOKUP('Données projet'!$B$11,Paramètres!$A$1:$I$89,3,0)*VLOOKUP('Données projet'!$B$11,Paramètres!$A$1:$I$89,5,0)</f>
        <v>319.73379360000041</v>
      </c>
      <c r="BF85" s="13">
        <f t="shared" si="91"/>
        <v>75.297961561599294</v>
      </c>
      <c r="BG85" s="20">
        <f t="shared" si="61"/>
        <v>688.01364023978613</v>
      </c>
      <c r="BH85" s="59">
        <f t="shared" si="62"/>
        <v>959.51973187177316</v>
      </c>
      <c r="BI85" s="59">
        <f ca="1">AVERAGE(OFFSET($BH$3,0,0,'Données projet'!$E$11+1,1))-AVERAGE(OFFSET($H$3,0,0,'Données projet'!$E$11+1,1))</f>
        <v>711.91538686535682</v>
      </c>
      <c r="BJ85" s="59">
        <f t="shared" si="92"/>
        <v>313.24593837351722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13.12790368246141</v>
      </c>
      <c r="BQ85" s="21">
        <f>EXP(-LN(2)/25)*BQ84+(1-EXP(-LN(2)/25))/(LN(2)/25)*Calculateur!BL85*Calculateur!BN85*VLOOKUP('Données projet'!$B$11,Paramètres!$A$1:$I$89,3,0)*0.475*44/12</f>
        <v>26.52991230029712</v>
      </c>
      <c r="BR85" s="21">
        <f>EXP(-LN(2)/2)*BR84+(1-EXP(-LN(2)/2))/(LN(2)/2)*BL85*BO85*VLOOKUP('Données projet'!$B$11,Paramètres!$A$1:$I$89,3,0)*0.475*44/12</f>
        <v>0.30913353915300235</v>
      </c>
      <c r="BS85" s="22">
        <f t="shared" si="63"/>
        <v>39.96694952191153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9.546999999999997</v>
      </c>
      <c r="BY85" s="12">
        <f>IF('Données projet'!$A$114&gt;35,BY84+BX85-CG84,IF(A85&lt;'Données projet'!$A$114,$BV$205^A85,IF(A85='Données projet'!$A$114,'Données projet'!$B$114,BY84+BX85-CG84)))</f>
        <v>335.99600000000044</v>
      </c>
      <c r="BZ85" s="13">
        <f>BY85*VLOOKUP('Données projet'!$B$12,Paramètres!$A$1:$I$89,3,0)*VLOOKUP('Données projet'!$B$12,Paramètres!$A$1:$I$89,5,0)</f>
        <v>304.00918080000037</v>
      </c>
      <c r="CA85" s="13">
        <f t="shared" si="93"/>
        <v>72.016291285794935</v>
      </c>
      <c r="CB85" s="20">
        <f t="shared" si="64"/>
        <v>654.91103054942675</v>
      </c>
      <c r="CC85" s="59">
        <f t="shared" si="65"/>
        <v>926.41712218141379</v>
      </c>
      <c r="CD85" s="59">
        <f ca="1">AVERAGE(OFFSET($CC$3,0,0,'Données projet'!$E$12+1,1))-AVERAGE(OFFSET($H$3,0,0,'Données projet'!$E$12+1,1))</f>
        <v>681.47578137804555</v>
      </c>
      <c r="CE85" s="59">
        <f t="shared" si="94"/>
        <v>300.88511065995885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12.482269075127244</v>
      </c>
      <c r="CL85" s="21">
        <f>EXP(-LN(2)/25)*CL84+(1-EXP(-LN(2)/25))/(LN(2)/25)*Calculateur!CG85*Calculateur!CI85*VLOOKUP('Données projet'!$B$12,Paramètres!$A$1:$I$89,3,0)*0.475*44/12</f>
        <v>25.225162515036608</v>
      </c>
      <c r="CM85" s="21">
        <f>EXP(-LN(2)/2)*CM84+(1-EXP(-LN(2)/2))/(LN(2)/2)*CG85*CJ85*VLOOKUP('Données projet'!$B$12,Paramètres!$A$1:$I$89,3,0)*0.475*44/12</f>
        <v>0.29393025034219911</v>
      </c>
      <c r="CN85" s="22">
        <f t="shared" si="66"/>
        <v>38.00136184050605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2.0512820512820498</v>
      </c>
      <c r="CT85" s="12">
        <f>IF('Données projet'!$A$140&gt;35,CT84+CS85-DB84,IF(A85&lt;'Données projet'!$A$140,$CQ$205^A85,IF(A85='Données projet'!$A$140,'Données projet'!$B$140,CT84+CS85-DB84)))</f>
        <v>120.12820512820505</v>
      </c>
      <c r="CU85" s="17">
        <f>CT85*VLOOKUP('Données projet'!$B$13,Paramètres!$A$1:$I$89,3,0)*VLOOKUP('Données projet'!$B$13,Paramètres!$A$1:$I$89,5,0)</f>
        <v>97.447999999999951</v>
      </c>
      <c r="CV85" s="13">
        <f t="shared" si="95"/>
        <v>26.353107037128467</v>
      </c>
      <c r="CW85" s="20">
        <f t="shared" si="67"/>
        <v>215.62026142299865</v>
      </c>
      <c r="CX85" s="59">
        <f t="shared" si="68"/>
        <v>487.12635305498566</v>
      </c>
      <c r="CY85" s="59">
        <f ca="1">AVERAGE(OFFSET($CX$3,0,0,'Données projet'!$E$13+1,1))-AVERAGE(OFFSET($H$3,0,0,'Données projet'!$E$13+1,1))</f>
        <v>186.54446846714993</v>
      </c>
      <c r="CZ85" s="59">
        <f t="shared" si="96"/>
        <v>154.43773051601286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</v>
      </c>
      <c r="DG85" s="21">
        <f>EXP(-LN(2)/25)*DG84+(1-EXP(-LN(2)/25))/(LN(2)/25)*Calculateur!DB85*Calculateur!DD85*VLOOKUP('Données projet'!$B$13,Paramètres!$A$1:$I$89,3,0)*0.475*44/12</f>
        <v>4.0069968383821708</v>
      </c>
      <c r="DH85" s="21">
        <f>EXP(-LN(2)/2)*DH84+(1-EXP(-LN(2)/2))/(LN(2)/2)*DB85*DE85*VLOOKUP('Données projet'!$B$13,Paramètres!$A$1:$I$89,3,0)*0.475*44/12</f>
        <v>0.81948807743386098</v>
      </c>
      <c r="DI85" s="22">
        <f t="shared" si="69"/>
        <v>4.8264849158160317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6.8810000000000002</v>
      </c>
      <c r="DO85" s="12">
        <f>IF('Données projet'!$A$166&gt;35,DO84+DN85-DW84,IF(A85&lt;'Données projet'!$A$166,$DL$205^A85,IF(A85='Données projet'!$A$166,'Données projet'!$B$166,DO84+DN85-DW84)))</f>
        <v>226.27900000000017</v>
      </c>
      <c r="DP85" s="17">
        <f>DO85*VLOOKUP('Données projet'!$B$14,Paramètres!$A$1:$I$89,3,0)*VLOOKUP('Données projet'!$B$14,Paramètres!$A$1:$I$89,5,0)</f>
        <v>257.68652520000018</v>
      </c>
      <c r="DQ85" s="13">
        <f t="shared" si="97"/>
        <v>62.228982390476773</v>
      </c>
      <c r="DR85" s="20">
        <f t="shared" si="70"/>
        <v>557.18617572008066</v>
      </c>
      <c r="DS85" s="59">
        <f t="shared" si="71"/>
        <v>828.69226735206769</v>
      </c>
      <c r="DT85" s="59">
        <f ca="1">AVERAGE(OFFSET($DS$3,0,0,'Données projet'!$E$14+1,1))-AVERAGE(OFFSET($H$3,0,0,'Données projet'!$E$14+1,1))</f>
        <v>651.35546372812314</v>
      </c>
      <c r="DU85" s="59">
        <f t="shared" si="98"/>
        <v>293.6561676213388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</v>
      </c>
      <c r="EB85" s="21">
        <f>EXP(-LN(2)/25)*EB84+(1-EXP(-LN(2)/25))/(LN(2)/25)*Calculateur!DW85*Calculateur!DY85*VLOOKUP('Données projet'!$B$14,Paramètres!$A$1:$I$89,3,0)*0.475*44/12</f>
        <v>37.829272277245089</v>
      </c>
      <c r="EC85" s="21">
        <f>EXP(-LN(2)/2)*EC84+(1-EXP(-LN(2)/2))/(LN(2)/2)*DW85*DZ85*VLOOKUP('Données projet'!$B$14,Paramètres!$A$1:$I$89,3,0)*0.475*44/12</f>
        <v>0.36154766802803939</v>
      </c>
      <c r="ED85" s="22">
        <f t="shared" si="72"/>
        <v>38.190819945273127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2.0512820512820498</v>
      </c>
      <c r="EJ85" s="12">
        <f>IF('Données projet'!$A$192&gt;35,EJ84+EI85-ER84,IF(A85&lt;'Données projet'!$A$192,$EG$205^A85,IF(A85='Données projet'!$A$192,'Données projet'!$B$192,EJ84+EI85-ER84)))</f>
        <v>141.28205128205138</v>
      </c>
      <c r="EK85" s="17">
        <f>EJ85*VLOOKUP('Données projet'!$B$15,Paramètres!$A$1:$I$89,3,0)*VLOOKUP('Données projet'!$B$15,Paramètres!$A$1:$I$89,5,0)</f>
        <v>147.66800000000012</v>
      </c>
      <c r="EL85" s="13">
        <f t="shared" si="99"/>
        <v>38.04814794346445</v>
      </c>
      <c r="EM85" s="20">
        <f t="shared" si="73"/>
        <v>323.45562433486742</v>
      </c>
      <c r="EN85" s="59">
        <f t="shared" si="74"/>
        <v>594.9617159668544</v>
      </c>
      <c r="EO85" s="59">
        <f ca="1">AVERAGE(OFFSET($EN$3,0,0,'Données projet'!$E$15+1,1))-AVERAGE(OFFSET($H$3,0,0,'Données projet'!$E$15+1,1))</f>
        <v>290.69667785754848</v>
      </c>
      <c r="EP85" s="59">
        <f t="shared" si="100"/>
        <v>256.28124185489082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2.318527007218727</v>
      </c>
      <c r="EW85" s="21">
        <f>EXP(-LN(2)/25)*EW84+(1-EXP(-LN(2)/25))/(LN(2)/25)*Calculateur!ER85*Calculateur!ET85*VLOOKUP('Données projet'!$B$15,Paramètres!$A$1:$I$89,3,0)*0.475*44/12</f>
        <v>17.946838157927278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20.265365165146005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9.546999999999997</v>
      </c>
      <c r="N86" s="13">
        <f>IF('Données projet'!$A$36&gt;35,N85+M86-V85,IF(A86&lt;'Données projet'!$A$36,$K$205^A86,IF(A86='Données projet'!$A$36,'Données projet'!$B$36,N85+M86-V85)))</f>
        <v>345.54300000000046</v>
      </c>
      <c r="O86" s="13">
        <f>N86*VLOOKUP('Données projet'!$B$9,Paramètres!$A$1:$I$89,3,0)*VLOOKUP('Données projet'!$B$9,Paramètres!$A$1:$I$89,5,0)</f>
        <v>350.38060200000047</v>
      </c>
      <c r="P86" s="13">
        <f t="shared" si="87"/>
        <v>81.640876184681076</v>
      </c>
      <c r="Q86" s="20">
        <f t="shared" si="54"/>
        <v>752.43740783832027</v>
      </c>
      <c r="R86" s="59">
        <f t="shared" si="55"/>
        <v>1024.3221533154237</v>
      </c>
      <c r="S86" s="59">
        <f ca="1">AVERAGE(OFFSET($R$3,0,0,'Données projet'!$E$9+1,1))-AVERAGE(OFFSET($H$3,0,0,'Données projet'!$E$9+1,1))</f>
        <v>752.45542076695506</v>
      </c>
      <c r="T86" s="59">
        <f t="shared" si="88"/>
        <v>329.70629768420724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13.714438973789038</v>
      </c>
      <c r="AA86" s="21">
        <f>EXP(-LN(2)/25)*AA85+(1-EXP(-LN(2)/25))/(LN(2)/25)*Calculateur!V86*Calculateur!X86*VLOOKUP('Données projet'!$B$9,Paramètres!$A$1:$I$89,3,0)*0.475*44/12</f>
        <v>27.496545564989731</v>
      </c>
      <c r="AB86" s="21">
        <f>EXP(-LN(2)/2)*AB85+(1-EXP(-LN(2)/2))/(LN(2)/2)*V86*Y86*VLOOKUP('Données projet'!$B$9,Paramètres!$A$1:$I$89,3,0)*0.475*44/12</f>
        <v>0.23292421997989399</v>
      </c>
      <c r="AC86" s="22">
        <f t="shared" si="57"/>
        <v>41.44390875875866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408.246209980743</v>
      </c>
      <c r="AO86" s="59">
        <f t="shared" si="90"/>
        <v>394.10236303013903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53.785969442477537</v>
      </c>
      <c r="AV86" s="21">
        <f>EXP(-LN(2)/25)*AV85+(1-EXP(-LN(2)/25))/(LN(2)/25)*Calculateur!AQ86*Calculateur!AS86*VLOOKUP('Données projet'!$B$10,Paramètres!$A$1:$I$89,3,0)*0.475*44/12</f>
        <v>51.857622934329711</v>
      </c>
      <c r="AW86" s="21">
        <f>EXP(-LN(2)/2)*AW85+(1-EXP(-LN(2)/2))/(LN(2)/2)*AQ86*AT86*VLOOKUP('Données projet'!$B$10,Paramètres!$A$1:$I$89,3,0)*0.475*44/12</f>
        <v>24.232923654885447</v>
      </c>
      <c r="AX86" s="21">
        <f t="shared" si="60"/>
        <v>129.87651603169269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9.546999999999997</v>
      </c>
      <c r="BD86" s="12">
        <f>IF('Données projet'!$A$88&gt;35,BD85+BC86-BL85,IF(A86&lt;'Données projet'!$A$88,$BA$205^A86,IF(A86='Données projet'!$A$88,'Données projet'!$B$88,BD85+BC86-BL85)))</f>
        <v>345.54300000000046</v>
      </c>
      <c r="BE86" s="13">
        <f>BD86*VLOOKUP('Données projet'!$B$11,Paramètres!$A$1:$I$89,3,0)*VLOOKUP('Données projet'!$B$11,Paramètres!$A$1:$I$89,5,0)</f>
        <v>328.81871880000045</v>
      </c>
      <c r="BF86" s="13">
        <f t="shared" si="91"/>
        <v>77.185346349202092</v>
      </c>
      <c r="BG86" s="20">
        <f t="shared" si="61"/>
        <v>707.12374680152777</v>
      </c>
      <c r="BH86" s="59">
        <f t="shared" si="62"/>
        <v>979.00849227863125</v>
      </c>
      <c r="BI86" s="59">
        <f ca="1">AVERAGE(OFFSET($BH$3,0,0,'Données projet'!$E$11+1,1))-AVERAGE(OFFSET($H$3,0,0,'Données projet'!$E$11+1,1))</f>
        <v>711.91538686535682</v>
      </c>
      <c r="BJ86" s="59">
        <f t="shared" si="92"/>
        <v>313.24593837351722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12.87047349847894</v>
      </c>
      <c r="BQ86" s="21">
        <f>EXP(-LN(2)/25)*BQ85+(1-EXP(-LN(2)/25))/(LN(2)/25)*Calculateur!BL86*Calculateur!BN86*VLOOKUP('Données projet'!$B$11,Paramètres!$A$1:$I$89,3,0)*0.475*44/12</f>
        <v>25.804450453298042</v>
      </c>
      <c r="BR86" s="21">
        <f>EXP(-LN(2)/2)*BR85+(1-EXP(-LN(2)/2))/(LN(2)/2)*BL86*BO86*VLOOKUP('Données projet'!$B$11,Paramètres!$A$1:$I$89,3,0)*0.475*44/12</f>
        <v>0.21859042182728505</v>
      </c>
      <c r="BS86" s="22">
        <f t="shared" si="63"/>
        <v>38.893514373604269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9.546999999999997</v>
      </c>
      <c r="BY86" s="12">
        <f>IF('Données projet'!$A$114&gt;35,BY85+BX86-CG85,IF(A86&lt;'Données projet'!$A$114,$BV$205^A86,IF(A86='Données projet'!$A$114,'Données projet'!$B$114,BY85+BX86-CG85)))</f>
        <v>345.54300000000046</v>
      </c>
      <c r="BZ86" s="13">
        <f>BY86*VLOOKUP('Données projet'!$B$12,Paramètres!$A$1:$I$89,3,0)*VLOOKUP('Données projet'!$B$12,Paramètres!$A$1:$I$89,5,0)</f>
        <v>312.64730640000039</v>
      </c>
      <c r="CA86" s="13">
        <f t="shared" si="93"/>
        <v>73.821419204446315</v>
      </c>
      <c r="CB86" s="20">
        <f t="shared" si="64"/>
        <v>673.09969709441123</v>
      </c>
      <c r="CC86" s="59">
        <f t="shared" si="65"/>
        <v>944.98444257151471</v>
      </c>
      <c r="CD86" s="59">
        <f ca="1">AVERAGE(OFFSET($CC$3,0,0,'Données projet'!$E$12+1,1))-AVERAGE(OFFSET($H$3,0,0,'Données projet'!$E$12+1,1))</f>
        <v>681.47578137804555</v>
      </c>
      <c r="CE86" s="59">
        <f t="shared" si="94"/>
        <v>300.88511065995885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12.237499391996371</v>
      </c>
      <c r="CL86" s="21">
        <f>EXP(-LN(2)/25)*CL85+(1-EXP(-LN(2)/25))/(LN(2)/25)*Calculateur!CG86*Calculateur!CI86*VLOOKUP('Données projet'!$B$12,Paramètres!$A$1:$I$89,3,0)*0.475*44/12</f>
        <v>24.535379119529289</v>
      </c>
      <c r="CM86" s="21">
        <f>EXP(-LN(2)/2)*CM85+(1-EXP(-LN(2)/2))/(LN(2)/2)*CG86*CJ86*VLOOKUP('Données projet'!$B$12,Paramètres!$A$1:$I$89,3,0)*0.475*44/12</f>
        <v>0.20784007321282855</v>
      </c>
      <c r="CN86" s="22">
        <f t="shared" si="66"/>
        <v>36.98071858473849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2.0512820512820498</v>
      </c>
      <c r="CT86" s="12">
        <f>IF('Données projet'!$A$140&gt;35,CT85+CS86-DB85,IF(A86&lt;'Données projet'!$A$140,$CQ$205^A86,IF(A86='Données projet'!$A$140,'Données projet'!$B$140,CT85+CS86-DB85)))</f>
        <v>122.1794871794871</v>
      </c>
      <c r="CU86" s="17">
        <f>CT86*VLOOKUP('Données projet'!$B$13,Paramètres!$A$1:$I$89,3,0)*VLOOKUP('Données projet'!$B$13,Paramètres!$A$1:$I$89,5,0)</f>
        <v>99.111999999999938</v>
      </c>
      <c r="CV86" s="13">
        <f t="shared" si="95"/>
        <v>26.750334096198984</v>
      </c>
      <c r="CW86" s="20">
        <f t="shared" si="67"/>
        <v>219.21023188421313</v>
      </c>
      <c r="CX86" s="59">
        <f t="shared" si="68"/>
        <v>491.09497736131664</v>
      </c>
      <c r="CY86" s="59">
        <f ca="1">AVERAGE(OFFSET($CX$3,0,0,'Données projet'!$E$13+1,1))-AVERAGE(OFFSET($H$3,0,0,'Données projet'!$E$13+1,1))</f>
        <v>186.54446846714993</v>
      </c>
      <c r="CZ86" s="59">
        <f t="shared" si="96"/>
        <v>154.43773051601286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</v>
      </c>
      <c r="DG86" s="21">
        <f>EXP(-LN(2)/25)*DG85+(1-EXP(-LN(2)/25))/(LN(2)/25)*Calculateur!DB86*Calculateur!DD86*VLOOKUP('Données projet'!$B$13,Paramètres!$A$1:$I$89,3,0)*0.475*44/12</f>
        <v>3.8974252991178049</v>
      </c>
      <c r="DH86" s="21">
        <f>EXP(-LN(2)/2)*DH85+(1-EXP(-LN(2)/2))/(LN(2)/2)*DB86*DE86*VLOOKUP('Données projet'!$B$13,Paramètres!$A$1:$I$89,3,0)*0.475*44/12</f>
        <v>0.57946557665500964</v>
      </c>
      <c r="DI86" s="22">
        <f t="shared" si="69"/>
        <v>4.4768908757728143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>
        <f>VLOOKUP(A86,'Données projet'!$A$165:$I$185,2,0)</f>
        <v>233.16</v>
      </c>
      <c r="DM86" s="12">
        <f>VLOOKUP(A86,'Données projet'!$A$165:$I$185,9,0)</f>
        <v>6.8810000000000002</v>
      </c>
      <c r="DN86" s="12">
        <f t="array" ref="DN86">INDEX(DM:DM,MIN(IF(ISNUMBER(DM86:DM282),ROW(DM86:DM282),"")))</f>
        <v>6.8810000000000002</v>
      </c>
      <c r="DO86" s="12">
        <f>IF('Données projet'!$A$166&gt;35,DO85+DN86-DW85,IF(A86&lt;'Données projet'!$A$166,$DL$205^A86,IF(A86='Données projet'!$A$166,'Données projet'!$B$166,DO85+DN86-DW85)))</f>
        <v>233.16000000000017</v>
      </c>
      <c r="DP86" s="17">
        <f>DO86*VLOOKUP('Données projet'!$B$14,Paramètres!$A$1:$I$89,3,0)*VLOOKUP('Données projet'!$B$14,Paramètres!$A$1:$I$89,5,0)</f>
        <v>265.52260800000022</v>
      </c>
      <c r="DQ86" s="13">
        <f t="shared" si="97"/>
        <v>63.898130915674805</v>
      </c>
      <c r="DR86" s="20">
        <f t="shared" si="70"/>
        <v>573.74112027813396</v>
      </c>
      <c r="DS86" s="59">
        <f t="shared" si="71"/>
        <v>845.62586575523744</v>
      </c>
      <c r="DT86" s="59">
        <f ca="1">AVERAGE(OFFSET($DS$3,0,0,'Données projet'!$E$14+1,1))-AVERAGE(OFFSET($H$3,0,0,'Données projet'!$E$14+1,1))</f>
        <v>651.35546372812314</v>
      </c>
      <c r="DU86" s="59">
        <f t="shared" si="98"/>
        <v>293.6561676213388</v>
      </c>
      <c r="DV86" s="15">
        <f>IF(ISNA(VLOOKUP(A86,'Données projet'!$A$165:$I$185,3,0)),0,VLOOKUP(A86,'Données projet'!$A$165:$I$185,3,0))</f>
        <v>5</v>
      </c>
      <c r="DW86" s="15">
        <f>IF(ISNA(VLOOKUP(A86,'Données projet'!$A$165:$I$185,4,0)),0,VLOOKUP(A86,'Données projet'!$A$165:$I$185,4,0))</f>
        <v>40.069999999999993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0.34400000000000003</v>
      </c>
      <c r="DZ86" s="16">
        <f>IF(ISNA(VLOOKUP(A86,'Données projet'!$A$165:$I$185,7,0)),0%,VLOOKUP(A86,'Données projet'!$A$165:$I$185,7,0))</f>
        <v>0.2</v>
      </c>
      <c r="EA86" s="21">
        <f>EXP(-LN(2)/35)*EA85+(1-EXP(-LN(2)/35))/(LN(2)/35)*DW86*DX86*VLOOKUP('Données projet'!$B$14,Paramètres!$A$1:$I$89,3,0)*0.475*44/12</f>
        <v>0</v>
      </c>
      <c r="EB86" s="21">
        <f>EXP(-LN(2)/25)*EB85+(1-EXP(-LN(2)/25))/(LN(2)/25)*Calculateur!DW86*Calculateur!DY86*VLOOKUP('Données projet'!$B$14,Paramètres!$A$1:$I$89,3,0)*0.475*44/12</f>
        <v>54.079415392012407</v>
      </c>
      <c r="EC86" s="21">
        <f>EXP(-LN(2)/2)*EC85+(1-EXP(-LN(2)/2))/(LN(2)/2)*DW86*DZ86*VLOOKUP('Données projet'!$B$14,Paramètres!$A$1:$I$89,3,0)*0.475*44/12</f>
        <v>8.866603248910673</v>
      </c>
      <c r="ED86" s="22">
        <f t="shared" si="72"/>
        <v>62.946018640923079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2.0512820512820498</v>
      </c>
      <c r="EJ86" s="12">
        <f>IF('Données projet'!$A$192&gt;35,EJ85+EI86-ER85,IF(A86&lt;'Données projet'!$A$192,$EG$205^A86,IF(A86='Données projet'!$A$192,'Données projet'!$B$192,EJ85+EI86-ER85)))</f>
        <v>143.33333333333343</v>
      </c>
      <c r="EK86" s="17">
        <f>EJ86*VLOOKUP('Données projet'!$B$15,Paramètres!$A$1:$I$89,3,0)*VLOOKUP('Données projet'!$B$15,Paramètres!$A$1:$I$89,5,0)</f>
        <v>149.81200000000013</v>
      </c>
      <c r="EL86" s="13">
        <f t="shared" si="99"/>
        <v>38.535858828351088</v>
      </c>
      <c r="EM86" s="20">
        <f t="shared" si="73"/>
        <v>328.0391874593783</v>
      </c>
      <c r="EN86" s="59">
        <f t="shared" si="74"/>
        <v>599.92393293648183</v>
      </c>
      <c r="EO86" s="59">
        <f ca="1">AVERAGE(OFFSET($EN$3,0,0,'Données projet'!$E$15+1,1))-AVERAGE(OFFSET($H$3,0,0,'Données projet'!$E$15+1,1))</f>
        <v>290.69667785754848</v>
      </c>
      <c r="EP86" s="59">
        <f t="shared" si="100"/>
        <v>256.28124185489082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2.2730621067690051</v>
      </c>
      <c r="EW86" s="21">
        <f>EXP(-LN(2)/25)*EW85+(1-EXP(-LN(2)/25))/(LN(2)/25)*Calculateur!ER86*Calculateur!ET86*VLOOKUP('Données projet'!$B$15,Paramètres!$A$1:$I$89,3,0)*0.475*44/12</f>
        <v>17.456080924715558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19.729143031484561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>
        <f>VLOOKUP(A87,'Données projet'!$A$35:$I$55,2,0)</f>
        <v>355.09</v>
      </c>
      <c r="L87" s="12">
        <f>VLOOKUP(A87,'Données projet'!$A$35:$I$55,9,0)</f>
        <v>9.546999999999997</v>
      </c>
      <c r="M87" s="12">
        <f t="array" ref="M87">INDEX(L:L,MIN(IF(ISNUMBER(L87:L283),ROW(L87:L283),"")))</f>
        <v>9.546999999999997</v>
      </c>
      <c r="N87" s="13">
        <f>IF('Données projet'!$A$36&gt;35,N86+M87-V86,IF(A87&lt;'Données projet'!$A$36,$K$205^A87,IF(A87='Données projet'!$A$36,'Données projet'!$B$36,N86+M87-V86)))</f>
        <v>355.09000000000049</v>
      </c>
      <c r="O87" s="13">
        <f>N87*VLOOKUP('Données projet'!$B$9,Paramètres!$A$1:$I$89,3,0)*VLOOKUP('Données projet'!$B$9,Paramètres!$A$1:$I$89,5,0)</f>
        <v>360.06126000000052</v>
      </c>
      <c r="P87" s="13">
        <f t="shared" si="87"/>
        <v>83.630799612914231</v>
      </c>
      <c r="Q87" s="20">
        <f t="shared" si="54"/>
        <v>772.76367049249313</v>
      </c>
      <c r="R87" s="59">
        <f t="shared" si="55"/>
        <v>1045.0205010170434</v>
      </c>
      <c r="S87" s="59">
        <f ca="1">AVERAGE(OFFSET($R$3,0,0,'Données projet'!$E$9+1,1))-AVERAGE(OFFSET($H$3,0,0,'Données projet'!$E$9+1,1))</f>
        <v>752.45542076695506</v>
      </c>
      <c r="T87" s="59">
        <f t="shared" si="88"/>
        <v>329.70629768420724</v>
      </c>
      <c r="U87" s="15">
        <f>IF(ISNA(VLOOKUP(A87,'Données projet'!$A$35:$I$55,3,0)),0,VLOOKUP(A87,'Données projet'!$A$35:$I$55,3,0))</f>
        <v>6</v>
      </c>
      <c r="V87" s="15">
        <f>IF(ISNA(VLOOKUP(A87,'Données projet'!$A$35:$I$55,4,0)),0,VLOOKUP(A87,'Données projet'!$A$35:$I$55,4,0))</f>
        <v>66.69</v>
      </c>
      <c r="W87" s="16">
        <f>IF(ISNA(VLOOKUP(A87,'Données projet'!$A$35:$I$55,5,0)),0%,VLOOKUP(A87,'Données projet'!$A$35:$I$55,5,0)*VLOOKUP('Données projet'!$B$9,Paramètres!$A$1:$I$89,7,0))</f>
        <v>0.15049999999999999</v>
      </c>
      <c r="X87" s="16">
        <f>IF(ISNA(VLOOKUP(A87,'Données projet'!$A$35:$I$55,6,0)),0%,VLOOKUP(A87,'Données projet'!$A$35:$I$55,6,0)*VLOOKUP('Données projet'!$B$9,Paramètres!$A$1:$I$89,7,0))</f>
        <v>8.6000000000000007E-2</v>
      </c>
      <c r="Y87" s="16">
        <f>IF(ISNA(VLOOKUP(A87,'Données projet'!$A$35:$I$55,7,0)),0%,VLOOKUP(A87,'Données projet'!$A$35:$I$55,7,0))</f>
        <v>0.1</v>
      </c>
      <c r="Z87" s="21">
        <f>EXP(-LN(2)/35)*Z86+(1-EXP(-LN(2)/35))/(LN(2)/35)*V87*W87*VLOOKUP('Données projet'!$B$9,Paramètres!$A$1:$I$89,3,0)*0.475*44/12</f>
        <v>24.696278129878717</v>
      </c>
      <c r="AA87" s="21">
        <f>EXP(-LN(2)/25)*AA86+(1-EXP(-LN(2)/25))/(LN(2)/25)*Calculateur!V87*Calculateur!X87*VLOOKUP('Données projet'!$B$9,Paramètres!$A$1:$I$89,3,0)*0.475*44/12</f>
        <v>33.148349576143573</v>
      </c>
      <c r="AB87" s="21">
        <f>EXP(-LN(2)/2)*AB86+(1-EXP(-LN(2)/2))/(LN(2)/2)*V87*Y87*VLOOKUP('Données projet'!$B$9,Paramètres!$A$1:$I$89,3,0)*0.475*44/12</f>
        <v>6.5451766228627521</v>
      </c>
      <c r="AC87" s="22">
        <f t="shared" si="57"/>
        <v>64.389804328885049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408.246209980743</v>
      </c>
      <c r="AO87" s="59">
        <f t="shared" si="90"/>
        <v>394.10236303013903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52.731259387912566</v>
      </c>
      <c r="AV87" s="21">
        <f>EXP(-LN(2)/25)*AV86+(1-EXP(-LN(2)/25))/(LN(2)/25)*Calculateur!AQ87*Calculateur!AS87*VLOOKUP('Données projet'!$B$10,Paramètres!$A$1:$I$89,3,0)*0.475*44/12</f>
        <v>50.439573508116595</v>
      </c>
      <c r="AW87" s="21">
        <f>EXP(-LN(2)/2)*AW86+(1-EXP(-LN(2)/2))/(LN(2)/2)*AQ87*AT87*VLOOKUP('Données projet'!$B$10,Paramètres!$A$1:$I$89,3,0)*0.475*44/12</f>
        <v>17.135264644345398</v>
      </c>
      <c r="AX87" s="21">
        <f t="shared" si="60"/>
        <v>120.30609754037457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>
        <f>VLOOKUP(A87,'Données projet'!$A$87:$I$107,2,0)</f>
        <v>355.09</v>
      </c>
      <c r="BB87" s="12">
        <f>VLOOKUP(A87,'Données projet'!$A$87:$I$107,9,0)</f>
        <v>9.546999999999997</v>
      </c>
      <c r="BC87" s="12">
        <f t="array" ref="BC87">INDEX(BB:BB,MIN(IF(ISNUMBER(BB87:BB283),ROW(BB87:BB283),"")))</f>
        <v>9.546999999999997</v>
      </c>
      <c r="BD87" s="12">
        <f>IF('Données projet'!$A$88&gt;35,BD86+BC87-BL86,IF(A87&lt;'Données projet'!$A$88,$BA$205^A87,IF(A87='Données projet'!$A$88,'Données projet'!$B$88,BD86+BC87-BL86)))</f>
        <v>355.09000000000049</v>
      </c>
      <c r="BE87" s="13">
        <f>BD87*VLOOKUP('Données projet'!$B$11,Paramètres!$A$1:$I$89,3,0)*VLOOKUP('Données projet'!$B$11,Paramètres!$A$1:$I$89,5,0)</f>
        <v>337.9036440000005</v>
      </c>
      <c r="BF87" s="13">
        <f t="shared" si="91"/>
        <v>79.066670217764312</v>
      </c>
      <c r="BG87" s="20">
        <f t="shared" si="61"/>
        <v>726.22329726260705</v>
      </c>
      <c r="BH87" s="59">
        <f t="shared" si="62"/>
        <v>998.48012778715736</v>
      </c>
      <c r="BI87" s="59">
        <f ca="1">AVERAGE(OFFSET($BH$3,0,0,'Données projet'!$E$11+1,1))-AVERAGE(OFFSET($H$3,0,0,'Données projet'!$E$11+1,1))</f>
        <v>711.91538686535682</v>
      </c>
      <c r="BJ87" s="59">
        <f t="shared" si="92"/>
        <v>313.24593837351722</v>
      </c>
      <c r="BK87" s="15">
        <f>IF(ISNA(VLOOKUP(A87,'Données projet'!$A$87:$I$107,3,0)),0,VLOOKUP(A87,'Données projet'!$A$87:$I$107,3,0))</f>
        <v>6</v>
      </c>
      <c r="BL87" s="15">
        <f>IF(ISNA(VLOOKUP(A87,'Données projet'!$A$87:$I$107,4,0)),0,VLOOKUP(A87,'Données projet'!$A$87:$I$107,4,0))</f>
        <v>66.69</v>
      </c>
      <c r="BM87" s="16">
        <f>IF(ISNA(VLOOKUP(A87,'Données projet'!$A$87:$I$107,5,0)),0%,VLOOKUP(A87,'Données projet'!$A$87:$I$107,5,0)*VLOOKUP('Données projet'!$B$11,Paramètres!$A$1:$I$89,7,0))</f>
        <v>0.15049999999999999</v>
      </c>
      <c r="BN87" s="16">
        <f>IF(ISNA(VLOOKUP(A87,'Données projet'!$A$87:$I$107,6,0)),0%,VLOOKUP(A87,'Données projet'!$A$87:$I$107,6,0)*VLOOKUP('Données projet'!$B$11,Paramètres!$A$1:$I$89,7,0))</f>
        <v>8.6000000000000007E-2</v>
      </c>
      <c r="BO87" s="16">
        <f>IF(ISNA(VLOOKUP(A87,'Données projet'!$A$87:$I$107,7,0)),0%,VLOOKUP(A87,'Données projet'!$A$87:$I$107,7,0))</f>
        <v>0.1</v>
      </c>
      <c r="BP87" s="21">
        <f>EXP(-LN(2)/35)*BP86+(1-EXP(-LN(2)/35))/(LN(2)/35)*BL87*BM87*VLOOKUP('Données projet'!$B$11,Paramètres!$A$1:$I$89,3,0)*0.475*44/12</f>
        <v>23.176507168040022</v>
      </c>
      <c r="BQ87" s="21">
        <f>EXP(-LN(2)/25)*BQ86+(1-EXP(-LN(2)/25))/(LN(2)/25)*Calculateur!BL87*Calculateur!BN87*VLOOKUP('Données projet'!$B$11,Paramètres!$A$1:$I$89,3,0)*0.475*44/12</f>
        <v>31.108451140688576</v>
      </c>
      <c r="BR87" s="21">
        <f>EXP(-LN(2)/2)*BR86+(1-EXP(-LN(2)/2))/(LN(2)/2)*BL87*BO87*VLOOKUP('Données projet'!$B$11,Paramètres!$A$1:$I$89,3,0)*0.475*44/12</f>
        <v>6.1423965229942743</v>
      </c>
      <c r="BS87" s="22">
        <f t="shared" si="63"/>
        <v>60.427354831722873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>
        <f>VLOOKUP(A87,'Données projet'!$A$113:$I$133,2,0)</f>
        <v>355.09</v>
      </c>
      <c r="BW87" s="12">
        <f>VLOOKUP(A87,'Données projet'!$A$113:$I$133,9,0)</f>
        <v>9.546999999999997</v>
      </c>
      <c r="BX87" s="12">
        <f t="array" ref="BX87">INDEX(BW:BW,MIN(IF(ISNUMBER(BW87:BW283),ROW(BW87:BW283),"")))</f>
        <v>9.546999999999997</v>
      </c>
      <c r="BY87" s="12">
        <f>IF('Données projet'!$A$114&gt;35,BY86+BX87-CG86,IF(A87&lt;'Données projet'!$A$114,$BV$205^A87,IF(A87='Données projet'!$A$114,'Données projet'!$B$114,BY86+BX87-CG86)))</f>
        <v>355.09000000000049</v>
      </c>
      <c r="BZ87" s="13">
        <f>BY87*VLOOKUP('Données projet'!$B$12,Paramètres!$A$1:$I$89,3,0)*VLOOKUP('Données projet'!$B$12,Paramètres!$A$1:$I$89,5,0)</f>
        <v>321.28543200000041</v>
      </c>
      <c r="CA87" s="13">
        <f t="shared" si="93"/>
        <v>75.620750353808944</v>
      </c>
      <c r="CB87" s="20">
        <f t="shared" si="64"/>
        <v>691.27826759955133</v>
      </c>
      <c r="CC87" s="59">
        <f t="shared" si="65"/>
        <v>963.53509812410164</v>
      </c>
      <c r="CD87" s="59">
        <f ca="1">AVERAGE(OFFSET($CC$3,0,0,'Données projet'!$E$12+1,1))-AVERAGE(OFFSET($H$3,0,0,'Données projet'!$E$12+1,1))</f>
        <v>681.47578137804555</v>
      </c>
      <c r="CE87" s="59">
        <f t="shared" si="94"/>
        <v>300.88511065995885</v>
      </c>
      <c r="CF87" s="15">
        <f>IF(ISNA(VLOOKUP(A87,'Données projet'!$A$113:$I$133,3,0)),0,VLOOKUP(A87,'Données projet'!$A$113:$I$133,3,0))</f>
        <v>6</v>
      </c>
      <c r="CG87" s="15">
        <f>IF(ISNA(VLOOKUP(A87,'Données projet'!$A$113:$I$133,4,0)),0,VLOOKUP(A87,'Données projet'!$A$113:$I$133,4,0))</f>
        <v>66.69</v>
      </c>
      <c r="CH87" s="16">
        <f>IF(ISNA(VLOOKUP(A87,'Données projet'!$A$113:$I$133,5,0)),0%,VLOOKUP(A87,'Données projet'!$A$113:$I$133,5,0)*VLOOKUP('Données projet'!$B$12,Paramètres!$A$1:$I$89,7,0))</f>
        <v>0.15049999999999999</v>
      </c>
      <c r="CI87" s="16">
        <f>IF(ISNA(VLOOKUP(A87,'Données projet'!$A$113:$I$133,6,0)),0%,VLOOKUP(A87,'Données projet'!$A$113:$I$133,6,0)*VLOOKUP('Données projet'!$B$12,Paramètres!$A$1:$I$89,7,0))</f>
        <v>8.6000000000000007E-2</v>
      </c>
      <c r="CJ87" s="16">
        <f>IF(ISNA(VLOOKUP(A87,'Données projet'!$A$113:$I$133,7,0)),0%,VLOOKUP(A87,'Données projet'!$A$113:$I$133,7,0))</f>
        <v>0.1</v>
      </c>
      <c r="CK87" s="21">
        <f>EXP(-LN(2)/35)*CK86+(1-EXP(-LN(2)/35))/(LN(2)/35)*CG87*CH87*VLOOKUP('Données projet'!$B$12,Paramètres!$A$1:$I$89,3,0)*0.475*44/12</f>
        <v>22.036678946661006</v>
      </c>
      <c r="CL87" s="21">
        <f>EXP(-LN(2)/25)*CL86+(1-EXP(-LN(2)/25))/(LN(2)/25)*Calculateur!CG87*Calculateur!CI87*VLOOKUP('Données projet'!$B$12,Paramètres!$A$1:$I$89,3,0)*0.475*44/12</f>
        <v>29.578527314097339</v>
      </c>
      <c r="CM87" s="21">
        <f>EXP(-LN(2)/2)*CM86+(1-EXP(-LN(2)/2))/(LN(2)/2)*CG87*CJ87*VLOOKUP('Données projet'!$B$12,Paramètres!$A$1:$I$89,3,0)*0.475*44/12</f>
        <v>5.8403114480929164</v>
      </c>
      <c r="CN87" s="22">
        <f t="shared" si="66"/>
        <v>57.455517708851261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2.0512820512820498</v>
      </c>
      <c r="CT87" s="12">
        <f>IF('Données projet'!$A$140&gt;35,CT86+CS87-DB86,IF(A87&lt;'Données projet'!$A$140,$CQ$205^A87,IF(A87='Données projet'!$A$140,'Données projet'!$B$140,CT86+CS87-DB86)))</f>
        <v>124.23076923076914</v>
      </c>
      <c r="CU87" s="17">
        <f>CT87*VLOOKUP('Données projet'!$B$13,Paramètres!$A$1:$I$89,3,0)*VLOOKUP('Données projet'!$B$13,Paramètres!$A$1:$I$89,5,0)</f>
        <v>100.77599999999993</v>
      </c>
      <c r="CV87" s="13">
        <f t="shared" si="95"/>
        <v>27.146785593902447</v>
      </c>
      <c r="CW87" s="20">
        <f t="shared" si="67"/>
        <v>222.79885157604664</v>
      </c>
      <c r="CX87" s="59">
        <f t="shared" si="68"/>
        <v>495.05568210059698</v>
      </c>
      <c r="CY87" s="59">
        <f ca="1">AVERAGE(OFFSET($CX$3,0,0,'Données projet'!$E$13+1,1))-AVERAGE(OFFSET($H$3,0,0,'Données projet'!$E$13+1,1))</f>
        <v>186.54446846714993</v>
      </c>
      <c r="CZ87" s="59">
        <f t="shared" si="96"/>
        <v>154.43773051601286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</v>
      </c>
      <c r="DG87" s="21">
        <f>EXP(-LN(2)/25)*DG86+(1-EXP(-LN(2)/25))/(LN(2)/25)*Calculateur!DB87*Calculateur!DD87*VLOOKUP('Données projet'!$B$13,Paramètres!$A$1:$I$89,3,0)*0.475*44/12</f>
        <v>3.7908499993567397</v>
      </c>
      <c r="DH87" s="21">
        <f>EXP(-LN(2)/2)*DH86+(1-EXP(-LN(2)/2))/(LN(2)/2)*DB87*DE87*VLOOKUP('Données projet'!$B$13,Paramètres!$A$1:$I$89,3,0)*0.475*44/12</f>
        <v>0.40974403871693049</v>
      </c>
      <c r="DI87" s="22">
        <f t="shared" si="69"/>
        <v>4.2005940380736702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6.8999999999999968</v>
      </c>
      <c r="DO87" s="12">
        <f>IF('Données projet'!$A$166&gt;35,DO86+DN87-DW86,IF(A87&lt;'Données projet'!$A$166,$DL$205^A87,IF(A87='Données projet'!$A$166,'Données projet'!$B$166,DO86+DN87-DW86)))</f>
        <v>199.99000000000018</v>
      </c>
      <c r="DP87" s="17">
        <f>DO87*VLOOKUP('Données projet'!$B$14,Paramètres!$A$1:$I$89,3,0)*VLOOKUP('Données projet'!$B$14,Paramètres!$A$1:$I$89,5,0)</f>
        <v>227.74861200000021</v>
      </c>
      <c r="DQ87" s="13">
        <f t="shared" si="97"/>
        <v>55.795600461538875</v>
      </c>
      <c r="DR87" s="20">
        <f t="shared" si="70"/>
        <v>493.83950337051391</v>
      </c>
      <c r="DS87" s="59">
        <f t="shared" si="71"/>
        <v>766.09633389506416</v>
      </c>
      <c r="DT87" s="59">
        <f ca="1">AVERAGE(OFFSET($DS$3,0,0,'Données projet'!$E$14+1,1))-AVERAGE(OFFSET($H$3,0,0,'Données projet'!$E$14+1,1))</f>
        <v>651.35546372812314</v>
      </c>
      <c r="DU87" s="59">
        <f t="shared" si="98"/>
        <v>293.6561676213388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</v>
      </c>
      <c r="EB87" s="21">
        <f>EXP(-LN(2)/25)*EB86+(1-EXP(-LN(2)/25))/(LN(2)/25)*Calculateur!DW87*Calculateur!DY87*VLOOKUP('Données projet'!$B$14,Paramètres!$A$1:$I$89,3,0)*0.475*44/12</f>
        <v>52.600610934204973</v>
      </c>
      <c r="EC87" s="21">
        <f>EXP(-LN(2)/2)*EC86+(1-EXP(-LN(2)/2))/(LN(2)/2)*DW87*DZ87*VLOOKUP('Données projet'!$B$14,Paramètres!$A$1:$I$89,3,0)*0.475*44/12</f>
        <v>6.2696352833954112</v>
      </c>
      <c r="ED87" s="22">
        <f t="shared" si="72"/>
        <v>58.870246217600382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2.0512820512820498</v>
      </c>
      <c r="EJ87" s="12">
        <f>IF('Données projet'!$A$192&gt;35,EJ86+EI87-ER86,IF(A87&lt;'Données projet'!$A$192,$EG$205^A87,IF(A87='Données projet'!$A$192,'Données projet'!$B$192,EJ86+EI87-ER86)))</f>
        <v>145.38461538461547</v>
      </c>
      <c r="EK87" s="17">
        <f>EJ87*VLOOKUP('Données projet'!$B$15,Paramètres!$A$1:$I$89,3,0)*VLOOKUP('Données projet'!$B$15,Paramètres!$A$1:$I$89,5,0)</f>
        <v>151.9560000000001</v>
      </c>
      <c r="EL87" s="13">
        <f t="shared" si="99"/>
        <v>39.022757915937028</v>
      </c>
      <c r="EM87" s="20">
        <f t="shared" si="73"/>
        <v>332.62133670359054</v>
      </c>
      <c r="EN87" s="59">
        <f t="shared" si="74"/>
        <v>604.87816722814091</v>
      </c>
      <c r="EO87" s="59">
        <f ca="1">AVERAGE(OFFSET($EN$3,0,0,'Données projet'!$E$15+1,1))-AVERAGE(OFFSET($H$3,0,0,'Données projet'!$E$15+1,1))</f>
        <v>290.69667785754848</v>
      </c>
      <c r="EP87" s="59">
        <f t="shared" si="100"/>
        <v>256.28124185489082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2.2284887452862514</v>
      </c>
      <c r="EW87" s="21">
        <f>EXP(-LN(2)/25)*EW86+(1-EXP(-LN(2)/25))/(LN(2)/25)*Calculateur!ER87*Calculateur!ET87*VLOOKUP('Données projet'!$B$15,Paramètres!$A$1:$I$89,3,0)*0.475*44/12</f>
        <v>16.978743473853811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19.207232219140064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9.1730000000000018</v>
      </c>
      <c r="N88" s="13">
        <f>IF('Données projet'!$A$36&gt;35,N87+M88-V87,IF(A88&lt;'Données projet'!$A$36,$K$205^A88,IF(A88='Données projet'!$A$36,'Données projet'!$B$36,N87+M88-V87)))</f>
        <v>297.57300000000049</v>
      </c>
      <c r="O88" s="13">
        <f>N88*VLOOKUP('Données projet'!$B$9,Paramètres!$A$1:$I$89,3,0)*VLOOKUP('Données projet'!$B$9,Paramètres!$A$1:$I$89,5,0)</f>
        <v>301.73902200000055</v>
      </c>
      <c r="P88" s="13">
        <f t="shared" si="87"/>
        <v>71.540906554302211</v>
      </c>
      <c r="Q88" s="20">
        <f t="shared" si="54"/>
        <v>650.12920889874385</v>
      </c>
      <c r="R88" s="59">
        <f t="shared" si="55"/>
        <v>922.75166962702542</v>
      </c>
      <c r="S88" s="59">
        <f ca="1">AVERAGE(OFFSET($R$3,0,0,'Données projet'!$E$9+1,1))-AVERAGE(OFFSET($H$3,0,0,'Données projet'!$E$9+1,1))</f>
        <v>752.45542076695506</v>
      </c>
      <c r="T88" s="59">
        <f t="shared" si="88"/>
        <v>329.70629768420724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24.211999178994084</v>
      </c>
      <c r="AA88" s="21">
        <f>EXP(-LN(2)/25)*AA87+(1-EXP(-LN(2)/25))/(LN(2)/25)*Calculateur!V88*Calculateur!X88*VLOOKUP('Données projet'!$B$9,Paramètres!$A$1:$I$89,3,0)*0.475*44/12</f>
        <v>32.241906213787985</v>
      </c>
      <c r="AB88" s="21">
        <f>EXP(-LN(2)/2)*AB87+(1-EXP(-LN(2)/2))/(LN(2)/2)*V88*Y88*VLOOKUP('Données projet'!$B$9,Paramètres!$A$1:$I$89,3,0)*0.475*44/12</f>
        <v>4.6281387740899183</v>
      </c>
      <c r="AC88" s="22">
        <f t="shared" si="57"/>
        <v>61.082044166871988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408.246209980743</v>
      </c>
      <c r="AO88" s="59">
        <f t="shared" si="90"/>
        <v>394.10236303013903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51.697231554208003</v>
      </c>
      <c r="AV88" s="21">
        <f>EXP(-LN(2)/25)*AV87+(1-EXP(-LN(2)/25))/(LN(2)/25)*Calculateur!AQ88*Calculateur!AS88*VLOOKUP('Données projet'!$B$10,Paramètres!$A$1:$I$89,3,0)*0.475*44/12</f>
        <v>49.060300718035258</v>
      </c>
      <c r="AW88" s="21">
        <f>EXP(-LN(2)/2)*AW87+(1-EXP(-LN(2)/2))/(LN(2)/2)*AQ88*AT88*VLOOKUP('Données projet'!$B$10,Paramètres!$A$1:$I$89,3,0)*0.475*44/12</f>
        <v>12.116461827442727</v>
      </c>
      <c r="AX88" s="21">
        <f t="shared" si="60"/>
        <v>112.87399409968597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9.1730000000000018</v>
      </c>
      <c r="BD88" s="12">
        <f>IF('Données projet'!$A$88&gt;35,BD87+BC88-BL87,IF(A88&lt;'Données projet'!$A$88,$BA$205^A88,IF(A88='Données projet'!$A$88,'Données projet'!$B$88,BD87+BC88-BL87)))</f>
        <v>297.57300000000049</v>
      </c>
      <c r="BE88" s="13">
        <f>BD88*VLOOKUP('Données projet'!$B$11,Paramètres!$A$1:$I$89,3,0)*VLOOKUP('Données projet'!$B$11,Paramètres!$A$1:$I$89,5,0)</f>
        <v>283.17046680000044</v>
      </c>
      <c r="BF88" s="13">
        <f t="shared" si="91"/>
        <v>67.63657996563542</v>
      </c>
      <c r="BG88" s="20">
        <f t="shared" si="61"/>
        <v>610.98893978348235</v>
      </c>
      <c r="BH88" s="59">
        <f t="shared" si="62"/>
        <v>883.6114005117638</v>
      </c>
      <c r="BI88" s="59">
        <f ca="1">AVERAGE(OFFSET($BH$3,0,0,'Données projet'!$E$11+1,1))-AVERAGE(OFFSET($H$3,0,0,'Données projet'!$E$11+1,1))</f>
        <v>711.91538686535682</v>
      </c>
      <c r="BJ88" s="59">
        <f t="shared" si="92"/>
        <v>313.24593837351722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22.722029998748287</v>
      </c>
      <c r="BQ88" s="21">
        <f>EXP(-LN(2)/25)*BQ87+(1-EXP(-LN(2)/25))/(LN(2)/25)*Calculateur!BL88*Calculateur!BN88*VLOOKUP('Données projet'!$B$11,Paramètres!$A$1:$I$89,3,0)*0.475*44/12</f>
        <v>30.257788908324102</v>
      </c>
      <c r="BR88" s="21">
        <f>EXP(-LN(2)/2)*BR87+(1-EXP(-LN(2)/2))/(LN(2)/2)*BL88*BO88*VLOOKUP('Données projet'!$B$11,Paramètres!$A$1:$I$89,3,0)*0.475*44/12</f>
        <v>4.343330234145923</v>
      </c>
      <c r="BS88" s="22">
        <f t="shared" si="63"/>
        <v>57.323149141218309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9.1730000000000018</v>
      </c>
      <c r="BY88" s="12">
        <f>IF('Données projet'!$A$114&gt;35,BY87+BX88-CG87,IF(A88&lt;'Données projet'!$A$114,$BV$205^A88,IF(A88='Données projet'!$A$114,'Données projet'!$B$114,BY87+BX88-CG87)))</f>
        <v>297.57300000000049</v>
      </c>
      <c r="BZ88" s="13">
        <f>BY88*VLOOKUP('Données projet'!$B$12,Paramètres!$A$1:$I$89,3,0)*VLOOKUP('Données projet'!$B$12,Paramètres!$A$1:$I$89,5,0)</f>
        <v>269.24405040000045</v>
      </c>
      <c r="CA88" s="13">
        <f t="shared" si="93"/>
        <v>64.688811534365087</v>
      </c>
      <c r="CB88" s="20">
        <f t="shared" si="64"/>
        <v>581.59973453568659</v>
      </c>
      <c r="CC88" s="59">
        <f t="shared" si="65"/>
        <v>854.22219526396816</v>
      </c>
      <c r="CD88" s="59">
        <f ca="1">AVERAGE(OFFSET($CC$3,0,0,'Données projet'!$E$12+1,1))-AVERAGE(OFFSET($H$3,0,0,'Données projet'!$E$12+1,1))</f>
        <v>681.47578137804555</v>
      </c>
      <c r="CE88" s="59">
        <f t="shared" si="94"/>
        <v>300.88511065995885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21.604553113563949</v>
      </c>
      <c r="CL88" s="21">
        <f>EXP(-LN(2)/25)*CL87+(1-EXP(-LN(2)/25))/(LN(2)/25)*Calculateur!CG88*Calculateur!CI88*VLOOKUP('Données projet'!$B$12,Paramètres!$A$1:$I$89,3,0)*0.475*44/12</f>
        <v>28.7697009292262</v>
      </c>
      <c r="CM88" s="21">
        <f>EXP(-LN(2)/2)*CM87+(1-EXP(-LN(2)/2))/(LN(2)/2)*CG88*CJ88*VLOOKUP('Données projet'!$B$12,Paramètres!$A$1:$I$89,3,0)*0.475*44/12</f>
        <v>4.1297238291879266</v>
      </c>
      <c r="CN88" s="22">
        <f t="shared" si="66"/>
        <v>54.503977871978073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>
        <f>VLOOKUP(A88,'Données projet'!$A$139:$I$159,2,0)</f>
        <v>126.28205128205127</v>
      </c>
      <c r="CR88" s="12">
        <f>VLOOKUP(A88,'Données projet'!$A$139:$I$159,9,0)</f>
        <v>2.0512820512820498</v>
      </c>
      <c r="CS88" s="12">
        <f t="array" ref="CS88">INDEX(CR:CR,MIN(IF(ISNUMBER(CR88:CR284),ROW(CR88:CR284),"")))</f>
        <v>2.0512820512820498</v>
      </c>
      <c r="CT88" s="12">
        <f>IF('Données projet'!$A$140&gt;35,CT87+CS88-DB87,IF(A88&lt;'Données projet'!$A$140,$CQ$205^A88,IF(A88='Données projet'!$A$140,'Données projet'!$B$140,CT87+CS88-DB87)))</f>
        <v>126.28205128205119</v>
      </c>
      <c r="CU88" s="17">
        <f>CT88*VLOOKUP('Données projet'!$B$13,Paramètres!$A$1:$I$89,3,0)*VLOOKUP('Données projet'!$B$13,Paramètres!$A$1:$I$89,5,0)</f>
        <v>102.43999999999993</v>
      </c>
      <c r="CV88" s="13">
        <f t="shared" si="95"/>
        <v>27.542475814398081</v>
      </c>
      <c r="CW88" s="20">
        <f t="shared" si="67"/>
        <v>226.3861453767432</v>
      </c>
      <c r="CX88" s="59">
        <f t="shared" si="68"/>
        <v>499.00860610502468</v>
      </c>
      <c r="CY88" s="59">
        <f ca="1">AVERAGE(OFFSET($CX$3,0,0,'Données projet'!$E$13+1,1))-AVERAGE(OFFSET($H$3,0,0,'Données projet'!$E$13+1,1))</f>
        <v>186.54446846714993</v>
      </c>
      <c r="CZ88" s="59">
        <f t="shared" si="96"/>
        <v>154.43773051601286</v>
      </c>
      <c r="DA88" s="15">
        <f>IF(ISNA(VLOOKUP(A88,'Données projet'!$A$139:$I$159,3,0)),0,VLOOKUP(A88,'Données projet'!$A$139:$I$159,3,0))</f>
        <v>15</v>
      </c>
      <c r="DB88" s="15">
        <f>IF(ISNA(VLOOKUP(A88,'Données projet'!$A$139:$I$159,4,0)),0,VLOOKUP(A88,'Données projet'!$A$139:$I$159,4,0))</f>
        <v>6.4102564102564097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0.1075</v>
      </c>
      <c r="DE88" s="16">
        <f>IF(ISNA(VLOOKUP(A88,'Données projet'!$A$139:$I$159,7,0)),0%,VLOOKUP(A88,'Données projet'!$A$139:$I$159,7,0))</f>
        <v>0.25</v>
      </c>
      <c r="DF88" s="21">
        <f>EXP(-LN(2)/35)*DF87+(1-EXP(-LN(2)/35))/(LN(2)/35)*DB88*DC88*VLOOKUP('Données projet'!$B$13,Paramètres!$A$1:$I$89,3,0)*0.475*44/12</f>
        <v>0</v>
      </c>
      <c r="DG88" s="21">
        <f>EXP(-LN(2)/25)*DG87+(1-EXP(-LN(2)/25))/(LN(2)/25)*Calculateur!DB88*Calculateur!DD88*VLOOKUP('Données projet'!$B$13,Paramètres!$A$1:$I$89,3,0)*0.475*44/12</f>
        <v>4.3027138130523959</v>
      </c>
      <c r="DH88" s="21">
        <f>EXP(-LN(2)/2)*DH87+(1-EXP(-LN(2)/2))/(LN(2)/2)*DB88*DE88*VLOOKUP('Données projet'!$B$13,Paramètres!$A$1:$I$89,3,0)*0.475*44/12</f>
        <v>1.5163177773145096</v>
      </c>
      <c r="DI88" s="22">
        <f t="shared" si="69"/>
        <v>5.8190315903669054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6.8999999999999968</v>
      </c>
      <c r="DO88" s="12">
        <f>IF('Données projet'!$A$166&gt;35,DO87+DN88-DW87,IF(A88&lt;'Données projet'!$A$166,$DL$205^A88,IF(A88='Données projet'!$A$166,'Données projet'!$B$166,DO87+DN88-DW87)))</f>
        <v>206.89000000000019</v>
      </c>
      <c r="DP88" s="17">
        <f>DO88*VLOOKUP('Données projet'!$B$14,Paramètres!$A$1:$I$89,3,0)*VLOOKUP('Données projet'!$B$14,Paramètres!$A$1:$I$89,5,0)</f>
        <v>235.60633200000021</v>
      </c>
      <c r="DQ88" s="13">
        <f t="shared" si="97"/>
        <v>57.493197275895071</v>
      </c>
      <c r="DR88" s="20">
        <f t="shared" si="70"/>
        <v>510.48168015551761</v>
      </c>
      <c r="DS88" s="59">
        <f t="shared" si="71"/>
        <v>783.10414088379912</v>
      </c>
      <c r="DT88" s="59">
        <f ca="1">AVERAGE(OFFSET($DS$3,0,0,'Données projet'!$E$14+1,1))-AVERAGE(OFFSET($H$3,0,0,'Données projet'!$E$14+1,1))</f>
        <v>651.35546372812314</v>
      </c>
      <c r="DU88" s="59">
        <f t="shared" si="98"/>
        <v>293.6561676213388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</v>
      </c>
      <c r="EB88" s="21">
        <f>EXP(-LN(2)/25)*EB87+(1-EXP(-LN(2)/25))/(LN(2)/25)*Calculateur!DW88*Calculateur!DY88*VLOOKUP('Données projet'!$B$14,Paramètres!$A$1:$I$89,3,0)*0.475*44/12</f>
        <v>51.162244462063228</v>
      </c>
      <c r="EC88" s="21">
        <f>EXP(-LN(2)/2)*EC87+(1-EXP(-LN(2)/2))/(LN(2)/2)*DW88*DZ88*VLOOKUP('Données projet'!$B$14,Paramètres!$A$1:$I$89,3,0)*0.475*44/12</f>
        <v>4.4333016244553374</v>
      </c>
      <c r="ED88" s="22">
        <f t="shared" si="72"/>
        <v>55.595546086518567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>
        <f>VLOOKUP(A88,'Données projet'!$A$191:$I$211,2,0)</f>
        <v>147.43589743589743</v>
      </c>
      <c r="EH88" s="12">
        <f>VLOOKUP(A88,'Données projet'!$A$191:$I$211,9,0)</f>
        <v>2.0512820512820498</v>
      </c>
      <c r="EI88" s="12">
        <f t="array" ref="EI88">INDEX(EH:EH,MIN(IF(ISNUMBER(EH88:EH284),ROW(EH88:EH284),"")))</f>
        <v>2.0512820512820498</v>
      </c>
      <c r="EJ88" s="12">
        <f>IF('Données projet'!$A$192&gt;35,EJ87+EI88-ER87,IF(A88&lt;'Données projet'!$A$192,$EG$205^A88,IF(A88='Données projet'!$A$192,'Données projet'!$B$192,EJ87+EI88-ER87)))</f>
        <v>147.43589743589752</v>
      </c>
      <c r="EK88" s="17">
        <f>EJ88*VLOOKUP('Données projet'!$B$15,Paramètres!$A$1:$I$89,3,0)*VLOOKUP('Données projet'!$B$15,Paramètres!$A$1:$I$89,5,0)</f>
        <v>154.10000000000011</v>
      </c>
      <c r="EL88" s="13">
        <f t="shared" si="99"/>
        <v>39.508857983748619</v>
      </c>
      <c r="EM88" s="20">
        <f t="shared" si="73"/>
        <v>337.20209432169565</v>
      </c>
      <c r="EN88" s="59">
        <f t="shared" si="74"/>
        <v>609.82455504997711</v>
      </c>
      <c r="EO88" s="59">
        <f ca="1">AVERAGE(OFFSET($EN$3,0,0,'Données projet'!$E$15+1,1))-AVERAGE(OFFSET($H$3,0,0,'Données projet'!$E$15+1,1))</f>
        <v>290.69667785754848</v>
      </c>
      <c r="EP88" s="59">
        <f t="shared" si="100"/>
        <v>256.28124185489082</v>
      </c>
      <c r="EQ88" s="15">
        <f>IF(ISNA(VLOOKUP(A88,'Données projet'!$A$191:$I$211,3,0)),0,VLOOKUP(A88,'Données projet'!$A$191:$I$211,3,0))</f>
        <v>14</v>
      </c>
      <c r="ER88" s="15">
        <f>IF(ISNA(VLOOKUP(A88,'Données projet'!$A$191:$I$211,4,0)),0,VLOOKUP(A88,'Données projet'!$A$191:$I$211,4,0))</f>
        <v>7.6923076923076916</v>
      </c>
      <c r="ES88" s="16">
        <f>IF(ISNA(VLOOKUP(A88,'Données projet'!$A$191:$I$211,5,0)),0%,VLOOKUP(A88,'Données projet'!$A$191:$I$211,5,0)*VLOOKUP('Données projet'!$B$15,Paramètres!$A$1:$I$89,7,0))</f>
        <v>4.3000000000000003E-2</v>
      </c>
      <c r="ET88" s="16">
        <f>IF(ISNA(VLOOKUP(A88,'Données projet'!$A$191:$I$211,6,0)),0%,VLOOKUP(A88,'Données projet'!$A$191:$I$211,6,0)*VLOOKUP('Données projet'!$B$15,Paramètres!$A$1:$I$89,7,0))</f>
        <v>0.215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2.5669726598472398</v>
      </c>
      <c r="EW88" s="21">
        <f>EXP(-LN(2)/25)*EW87+(1-EXP(-LN(2)/25))/(LN(2)/25)*Calculateur!ER88*Calculateur!ET88*VLOOKUP('Données projet'!$B$15,Paramètres!$A$1:$I$89,3,0)*0.475*44/12</f>
        <v>18.417850933954441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20.984823593801678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9.1730000000000018</v>
      </c>
      <c r="N89" s="13">
        <f>IF('Données projet'!$A$36&gt;35,N88+M89-V88,IF(A89&lt;'Données projet'!$A$36,$K$205^A89,IF(A89='Données projet'!$A$36,'Données projet'!$B$36,N88+M89-V88)))</f>
        <v>306.74600000000049</v>
      </c>
      <c r="O89" s="13">
        <f>N89*VLOOKUP('Données projet'!$B$9,Paramètres!$A$1:$I$89,3,0)*VLOOKUP('Données projet'!$B$9,Paramètres!$A$1:$I$89,5,0)</f>
        <v>311.04044400000055</v>
      </c>
      <c r="P89" s="13">
        <f t="shared" si="87"/>
        <v>73.486073899132336</v>
      </c>
      <c r="Q89" s="20">
        <f t="shared" si="54"/>
        <v>669.71701867432307</v>
      </c>
      <c r="R89" s="59">
        <f t="shared" si="55"/>
        <v>942.69876673972772</v>
      </c>
      <c r="S89" s="59">
        <f ca="1">AVERAGE(OFFSET($R$3,0,0,'Données projet'!$E$9+1,1))-AVERAGE(OFFSET($H$3,0,0,'Données projet'!$E$9+1,1))</f>
        <v>752.45542076695506</v>
      </c>
      <c r="T89" s="59">
        <f t="shared" si="88"/>
        <v>329.70629768420724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23.737216642955303</v>
      </c>
      <c r="AA89" s="21">
        <f>EXP(-LN(2)/25)*AA88+(1-EXP(-LN(2)/25))/(LN(2)/25)*Calculateur!V89*Calculateur!X89*VLOOKUP('Données projet'!$B$9,Paramètres!$A$1:$I$89,3,0)*0.475*44/12</f>
        <v>31.360249592843793</v>
      </c>
      <c r="AB89" s="21">
        <f>EXP(-LN(2)/2)*AB88+(1-EXP(-LN(2)/2))/(LN(2)/2)*V89*Y89*VLOOKUP('Données projet'!$B$9,Paramètres!$A$1:$I$89,3,0)*0.475*44/12</f>
        <v>3.2725883114313765</v>
      </c>
      <c r="AC89" s="22">
        <f t="shared" si="57"/>
        <v>58.370054547230474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408.246209980743</v>
      </c>
      <c r="AO89" s="59">
        <f t="shared" si="90"/>
        <v>394.10236303013903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50.683480375627688</v>
      </c>
      <c r="AV89" s="21">
        <f>EXP(-LN(2)/25)*AV88+(1-EXP(-LN(2)/25))/(LN(2)/25)*Calculateur!AQ89*Calculateur!AS89*VLOOKUP('Données projet'!$B$10,Paramètres!$A$1:$I$89,3,0)*0.475*44/12</f>
        <v>47.718744214931498</v>
      </c>
      <c r="AW89" s="21">
        <f>EXP(-LN(2)/2)*AW88+(1-EXP(-LN(2)/2))/(LN(2)/2)*AQ89*AT89*VLOOKUP('Données projet'!$B$10,Paramètres!$A$1:$I$89,3,0)*0.475*44/12</f>
        <v>8.5676323221727007</v>
      </c>
      <c r="AX89" s="21">
        <f t="shared" si="60"/>
        <v>106.96985691273188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9.1730000000000018</v>
      </c>
      <c r="BD89" s="12">
        <f>IF('Données projet'!$A$88&gt;35,BD88+BC89-BL88,IF(A89&lt;'Données projet'!$A$88,$BA$205^A89,IF(A89='Données projet'!$A$88,'Données projet'!$B$88,BD88+BC89-BL88)))</f>
        <v>306.74600000000049</v>
      </c>
      <c r="BE89" s="13">
        <f>BD89*VLOOKUP('Données projet'!$B$11,Paramètres!$A$1:$I$89,3,0)*VLOOKUP('Données projet'!$B$11,Paramètres!$A$1:$I$89,5,0)</f>
        <v>291.89949360000043</v>
      </c>
      <c r="BF89" s="13">
        <f t="shared" si="91"/>
        <v>69.475590302543566</v>
      </c>
      <c r="BG89" s="20">
        <f t="shared" si="61"/>
        <v>629.39493779693078</v>
      </c>
      <c r="BH89" s="59">
        <f t="shared" si="62"/>
        <v>902.37668586233553</v>
      </c>
      <c r="BI89" s="59">
        <f ca="1">AVERAGE(OFFSET($BH$3,0,0,'Données projet'!$E$11+1,1))-AVERAGE(OFFSET($H$3,0,0,'Données projet'!$E$11+1,1))</f>
        <v>711.91538686535682</v>
      </c>
      <c r="BJ89" s="59">
        <f t="shared" si="92"/>
        <v>313.24593837351722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22.276464849542663</v>
      </c>
      <c r="BQ89" s="21">
        <f>EXP(-LN(2)/25)*BQ88+(1-EXP(-LN(2)/25))/(LN(2)/25)*Calculateur!BL89*Calculateur!BN89*VLOOKUP('Données projet'!$B$11,Paramètres!$A$1:$I$89,3,0)*0.475*44/12</f>
        <v>29.430388079438014</v>
      </c>
      <c r="BR89" s="21">
        <f>EXP(-LN(2)/2)*BR88+(1-EXP(-LN(2)/2))/(LN(2)/2)*BL89*BO89*VLOOKUP('Données projet'!$B$11,Paramètres!$A$1:$I$89,3,0)*0.475*44/12</f>
        <v>3.0711982614971376</v>
      </c>
      <c r="BS89" s="22">
        <f t="shared" si="63"/>
        <v>54.778051190477818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9.1730000000000018</v>
      </c>
      <c r="BY89" s="12">
        <f>IF('Données projet'!$A$114&gt;35,BY88+BX89-CG88,IF(A89&lt;'Données projet'!$A$114,$BV$205^A89,IF(A89='Données projet'!$A$114,'Données projet'!$B$114,BY88+BX89-CG88)))</f>
        <v>306.74600000000049</v>
      </c>
      <c r="BZ89" s="13">
        <f>BY89*VLOOKUP('Données projet'!$B$12,Paramètres!$A$1:$I$89,3,0)*VLOOKUP('Données projet'!$B$12,Paramètres!$A$1:$I$89,5,0)</f>
        <v>277.54378080000043</v>
      </c>
      <c r="CA89" s="13">
        <f t="shared" si="93"/>
        <v>66.447673279805883</v>
      </c>
      <c r="CB89" s="20">
        <f t="shared" si="64"/>
        <v>599.11844918899601</v>
      </c>
      <c r="CC89" s="59">
        <f t="shared" si="65"/>
        <v>872.10019725440065</v>
      </c>
      <c r="CD89" s="59">
        <f ca="1">AVERAGE(OFFSET($CC$3,0,0,'Données projet'!$E$12+1,1))-AVERAGE(OFFSET($H$3,0,0,'Données projet'!$E$12+1,1))</f>
        <v>681.47578137804555</v>
      </c>
      <c r="CE89" s="59">
        <f t="shared" si="94"/>
        <v>300.88511065995885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21.180901004483189</v>
      </c>
      <c r="CL89" s="21">
        <f>EXP(-LN(2)/25)*CL88+(1-EXP(-LN(2)/25))/(LN(2)/25)*Calculateur!CG89*Calculateur!CI89*VLOOKUP('Données projet'!$B$12,Paramètres!$A$1:$I$89,3,0)*0.475*44/12</f>
        <v>27.982991944383691</v>
      </c>
      <c r="CM89" s="21">
        <f>EXP(-LN(2)/2)*CM88+(1-EXP(-LN(2)/2))/(LN(2)/2)*CG89*CJ89*VLOOKUP('Données projet'!$B$12,Paramètres!$A$1:$I$89,3,0)*0.475*44/12</f>
        <v>2.9201557240464586</v>
      </c>
      <c r="CN89" s="22">
        <f t="shared" si="66"/>
        <v>52.08404867291334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1.9230769230769227</v>
      </c>
      <c r="CT89" s="12">
        <f>IF('Données projet'!$A$140&gt;35,CT88+CS89-DB88,IF(A89&lt;'Données projet'!$A$140,$CQ$205^A89,IF(A89='Données projet'!$A$140,'Données projet'!$B$140,CT88+CS89-DB88)))</f>
        <v>121.79487179487171</v>
      </c>
      <c r="CU89" s="17">
        <f>CT89*VLOOKUP('Données projet'!$B$13,Paramètres!$A$1:$I$89,3,0)*VLOOKUP('Données projet'!$B$13,Paramètres!$A$1:$I$89,5,0)</f>
        <v>98.79999999999994</v>
      </c>
      <c r="CV89" s="13">
        <f t="shared" si="95"/>
        <v>26.675913537633271</v>
      </c>
      <c r="CW89" s="20">
        <f t="shared" si="67"/>
        <v>218.53721607804448</v>
      </c>
      <c r="CX89" s="59">
        <f t="shared" si="68"/>
        <v>491.51896414344918</v>
      </c>
      <c r="CY89" s="59">
        <f ca="1">AVERAGE(OFFSET($CX$3,0,0,'Données projet'!$E$13+1,1))-AVERAGE(OFFSET($H$3,0,0,'Données projet'!$E$13+1,1))</f>
        <v>186.54446846714993</v>
      </c>
      <c r="CZ89" s="59">
        <f t="shared" si="96"/>
        <v>154.43773051601286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</v>
      </c>
      <c r="DG89" s="21">
        <f>EXP(-LN(2)/25)*DG88+(1-EXP(-LN(2)/25))/(LN(2)/25)*Calculateur!DB89*Calculateur!DD89*VLOOKUP('Données projet'!$B$13,Paramètres!$A$1:$I$89,3,0)*0.475*44/12</f>
        <v>4.1850558775645927</v>
      </c>
      <c r="DH89" s="21">
        <f>EXP(-LN(2)/2)*DH88+(1-EXP(-LN(2)/2))/(LN(2)/2)*DB89*DE89*VLOOKUP('Données projet'!$B$13,Paramètres!$A$1:$I$89,3,0)*0.475*44/12</f>
        <v>1.0721985827728031</v>
      </c>
      <c r="DI89" s="22">
        <f t="shared" si="69"/>
        <v>5.2572544603373963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6.8999999999999968</v>
      </c>
      <c r="DO89" s="12">
        <f>IF('Données projet'!$A$166&gt;35,DO88+DN89-DW88,IF(A89&lt;'Données projet'!$A$166,$DL$205^A89,IF(A89='Données projet'!$A$166,'Données projet'!$B$166,DO88+DN89-DW88)))</f>
        <v>213.79000000000019</v>
      </c>
      <c r="DP89" s="17">
        <f>DO89*VLOOKUP('Données projet'!$B$14,Paramètres!$A$1:$I$89,3,0)*VLOOKUP('Données projet'!$B$14,Paramètres!$A$1:$I$89,5,0)</f>
        <v>243.46405200000024</v>
      </c>
      <c r="DQ89" s="13">
        <f t="shared" si="97"/>
        <v>59.184215399395214</v>
      </c>
      <c r="DR89" s="20">
        <f t="shared" si="70"/>
        <v>527.11239905394689</v>
      </c>
      <c r="DS89" s="59">
        <f t="shared" si="71"/>
        <v>800.09414711935165</v>
      </c>
      <c r="DT89" s="59">
        <f ca="1">AVERAGE(OFFSET($DS$3,0,0,'Données projet'!$E$14+1,1))-AVERAGE(OFFSET($H$3,0,0,'Données projet'!$E$14+1,1))</f>
        <v>651.35546372812314</v>
      </c>
      <c r="DU89" s="59">
        <f t="shared" si="98"/>
        <v>293.6561676213388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</v>
      </c>
      <c r="EB89" s="21">
        <f>EXP(-LN(2)/25)*EB88+(1-EXP(-LN(2)/25))/(LN(2)/25)*Calculateur!DW89*Calculateur!DY89*VLOOKUP('Données projet'!$B$14,Paramètres!$A$1:$I$89,3,0)*0.475*44/12</f>
        <v>49.763210196742605</v>
      </c>
      <c r="EC89" s="21">
        <f>EXP(-LN(2)/2)*EC88+(1-EXP(-LN(2)/2))/(LN(2)/2)*DW89*DZ89*VLOOKUP('Données projet'!$B$14,Paramètres!$A$1:$I$89,3,0)*0.475*44/12</f>
        <v>3.134817641697706</v>
      </c>
      <c r="ED89" s="22">
        <f t="shared" si="72"/>
        <v>52.898027838440314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1.9230769230769169</v>
      </c>
      <c r="EJ89" s="12">
        <f>IF('Données projet'!$A$192&gt;35,EJ88+EI89-ER88,IF(A89&lt;'Données projet'!$A$192,$EG$205^A89,IF(A89='Données projet'!$A$192,'Données projet'!$B$192,EJ88+EI89-ER88)))</f>
        <v>141.66666666666674</v>
      </c>
      <c r="EK89" s="17">
        <f>EJ89*VLOOKUP('Données projet'!$B$15,Paramètres!$A$1:$I$89,3,0)*VLOOKUP('Données projet'!$B$15,Paramètres!$A$1:$I$89,5,0)</f>
        <v>148.07000000000011</v>
      </c>
      <c r="EL89" s="13">
        <f t="shared" si="99"/>
        <v>38.13965617111247</v>
      </c>
      <c r="EM89" s="20">
        <f t="shared" si="73"/>
        <v>324.31515116468773</v>
      </c>
      <c r="EN89" s="59">
        <f t="shared" si="74"/>
        <v>597.29689923009244</v>
      </c>
      <c r="EO89" s="59">
        <f ca="1">AVERAGE(OFFSET($EN$3,0,0,'Données projet'!$E$15+1,1))-AVERAGE(OFFSET($H$3,0,0,'Données projet'!$E$15+1,1))</f>
        <v>290.69667785754848</v>
      </c>
      <c r="EP89" s="59">
        <f t="shared" si="100"/>
        <v>256.28124185489082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2.516635891686358</v>
      </c>
      <c r="EW89" s="21">
        <f>EXP(-LN(2)/25)*EW88+(1-EXP(-LN(2)/25))/(LN(2)/25)*Calculateur!ER89*Calculateur!ET89*VLOOKUP('Données projet'!$B$15,Paramètres!$A$1:$I$89,3,0)*0.475*44/12</f>
        <v>17.91421383161277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20.430849723299129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9.1730000000000018</v>
      </c>
      <c r="N90" s="13">
        <f>IF('Données projet'!$A$36&gt;35,N89+M90-V89,IF(A90&lt;'Données projet'!$A$36,$K$205^A90,IF(A90='Données projet'!$A$36,'Données projet'!$B$36,N89+M90-V89)))</f>
        <v>315.91900000000049</v>
      </c>
      <c r="O90" s="13">
        <f>N90*VLOOKUP('Données projet'!$B$9,Paramètres!$A$1:$I$89,3,0)*VLOOKUP('Données projet'!$B$9,Paramètres!$A$1:$I$89,5,0)</f>
        <v>320.34186600000049</v>
      </c>
      <c r="P90" s="13">
        <f t="shared" si="87"/>
        <v>75.424481111671</v>
      </c>
      <c r="Q90" s="20">
        <f t="shared" si="54"/>
        <v>689.29305455282781</v>
      </c>
      <c r="R90" s="59">
        <f t="shared" si="55"/>
        <v>962.62785712330265</v>
      </c>
      <c r="S90" s="59">
        <f ca="1">AVERAGE(OFFSET($R$3,0,0,'Données projet'!$E$9+1,1))-AVERAGE(OFFSET($H$3,0,0,'Données projet'!$E$9+1,1))</f>
        <v>752.45542076695506</v>
      </c>
      <c r="T90" s="59">
        <f t="shared" si="88"/>
        <v>329.70629768420724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23.271744302859492</v>
      </c>
      <c r="AA90" s="21">
        <f>EXP(-LN(2)/25)*AA89+(1-EXP(-LN(2)/25))/(LN(2)/25)*Calculateur!V90*Calculateur!X90*VLOOKUP('Données projet'!$B$9,Paramètres!$A$1:$I$89,3,0)*0.475*44/12</f>
        <v>30.502701918563627</v>
      </c>
      <c r="AB90" s="21">
        <f>EXP(-LN(2)/2)*AB89+(1-EXP(-LN(2)/2))/(LN(2)/2)*V90*Y90*VLOOKUP('Données projet'!$B$9,Paramètres!$A$1:$I$89,3,0)*0.475*44/12</f>
        <v>2.3140693870449596</v>
      </c>
      <c r="AC90" s="22">
        <f t="shared" si="57"/>
        <v>56.088515608468079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408.246209980743</v>
      </c>
      <c r="AO90" s="59">
        <f t="shared" si="90"/>
        <v>394.10236303013903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49.689608239332166</v>
      </c>
      <c r="AV90" s="21">
        <f>EXP(-LN(2)/25)*AV89+(1-EXP(-LN(2)/25))/(LN(2)/25)*Calculateur!AQ90*Calculateur!AS90*VLOOKUP('Données projet'!$B$10,Paramètres!$A$1:$I$89,3,0)*0.475*44/12</f>
        <v>46.413872644954502</v>
      </c>
      <c r="AW90" s="21">
        <f>EXP(-LN(2)/2)*AW89+(1-EXP(-LN(2)/2))/(LN(2)/2)*AQ90*AT90*VLOOKUP('Données projet'!$B$10,Paramètres!$A$1:$I$89,3,0)*0.475*44/12</f>
        <v>6.0582309137213644</v>
      </c>
      <c r="AX90" s="21">
        <f t="shared" si="60"/>
        <v>102.16171179800803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9.1730000000000018</v>
      </c>
      <c r="BD90" s="12">
        <f>IF('Données projet'!$A$88&gt;35,BD89+BC90-BL89,IF(A90&lt;'Données projet'!$A$88,$BA$205^A90,IF(A90='Données projet'!$A$88,'Données projet'!$B$88,BD89+BC90-BL89)))</f>
        <v>315.91900000000049</v>
      </c>
      <c r="BE90" s="13">
        <f>BD90*VLOOKUP('Données projet'!$B$11,Paramètres!$A$1:$I$89,3,0)*VLOOKUP('Données projet'!$B$11,Paramètres!$A$1:$I$89,5,0)</f>
        <v>300.62852040000047</v>
      </c>
      <c r="BF90" s="13">
        <f t="shared" si="91"/>
        <v>71.308209439642781</v>
      </c>
      <c r="BG90" s="20">
        <f t="shared" si="61"/>
        <v>647.78980447071194</v>
      </c>
      <c r="BH90" s="59">
        <f t="shared" si="62"/>
        <v>921.12460704118678</v>
      </c>
      <c r="BI90" s="59">
        <f ca="1">AVERAGE(OFFSET($BH$3,0,0,'Données projet'!$E$11+1,1))-AVERAGE(OFFSET($H$3,0,0,'Données projet'!$E$11+1,1))</f>
        <v>711.91538686535682</v>
      </c>
      <c r="BJ90" s="59">
        <f t="shared" si="92"/>
        <v>313.24593837351722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21.839636961145054</v>
      </c>
      <c r="BQ90" s="21">
        <f>EXP(-LN(2)/25)*BQ89+(1-EXP(-LN(2)/25))/(LN(2)/25)*Calculateur!BL90*Calculateur!BN90*VLOOKUP('Données projet'!$B$11,Paramètres!$A$1:$I$89,3,0)*0.475*44/12</f>
        <v>28.625612569728936</v>
      </c>
      <c r="BR90" s="21">
        <f>EXP(-LN(2)/2)*BR89+(1-EXP(-LN(2)/2))/(LN(2)/2)*BL90*BO90*VLOOKUP('Données projet'!$B$11,Paramètres!$A$1:$I$89,3,0)*0.475*44/12</f>
        <v>2.1716651170729619</v>
      </c>
      <c r="BS90" s="22">
        <f t="shared" si="63"/>
        <v>52.636914647946952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9.1730000000000018</v>
      </c>
      <c r="BY90" s="12">
        <f>IF('Données projet'!$A$114&gt;35,BY89+BX90-CG89,IF(A90&lt;'Données projet'!$A$114,$BV$205^A90,IF(A90='Données projet'!$A$114,'Données projet'!$B$114,BY89+BX90-CG89)))</f>
        <v>315.91900000000049</v>
      </c>
      <c r="BZ90" s="13">
        <f>BY90*VLOOKUP('Données projet'!$B$12,Paramètres!$A$1:$I$89,3,0)*VLOOKUP('Données projet'!$B$12,Paramètres!$A$1:$I$89,5,0)</f>
        <v>285.84351120000042</v>
      </c>
      <c r="CA90" s="13">
        <f t="shared" si="93"/>
        <v>68.200422369637309</v>
      </c>
      <c r="CB90" s="20">
        <f t="shared" si="64"/>
        <v>616.62651763378562</v>
      </c>
      <c r="CC90" s="59">
        <f t="shared" si="65"/>
        <v>889.96132020426046</v>
      </c>
      <c r="CD90" s="59">
        <f ca="1">AVERAGE(OFFSET($CC$3,0,0,'Données projet'!$E$12+1,1))-AVERAGE(OFFSET($H$3,0,0,'Données projet'!$E$12+1,1))</f>
        <v>681.47578137804555</v>
      </c>
      <c r="CE90" s="59">
        <f t="shared" si="94"/>
        <v>300.88511065995885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20.765556454859233</v>
      </c>
      <c r="CL90" s="21">
        <f>EXP(-LN(2)/25)*CL89+(1-EXP(-LN(2)/25))/(LN(2)/25)*Calculateur!CG90*Calculateur!CI90*VLOOKUP('Données projet'!$B$12,Paramètres!$A$1:$I$89,3,0)*0.475*44/12</f>
        <v>27.217795558102928</v>
      </c>
      <c r="CM90" s="21">
        <f>EXP(-LN(2)/2)*CM89+(1-EXP(-LN(2)/2))/(LN(2)/2)*CG90*CJ90*VLOOKUP('Données projet'!$B$12,Paramètres!$A$1:$I$89,3,0)*0.475*44/12</f>
        <v>2.0648619145939637</v>
      </c>
      <c r="CN90" s="22">
        <f t="shared" si="66"/>
        <v>50.04821392755612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1.9230769230769227</v>
      </c>
      <c r="CT90" s="12">
        <f>IF('Données projet'!$A$140&gt;35,CT89+CS90-DB89,IF(A90&lt;'Données projet'!$A$140,$CQ$205^A90,IF(A90='Données projet'!$A$140,'Données projet'!$B$140,CT89+CS90-DB89)))</f>
        <v>123.71794871794863</v>
      </c>
      <c r="CU90" s="17">
        <f>CT90*VLOOKUP('Données projet'!$B$13,Paramètres!$A$1:$I$89,3,0)*VLOOKUP('Données projet'!$B$13,Paramètres!$A$1:$I$89,5,0)</f>
        <v>100.35999999999993</v>
      </c>
      <c r="CV90" s="13">
        <f t="shared" si="95"/>
        <v>27.047744638609704</v>
      </c>
      <c r="CW90" s="20">
        <f t="shared" si="67"/>
        <v>221.90182191224508</v>
      </c>
      <c r="CX90" s="59">
        <f t="shared" si="68"/>
        <v>495.23662448271989</v>
      </c>
      <c r="CY90" s="59">
        <f ca="1">AVERAGE(OFFSET($CX$3,0,0,'Données projet'!$E$13+1,1))-AVERAGE(OFFSET($H$3,0,0,'Données projet'!$E$13+1,1))</f>
        <v>186.54446846714993</v>
      </c>
      <c r="CZ90" s="59">
        <f t="shared" si="96"/>
        <v>154.43773051601286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</v>
      </c>
      <c r="DG90" s="21">
        <f>EXP(-LN(2)/25)*DG89+(1-EXP(-LN(2)/25))/(LN(2)/25)*Calculateur!DB90*Calculateur!DD90*VLOOKUP('Données projet'!$B$13,Paramètres!$A$1:$I$89,3,0)*0.475*44/12</f>
        <v>4.0706153045100653</v>
      </c>
      <c r="DH90" s="21">
        <f>EXP(-LN(2)/2)*DH89+(1-EXP(-LN(2)/2))/(LN(2)/2)*DB90*DE90*VLOOKUP('Données projet'!$B$13,Paramètres!$A$1:$I$89,3,0)*0.475*44/12</f>
        <v>0.75815888865725489</v>
      </c>
      <c r="DI90" s="22">
        <f t="shared" si="69"/>
        <v>4.8287741931673205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6.8999999999999968</v>
      </c>
      <c r="DO90" s="12">
        <f>IF('Données projet'!$A$166&gt;35,DO89+DN90-DW89,IF(A90&lt;'Données projet'!$A$166,$DL$205^A90,IF(A90='Données projet'!$A$166,'Données projet'!$B$166,DO89+DN90-DW89)))</f>
        <v>220.6900000000002</v>
      </c>
      <c r="DP90" s="17">
        <f>DO90*VLOOKUP('Données projet'!$B$14,Paramètres!$A$1:$I$89,3,0)*VLOOKUP('Données projet'!$B$14,Paramètres!$A$1:$I$89,5,0)</f>
        <v>251.32177200000024</v>
      </c>
      <c r="DQ90" s="13">
        <f t="shared" si="97"/>
        <v>60.868891510417718</v>
      </c>
      <c r="DR90" s="20">
        <f t="shared" si="70"/>
        <v>543.7320722806445</v>
      </c>
      <c r="DS90" s="59">
        <f t="shared" si="71"/>
        <v>817.06687485111934</v>
      </c>
      <c r="DT90" s="59">
        <f ca="1">AVERAGE(OFFSET($DS$3,0,0,'Données projet'!$E$14+1,1))-AVERAGE(OFFSET($H$3,0,0,'Données projet'!$E$14+1,1))</f>
        <v>651.35546372812314</v>
      </c>
      <c r="DU90" s="59">
        <f t="shared" si="98"/>
        <v>293.6561676213388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</v>
      </c>
      <c r="EB90" s="21">
        <f>EXP(-LN(2)/25)*EB89+(1-EXP(-LN(2)/25))/(LN(2)/25)*Calculateur!DW90*Calculateur!DY90*VLOOKUP('Données projet'!$B$14,Paramètres!$A$1:$I$89,3,0)*0.475*44/12</f>
        <v>48.402432596979189</v>
      </c>
      <c r="EC90" s="21">
        <f>EXP(-LN(2)/2)*EC89+(1-EXP(-LN(2)/2))/(LN(2)/2)*DW90*DZ90*VLOOKUP('Données projet'!$B$14,Paramètres!$A$1:$I$89,3,0)*0.475*44/12</f>
        <v>2.2166508122276691</v>
      </c>
      <c r="ED90" s="22">
        <f t="shared" si="72"/>
        <v>50.619083409206858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1.9230769230769169</v>
      </c>
      <c r="EJ90" s="12">
        <f>IF('Données projet'!$A$192&gt;35,EJ89+EI90-ER89,IF(A90&lt;'Données projet'!$A$192,$EG$205^A90,IF(A90='Données projet'!$A$192,'Données projet'!$B$192,EJ89+EI90-ER89)))</f>
        <v>143.58974358974365</v>
      </c>
      <c r="EK90" s="17">
        <f>EJ90*VLOOKUP('Données projet'!$B$15,Paramètres!$A$1:$I$89,3,0)*VLOOKUP('Données projet'!$B$15,Paramètres!$A$1:$I$89,5,0)</f>
        <v>150.08000000000007</v>
      </c>
      <c r="EL90" s="13">
        <f t="shared" si="99"/>
        <v>38.596765343718673</v>
      </c>
      <c r="EM90" s="20">
        <f t="shared" si="73"/>
        <v>328.61203297364347</v>
      </c>
      <c r="EN90" s="59">
        <f t="shared" si="74"/>
        <v>601.94683554411836</v>
      </c>
      <c r="EO90" s="59">
        <f ca="1">AVERAGE(OFFSET($EN$3,0,0,'Données projet'!$E$15+1,1))-AVERAGE(OFFSET($H$3,0,0,'Données projet'!$E$15+1,1))</f>
        <v>290.69667785754848</v>
      </c>
      <c r="EP90" s="59">
        <f t="shared" si="100"/>
        <v>256.28124185489082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2.4672861968467141</v>
      </c>
      <c r="EW90" s="21">
        <f>EXP(-LN(2)/25)*EW89+(1-EXP(-LN(2)/25))/(LN(2)/25)*Calculateur!ER90*Calculateur!ET90*VLOOKUP('Données projet'!$B$15,Paramètres!$A$1:$I$89,3,0)*0.475*44/12</f>
        <v>17.424348712319755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19.89163490916647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9.1730000000000018</v>
      </c>
      <c r="N91" s="13">
        <f>IF('Données projet'!$A$36&gt;35,N90+M91-V90,IF(A91&lt;'Données projet'!$A$36,$K$205^A91,IF(A91='Données projet'!$A$36,'Données projet'!$B$36,N90+M91-V90)))</f>
        <v>325.0920000000005</v>
      </c>
      <c r="O91" s="13">
        <f>N91*VLOOKUP('Données projet'!$B$9,Paramètres!$A$1:$I$89,3,0)*VLOOKUP('Données projet'!$B$9,Paramètres!$A$1:$I$89,5,0)</f>
        <v>329.64328800000055</v>
      </c>
      <c r="P91" s="13">
        <f t="shared" si="87"/>
        <v>77.356347018802538</v>
      </c>
      <c r="Q91" s="20">
        <f t="shared" si="54"/>
        <v>708.85769765774864</v>
      </c>
      <c r="R91" s="59">
        <f t="shared" si="55"/>
        <v>982.53943002694234</v>
      </c>
      <c r="S91" s="59">
        <f ca="1">AVERAGE(OFFSET($R$3,0,0,'Données projet'!$E$9+1,1))-AVERAGE(OFFSET($H$3,0,0,'Données projet'!$E$9+1,1))</f>
        <v>752.45542076695506</v>
      </c>
      <c r="T91" s="59">
        <f t="shared" si="88"/>
        <v>329.70629768420724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22.815399591442866</v>
      </c>
      <c r="AA91" s="21">
        <f>EXP(-LN(2)/25)*AA90+(1-EXP(-LN(2)/25))/(LN(2)/25)*Calculateur!V91*Calculateur!X91*VLOOKUP('Données projet'!$B$9,Paramètres!$A$1:$I$89,3,0)*0.475*44/12</f>
        <v>29.668603930533127</v>
      </c>
      <c r="AB91" s="21">
        <f>EXP(-LN(2)/2)*AB90+(1-EXP(-LN(2)/2))/(LN(2)/2)*V91*Y91*VLOOKUP('Données projet'!$B$9,Paramètres!$A$1:$I$89,3,0)*0.475*44/12</f>
        <v>1.6362941557156885</v>
      </c>
      <c r="AC91" s="22">
        <f t="shared" si="57"/>
        <v>54.120297677691681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408.246209980743</v>
      </c>
      <c r="AO91" s="59">
        <f t="shared" si="90"/>
        <v>394.10236303013903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48.715225329427255</v>
      </c>
      <c r="AV91" s="21">
        <f>EXP(-LN(2)/25)*AV90+(1-EXP(-LN(2)/25))/(LN(2)/25)*Calculateur!AQ91*Calculateur!AS91*VLOOKUP('Données projet'!$B$10,Paramètres!$A$1:$I$89,3,0)*0.475*44/12</f>
        <v>45.144682856678742</v>
      </c>
      <c r="AW91" s="21">
        <f>EXP(-LN(2)/2)*AW90+(1-EXP(-LN(2)/2))/(LN(2)/2)*AQ91*AT91*VLOOKUP('Données projet'!$B$10,Paramètres!$A$1:$I$89,3,0)*0.475*44/12</f>
        <v>4.2838161610863512</v>
      </c>
      <c r="AX91" s="21">
        <f t="shared" si="60"/>
        <v>98.143724347192347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9.1730000000000018</v>
      </c>
      <c r="BD91" s="12">
        <f>IF('Données projet'!$A$88&gt;35,BD90+BC91-BL90,IF(A91&lt;'Données projet'!$A$88,$BA$205^A91,IF(A91='Données projet'!$A$88,'Données projet'!$B$88,BD90+BC91-BL90)))</f>
        <v>325.0920000000005</v>
      </c>
      <c r="BE91" s="13">
        <f>BD91*VLOOKUP('Données projet'!$B$11,Paramètres!$A$1:$I$89,3,0)*VLOOKUP('Données projet'!$B$11,Paramètres!$A$1:$I$89,5,0)</f>
        <v>309.35754720000051</v>
      </c>
      <c r="BF91" s="13">
        <f t="shared" si="91"/>
        <v>73.134644261396232</v>
      </c>
      <c r="BG91" s="20">
        <f t="shared" si="61"/>
        <v>666.17390012859926</v>
      </c>
      <c r="BH91" s="59">
        <f t="shared" si="62"/>
        <v>939.85563249779295</v>
      </c>
      <c r="BI91" s="59">
        <f ca="1">AVERAGE(OFFSET($BH$3,0,0,'Données projet'!$E$11+1,1))-AVERAGE(OFFSET($H$3,0,0,'Données projet'!$E$11+1,1))</f>
        <v>711.91538686535682</v>
      </c>
      <c r="BJ91" s="59">
        <f t="shared" si="92"/>
        <v>313.24593837351722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21.41137500120022</v>
      </c>
      <c r="BQ91" s="21">
        <f>EXP(-LN(2)/25)*BQ90+(1-EXP(-LN(2)/25))/(LN(2)/25)*Calculateur!BL91*Calculateur!BN91*VLOOKUP('Données projet'!$B$11,Paramètres!$A$1:$I$89,3,0)*0.475*44/12</f>
        <v>27.84284368865416</v>
      </c>
      <c r="BR91" s="21">
        <f>EXP(-LN(2)/2)*BR90+(1-EXP(-LN(2)/2))/(LN(2)/2)*BL91*BO91*VLOOKUP('Données projet'!$B$11,Paramètres!$A$1:$I$89,3,0)*0.475*44/12</f>
        <v>1.535599130748569</v>
      </c>
      <c r="BS91" s="22">
        <f t="shared" si="63"/>
        <v>50.789817820602956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9.1730000000000018</v>
      </c>
      <c r="BY91" s="12">
        <f>IF('Données projet'!$A$114&gt;35,BY90+BX91-CG90,IF(A91&lt;'Données projet'!$A$114,$BV$205^A91,IF(A91='Données projet'!$A$114,'Données projet'!$B$114,BY90+BX91-CG90)))</f>
        <v>325.0920000000005</v>
      </c>
      <c r="BZ91" s="13">
        <f>BY91*VLOOKUP('Données projet'!$B$12,Paramètres!$A$1:$I$89,3,0)*VLOOKUP('Données projet'!$B$12,Paramètres!$A$1:$I$89,5,0)</f>
        <v>294.14324160000047</v>
      </c>
      <c r="CA91" s="13">
        <f t="shared" si="93"/>
        <v>69.947256671789191</v>
      </c>
      <c r="CB91" s="20">
        <f t="shared" si="64"/>
        <v>634.12428449003357</v>
      </c>
      <c r="CC91" s="59">
        <f t="shared" si="65"/>
        <v>907.80601685922727</v>
      </c>
      <c r="CD91" s="59">
        <f ca="1">AVERAGE(OFFSET($CC$3,0,0,'Données projet'!$E$12+1,1))-AVERAGE(OFFSET($H$3,0,0,'Données projet'!$E$12+1,1))</f>
        <v>681.47578137804555</v>
      </c>
      <c r="CE91" s="59">
        <f t="shared" si="94"/>
        <v>300.88511065995885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20.358356558518242</v>
      </c>
      <c r="CL91" s="21">
        <f>EXP(-LN(2)/25)*CL90+(1-EXP(-LN(2)/25))/(LN(2)/25)*Calculateur!CG91*Calculateur!CI91*VLOOKUP('Données projet'!$B$12,Paramètres!$A$1:$I$89,3,0)*0.475*44/12</f>
        <v>26.473523507244941</v>
      </c>
      <c r="CM91" s="21">
        <f>EXP(-LN(2)/2)*CM90+(1-EXP(-LN(2)/2))/(LN(2)/2)*CG91*CJ91*VLOOKUP('Données projet'!$B$12,Paramètres!$A$1:$I$89,3,0)*0.475*44/12</f>
        <v>1.4600778620232295</v>
      </c>
      <c r="CN91" s="22">
        <f t="shared" si="66"/>
        <v>48.291957927786413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1.9230769230769227</v>
      </c>
      <c r="CT91" s="12">
        <f>IF('Données projet'!$A$140&gt;35,CT90+CS91-DB90,IF(A91&lt;'Données projet'!$A$140,$CQ$205^A91,IF(A91='Données projet'!$A$140,'Données projet'!$B$140,CT90+CS91-DB90)))</f>
        <v>125.64102564102555</v>
      </c>
      <c r="CU91" s="17">
        <f>CT91*VLOOKUP('Données projet'!$B$13,Paramètres!$A$1:$I$89,3,0)*VLOOKUP('Données projet'!$B$13,Paramètres!$A$1:$I$89,5,0)</f>
        <v>101.91999999999993</v>
      </c>
      <c r="CV91" s="13">
        <f t="shared" si="95"/>
        <v>27.418903555387619</v>
      </c>
      <c r="CW91" s="20">
        <f t="shared" si="67"/>
        <v>225.2652570256333</v>
      </c>
      <c r="CX91" s="59">
        <f t="shared" si="68"/>
        <v>498.94698939482703</v>
      </c>
      <c r="CY91" s="59">
        <f ca="1">AVERAGE(OFFSET($CX$3,0,0,'Données projet'!$E$13+1,1))-AVERAGE(OFFSET($H$3,0,0,'Données projet'!$E$13+1,1))</f>
        <v>186.54446846714993</v>
      </c>
      <c r="CZ91" s="59">
        <f t="shared" si="96"/>
        <v>154.43773051601286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</v>
      </c>
      <c r="DG91" s="21">
        <f>EXP(-LN(2)/25)*DG90+(1-EXP(-LN(2)/25))/(LN(2)/25)*Calculateur!DB91*Calculateur!DD91*VLOOKUP('Données projet'!$B$13,Paramètres!$A$1:$I$89,3,0)*0.475*44/12</f>
        <v>3.9593041149438823</v>
      </c>
      <c r="DH91" s="21">
        <f>EXP(-LN(2)/2)*DH90+(1-EXP(-LN(2)/2))/(LN(2)/2)*DB91*DE91*VLOOKUP('Données projet'!$B$13,Paramètres!$A$1:$I$89,3,0)*0.475*44/12</f>
        <v>0.53609929138640167</v>
      </c>
      <c r="DI91" s="22">
        <f t="shared" si="69"/>
        <v>4.4954034063302837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6.8999999999999968</v>
      </c>
      <c r="DO91" s="12">
        <f>IF('Données projet'!$A$166&gt;35,DO90+DN91-DW90,IF(A91&lt;'Données projet'!$A$166,$DL$205^A91,IF(A91='Données projet'!$A$166,'Données projet'!$B$166,DO90+DN91-DW90)))</f>
        <v>227.5900000000002</v>
      </c>
      <c r="DP91" s="17">
        <f>DO91*VLOOKUP('Données projet'!$B$14,Paramètres!$A$1:$I$89,3,0)*VLOOKUP('Données projet'!$B$14,Paramètres!$A$1:$I$89,5,0)</f>
        <v>259.17949200000027</v>
      </c>
      <c r="DQ91" s="13">
        <f t="shared" si="97"/>
        <v>62.547446646954079</v>
      </c>
      <c r="DR91" s="20">
        <f t="shared" si="70"/>
        <v>560.34108481011219</v>
      </c>
      <c r="DS91" s="59">
        <f t="shared" si="71"/>
        <v>834.02281717930589</v>
      </c>
      <c r="DT91" s="59">
        <f ca="1">AVERAGE(OFFSET($DS$3,0,0,'Données projet'!$E$14+1,1))-AVERAGE(OFFSET($H$3,0,0,'Données projet'!$E$14+1,1))</f>
        <v>651.35546372812314</v>
      </c>
      <c r="DU91" s="59">
        <f t="shared" si="98"/>
        <v>293.6561676213388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</v>
      </c>
      <c r="EB91" s="21">
        <f>EXP(-LN(2)/25)*EB90+(1-EXP(-LN(2)/25))/(LN(2)/25)*Calculateur!DW91*Calculateur!DY91*VLOOKUP('Données projet'!$B$14,Paramètres!$A$1:$I$89,3,0)*0.475*44/12</f>
        <v>47.078865532241487</v>
      </c>
      <c r="EC91" s="21">
        <f>EXP(-LN(2)/2)*EC90+(1-EXP(-LN(2)/2))/(LN(2)/2)*DW91*DZ91*VLOOKUP('Données projet'!$B$14,Paramètres!$A$1:$I$89,3,0)*0.475*44/12</f>
        <v>1.5674088208488535</v>
      </c>
      <c r="ED91" s="22">
        <f t="shared" si="72"/>
        <v>48.646274353090341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1.9230769230769169</v>
      </c>
      <c r="EJ91" s="12">
        <f>IF('Données projet'!$A$192&gt;35,EJ90+EI91-ER90,IF(A91&lt;'Données projet'!$A$192,$EG$205^A91,IF(A91='Données projet'!$A$192,'Données projet'!$B$192,EJ90+EI91-ER90)))</f>
        <v>145.51282051282055</v>
      </c>
      <c r="EK91" s="17">
        <f>EJ91*VLOOKUP('Données projet'!$B$15,Paramètres!$A$1:$I$89,3,0)*VLOOKUP('Données projet'!$B$15,Paramètres!$A$1:$I$89,5,0)</f>
        <v>152.09000000000006</v>
      </c>
      <c r="EL91" s="13">
        <f t="shared" si="99"/>
        <v>39.053162448424146</v>
      </c>
      <c r="EM91" s="20">
        <f t="shared" si="73"/>
        <v>332.90767459767216</v>
      </c>
      <c r="EN91" s="59">
        <f t="shared" si="74"/>
        <v>606.58940696686591</v>
      </c>
      <c r="EO91" s="59">
        <f ca="1">AVERAGE(OFFSET($EN$3,0,0,'Données projet'!$E$15+1,1))-AVERAGE(OFFSET($H$3,0,0,'Données projet'!$E$15+1,1))</f>
        <v>290.69667785754848</v>
      </c>
      <c r="EP91" s="59">
        <f t="shared" si="100"/>
        <v>256.28124185489082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2.4189042194225339</v>
      </c>
      <c r="EW91" s="21">
        <f>EXP(-LN(2)/25)*EW90+(1-EXP(-LN(2)/25))/(LN(2)/25)*Calculateur!ER91*Calculateur!ET91*VLOOKUP('Données projet'!$B$15,Paramètres!$A$1:$I$89,3,0)*0.475*44/12</f>
        <v>16.947878980474698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19.366783199897231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9.1730000000000018</v>
      </c>
      <c r="N92" s="13">
        <f>IF('Données projet'!$A$36&gt;35,N91+M92-V91,IF(A92&lt;'Données projet'!$A$36,$K$205^A92,IF(A92='Données projet'!$A$36,'Données projet'!$B$36,N91+M92-V91)))</f>
        <v>334.2650000000005</v>
      </c>
      <c r="O92" s="13">
        <f>N92*VLOOKUP('Données projet'!$B$9,Paramètres!$A$1:$I$89,3,0)*VLOOKUP('Données projet'!$B$9,Paramètres!$A$1:$I$89,5,0)</f>
        <v>338.9447100000005</v>
      </c>
      <c r="P92" s="13">
        <f t="shared" si="87"/>
        <v>79.281877395777414</v>
      </c>
      <c r="Q92" s="20">
        <f t="shared" si="54"/>
        <v>728.41130638097991</v>
      </c>
      <c r="R92" s="59">
        <f t="shared" si="55"/>
        <v>1002.4339500925034</v>
      </c>
      <c r="S92" s="59">
        <f ca="1">AVERAGE(OFFSET($R$3,0,0,'Données projet'!$E$9+1,1))-AVERAGE(OFFSET($H$3,0,0,'Données projet'!$E$9+1,1))</f>
        <v>752.45542076695506</v>
      </c>
      <c r="T92" s="59">
        <f t="shared" si="88"/>
        <v>329.70629768420724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22.368003521474328</v>
      </c>
      <c r="AA92" s="21">
        <f>EXP(-LN(2)/25)*AA91+(1-EXP(-LN(2)/25))/(LN(2)/25)*Calculateur!V92*Calculateur!X92*VLOOKUP('Données projet'!$B$9,Paramètres!$A$1:$I$89,3,0)*0.475*44/12</f>
        <v>28.857314395848626</v>
      </c>
      <c r="AB92" s="21">
        <f>EXP(-LN(2)/2)*AB91+(1-EXP(-LN(2)/2))/(LN(2)/2)*V92*Y92*VLOOKUP('Données projet'!$B$9,Paramètres!$A$1:$I$89,3,0)*0.475*44/12</f>
        <v>1.15703469352248</v>
      </c>
      <c r="AC92" s="22">
        <f t="shared" si="57"/>
        <v>52.382352610845437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408.246209980743</v>
      </c>
      <c r="AO92" s="59">
        <f t="shared" si="90"/>
        <v>394.10236303013903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47.759949474070687</v>
      </c>
      <c r="AV92" s="21">
        <f>EXP(-LN(2)/25)*AV91+(1-EXP(-LN(2)/25))/(LN(2)/25)*Calculateur!AQ92*Calculateur!AS92*VLOOKUP('Données projet'!$B$10,Paramètres!$A$1:$I$89,3,0)*0.475*44/12</f>
        <v>43.91019912990717</v>
      </c>
      <c r="AW92" s="21">
        <f>EXP(-LN(2)/2)*AW91+(1-EXP(-LN(2)/2))/(LN(2)/2)*AQ92*AT92*VLOOKUP('Données projet'!$B$10,Paramètres!$A$1:$I$89,3,0)*0.475*44/12</f>
        <v>3.0291154568606826</v>
      </c>
      <c r="AX92" s="21">
        <f t="shared" si="60"/>
        <v>94.69926406083853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9.1730000000000018</v>
      </c>
      <c r="BD92" s="12">
        <f>IF('Données projet'!$A$88&gt;35,BD91+BC92-BL91,IF(A92&lt;'Données projet'!$A$88,$BA$205^A92,IF(A92='Données projet'!$A$88,'Données projet'!$B$88,BD91+BC92-BL91)))</f>
        <v>334.2650000000005</v>
      </c>
      <c r="BE92" s="13">
        <f>BD92*VLOOKUP('Données projet'!$B$11,Paramètres!$A$1:$I$89,3,0)*VLOOKUP('Données projet'!$B$11,Paramètres!$A$1:$I$89,5,0)</f>
        <v>318.0865740000005</v>
      </c>
      <c r="BF92" s="13">
        <f t="shared" si="91"/>
        <v>74.955089312923036</v>
      </c>
      <c r="BG92" s="20">
        <f t="shared" si="61"/>
        <v>684.5475636033417</v>
      </c>
      <c r="BH92" s="59">
        <f t="shared" si="62"/>
        <v>958.57020731486523</v>
      </c>
      <c r="BI92" s="59">
        <f ca="1">AVERAGE(OFFSET($BH$3,0,0,'Données projet'!$E$11+1,1))-AVERAGE(OFFSET($H$3,0,0,'Données projet'!$E$11+1,1))</f>
        <v>711.91538686535682</v>
      </c>
      <c r="BJ92" s="59">
        <f t="shared" si="92"/>
        <v>313.24593837351722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20.991510997075903</v>
      </c>
      <c r="BQ92" s="21">
        <f>EXP(-LN(2)/25)*BQ91+(1-EXP(-LN(2)/25))/(LN(2)/25)*Calculateur!BL92*Calculateur!BN92*VLOOKUP('Données projet'!$B$11,Paramètres!$A$1:$I$89,3,0)*0.475*44/12</f>
        <v>27.081479663796397</v>
      </c>
      <c r="BR92" s="21">
        <f>EXP(-LN(2)/2)*BR91+(1-EXP(-LN(2)/2))/(LN(2)/2)*BL92*BO92*VLOOKUP('Données projet'!$B$11,Paramètres!$A$1:$I$89,3,0)*0.475*44/12</f>
        <v>1.085832558536481</v>
      </c>
      <c r="BS92" s="22">
        <f t="shared" si="63"/>
        <v>49.158823219408781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9.1730000000000018</v>
      </c>
      <c r="BY92" s="12">
        <f>IF('Données projet'!$A$114&gt;35,BY91+BX92-CG91,IF(A92&lt;'Données projet'!$A$114,$BV$205^A92,IF(A92='Données projet'!$A$114,'Données projet'!$B$114,BY91+BX92-CG91)))</f>
        <v>334.2650000000005</v>
      </c>
      <c r="BZ92" s="13">
        <f>BY92*VLOOKUP('Données projet'!$B$12,Paramètres!$A$1:$I$89,3,0)*VLOOKUP('Données projet'!$B$12,Paramètres!$A$1:$I$89,5,0)</f>
        <v>302.44297200000045</v>
      </c>
      <c r="CA92" s="13">
        <f t="shared" si="93"/>
        <v>71.688362252626035</v>
      </c>
      <c r="CB92" s="20">
        <f t="shared" si="64"/>
        <v>651.61207382332452</v>
      </c>
      <c r="CC92" s="59">
        <f t="shared" si="65"/>
        <v>925.63471753484805</v>
      </c>
      <c r="CD92" s="59">
        <f ca="1">AVERAGE(OFFSET($CC$3,0,0,'Données projet'!$E$12+1,1))-AVERAGE(OFFSET($H$3,0,0,'Données projet'!$E$12+1,1))</f>
        <v>681.47578137804555</v>
      </c>
      <c r="CE92" s="59">
        <f t="shared" si="94"/>
        <v>300.88511065995885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19.959141603777088</v>
      </c>
      <c r="CL92" s="21">
        <f>EXP(-LN(2)/25)*CL91+(1-EXP(-LN(2)/25))/(LN(2)/25)*Calculateur!CG92*Calculateur!CI92*VLOOKUP('Données projet'!$B$12,Paramètres!$A$1:$I$89,3,0)*0.475*44/12</f>
        <v>25.749603614757234</v>
      </c>
      <c r="CM92" s="21">
        <f>EXP(-LN(2)/2)*CM91+(1-EXP(-LN(2)/2))/(LN(2)/2)*CG92*CJ92*VLOOKUP('Données projet'!$B$12,Paramètres!$A$1:$I$89,3,0)*0.475*44/12</f>
        <v>1.0324309572969819</v>
      </c>
      <c r="CN92" s="22">
        <f t="shared" si="66"/>
        <v>46.741176175831299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1.9230769230769227</v>
      </c>
      <c r="CT92" s="12">
        <f>IF('Données projet'!$A$140&gt;35,CT91+CS92-DB91,IF(A92&lt;'Données projet'!$A$140,$CQ$205^A92,IF(A92='Données projet'!$A$140,'Données projet'!$B$140,CT91+CS92-DB91)))</f>
        <v>127.56410256410247</v>
      </c>
      <c r="CU92" s="17">
        <f>CT92*VLOOKUP('Données projet'!$B$13,Paramètres!$A$1:$I$89,3,0)*VLOOKUP('Données projet'!$B$13,Paramètres!$A$1:$I$89,5,0)</f>
        <v>103.47999999999993</v>
      </c>
      <c r="CV92" s="13">
        <f t="shared" si="95"/>
        <v>27.789401764762509</v>
      </c>
      <c r="CW92" s="20">
        <f t="shared" si="67"/>
        <v>228.62754140696123</v>
      </c>
      <c r="CX92" s="59">
        <f t="shared" si="68"/>
        <v>502.65018511848484</v>
      </c>
      <c r="CY92" s="59">
        <f ca="1">AVERAGE(OFFSET($CX$3,0,0,'Données projet'!$E$13+1,1))-AVERAGE(OFFSET($H$3,0,0,'Données projet'!$E$13+1,1))</f>
        <v>186.54446846714993</v>
      </c>
      <c r="CZ92" s="59">
        <f t="shared" si="96"/>
        <v>154.43773051601286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</v>
      </c>
      <c r="DG92" s="21">
        <f>EXP(-LN(2)/25)*DG91+(1-EXP(-LN(2)/25))/(LN(2)/25)*Calculateur!DB92*Calculateur!DD92*VLOOKUP('Données projet'!$B$13,Paramètres!$A$1:$I$89,3,0)*0.475*44/12</f>
        <v>3.8510367357099877</v>
      </c>
      <c r="DH92" s="21">
        <f>EXP(-LN(2)/2)*DH91+(1-EXP(-LN(2)/2))/(LN(2)/2)*DB92*DE92*VLOOKUP('Données projet'!$B$13,Paramètres!$A$1:$I$89,3,0)*0.475*44/12</f>
        <v>0.37907944432862756</v>
      </c>
      <c r="DI92" s="22">
        <f t="shared" si="69"/>
        <v>4.2301161800386149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6.8999999999999968</v>
      </c>
      <c r="DO92" s="12">
        <f>IF('Données projet'!$A$166&gt;35,DO91+DN92-DW91,IF(A92&lt;'Données projet'!$A$166,$DL$205^A92,IF(A92='Données projet'!$A$166,'Données projet'!$B$166,DO91+DN92-DW91)))</f>
        <v>234.49000000000021</v>
      </c>
      <c r="DP92" s="17">
        <f>DO92*VLOOKUP('Données projet'!$B$14,Paramètres!$A$1:$I$89,3,0)*VLOOKUP('Données projet'!$B$14,Paramètres!$A$1:$I$89,5,0)</f>
        <v>267.03721200000024</v>
      </c>
      <c r="DQ92" s="13">
        <f t="shared" si="97"/>
        <v>64.220087682659496</v>
      </c>
      <c r="DR92" s="20">
        <f t="shared" si="70"/>
        <v>576.93979694729899</v>
      </c>
      <c r="DS92" s="59">
        <f t="shared" si="71"/>
        <v>850.96244065882252</v>
      </c>
      <c r="DT92" s="59">
        <f ca="1">AVERAGE(OFFSET($DS$3,0,0,'Données projet'!$E$14+1,1))-AVERAGE(OFFSET($H$3,0,0,'Données projet'!$E$14+1,1))</f>
        <v>651.35546372812314</v>
      </c>
      <c r="DU92" s="59">
        <f t="shared" si="98"/>
        <v>293.6561676213388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</v>
      </c>
      <c r="EB92" s="21">
        <f>EXP(-LN(2)/25)*EB91+(1-EXP(-LN(2)/25))/(LN(2)/25)*Calculateur!DW92*Calculateur!DY92*VLOOKUP('Données projet'!$B$14,Paramètres!$A$1:$I$89,3,0)*0.475*44/12</f>
        <v>45.791491478492404</v>
      </c>
      <c r="EC92" s="21">
        <f>EXP(-LN(2)/2)*EC91+(1-EXP(-LN(2)/2))/(LN(2)/2)*DW92*DZ92*VLOOKUP('Données projet'!$B$14,Paramètres!$A$1:$I$89,3,0)*0.475*44/12</f>
        <v>1.1083254061138348</v>
      </c>
      <c r="ED92" s="22">
        <f t="shared" si="72"/>
        <v>46.899816884606238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1.9230769230769169</v>
      </c>
      <c r="EJ92" s="12">
        <f>IF('Données projet'!$A$192&gt;35,EJ91+EI92-ER91,IF(A92&lt;'Données projet'!$A$192,$EG$205^A92,IF(A92='Données projet'!$A$192,'Données projet'!$B$192,EJ91+EI92-ER91)))</f>
        <v>147.43589743589746</v>
      </c>
      <c r="EK92" s="17">
        <f>EJ92*VLOOKUP('Données projet'!$B$15,Paramètres!$A$1:$I$89,3,0)*VLOOKUP('Données projet'!$B$15,Paramètres!$A$1:$I$89,5,0)</f>
        <v>154.10000000000002</v>
      </c>
      <c r="EL92" s="13">
        <f t="shared" si="99"/>
        <v>39.508857983748619</v>
      </c>
      <c r="EM92" s="20">
        <f t="shared" si="73"/>
        <v>337.20209432169548</v>
      </c>
      <c r="EN92" s="59">
        <f t="shared" si="74"/>
        <v>611.22473803321907</v>
      </c>
      <c r="EO92" s="59">
        <f ca="1">AVERAGE(OFFSET($EN$3,0,0,'Données projet'!$E$15+1,1))-AVERAGE(OFFSET($H$3,0,0,'Données projet'!$E$15+1,1))</f>
        <v>290.69667785754848</v>
      </c>
      <c r="EP92" s="59">
        <f t="shared" si="100"/>
        <v>256.28124185489082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2.3714709830655494</v>
      </c>
      <c r="EW92" s="21">
        <f>EXP(-LN(2)/25)*EW91+(1-EXP(-LN(2)/25))/(LN(2)/25)*Calculateur!ER92*Calculateur!ET92*VLOOKUP('Données projet'!$B$15,Paramètres!$A$1:$I$89,3,0)*0.475*44/12</f>
        <v>16.484438338503399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18.855909321568948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9.1730000000000018</v>
      </c>
      <c r="N93" s="13">
        <f>IF('Données projet'!$A$36&gt;35,N92+M93-V92,IF(A93&lt;'Données projet'!$A$36,$K$205^A93,IF(A93='Données projet'!$A$36,'Données projet'!$B$36,N92+M93-V92)))</f>
        <v>343.4380000000005</v>
      </c>
      <c r="O93" s="13">
        <f>N93*VLOOKUP('Données projet'!$B$9,Paramètres!$A$1:$I$89,3,0)*VLOOKUP('Données projet'!$B$9,Paramètres!$A$1:$I$89,5,0)</f>
        <v>348.24613200000056</v>
      </c>
      <c r="P93" s="13">
        <f t="shared" si="87"/>
        <v>81.201266081189317</v>
      </c>
      <c r="Q93" s="20">
        <f t="shared" si="54"/>
        <v>747.95421832473903</v>
      </c>
      <c r="R93" s="59">
        <f t="shared" si="55"/>
        <v>1022.3118593289666</v>
      </c>
      <c r="S93" s="59">
        <f ca="1">AVERAGE(OFFSET($R$3,0,0,'Données projet'!$E$9+1,1))-AVERAGE(OFFSET($H$3,0,0,'Données projet'!$E$9+1,1))</f>
        <v>752.45542076695506</v>
      </c>
      <c r="T93" s="59">
        <f t="shared" si="88"/>
        <v>329.70629768420724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21.929380615553217</v>
      </c>
      <c r="AA93" s="21">
        <f>EXP(-LN(2)/25)*AA92+(1-EXP(-LN(2)/25))/(LN(2)/25)*Calculateur!V93*Calculateur!X93*VLOOKUP('Données projet'!$B$9,Paramètres!$A$1:$I$89,3,0)*0.475*44/12</f>
        <v>28.068209616153936</v>
      </c>
      <c r="AB93" s="21">
        <f>EXP(-LN(2)/2)*AB92+(1-EXP(-LN(2)/2))/(LN(2)/2)*V93*Y93*VLOOKUP('Données projet'!$B$9,Paramètres!$A$1:$I$89,3,0)*0.475*44/12</f>
        <v>0.81814707785784435</v>
      </c>
      <c r="AC93" s="22">
        <f t="shared" si="57"/>
        <v>50.815737309564994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408.246209980743</v>
      </c>
      <c r="AO93" s="59">
        <f t="shared" si="90"/>
        <v>394.10236303013903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46.823405995576927</v>
      </c>
      <c r="AV93" s="21">
        <f>EXP(-LN(2)/25)*AV92+(1-EXP(-LN(2)/25))/(LN(2)/25)*Calculateur!AQ93*Calculateur!AS93*VLOOKUP('Données projet'!$B$10,Paramètres!$A$1:$I$89,3,0)*0.475*44/12</f>
        <v>42.709472425562844</v>
      </c>
      <c r="AW93" s="21">
        <f>EXP(-LN(2)/2)*AW92+(1-EXP(-LN(2)/2))/(LN(2)/2)*AQ93*AT93*VLOOKUP('Données projet'!$B$10,Paramètres!$A$1:$I$89,3,0)*0.475*44/12</f>
        <v>2.1419080805431756</v>
      </c>
      <c r="AX93" s="21">
        <f t="shared" si="60"/>
        <v>91.674786501682945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9.1730000000000018</v>
      </c>
      <c r="BD93" s="12">
        <f>IF('Données projet'!$A$88&gt;35,BD92+BC93-BL92,IF(A93&lt;'Données projet'!$A$88,$BA$205^A93,IF(A93='Données projet'!$A$88,'Données projet'!$B$88,BD92+BC93-BL92)))</f>
        <v>343.4380000000005</v>
      </c>
      <c r="BE93" s="13">
        <f>BD93*VLOOKUP('Données projet'!$B$11,Paramètres!$A$1:$I$89,3,0)*VLOOKUP('Données projet'!$B$11,Paramètres!$A$1:$I$89,5,0)</f>
        <v>326.81560080000048</v>
      </c>
      <c r="BF93" s="13">
        <f t="shared" si="91"/>
        <v>76.769727854125406</v>
      </c>
      <c r="BG93" s="20">
        <f t="shared" si="61"/>
        <v>702.91111407260257</v>
      </c>
      <c r="BH93" s="59">
        <f t="shared" si="62"/>
        <v>977.2687550768303</v>
      </c>
      <c r="BI93" s="59">
        <f ca="1">AVERAGE(OFFSET($BH$3,0,0,'Données projet'!$E$11+1,1))-AVERAGE(OFFSET($H$3,0,0,'Données projet'!$E$11+1,1))</f>
        <v>711.91538686535682</v>
      </c>
      <c r="BJ93" s="59">
        <f t="shared" si="92"/>
        <v>313.24593837351722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20.579880269980706</v>
      </c>
      <c r="BQ93" s="21">
        <f>EXP(-LN(2)/25)*BQ92+(1-EXP(-LN(2)/25))/(LN(2)/25)*Calculateur!BL93*Calculateur!BN93*VLOOKUP('Données projet'!$B$11,Paramètres!$A$1:$I$89,3,0)*0.475*44/12</f>
        <v>26.340935178236766</v>
      </c>
      <c r="BR93" s="21">
        <f>EXP(-LN(2)/2)*BR92+(1-EXP(-LN(2)/2))/(LN(2)/2)*BL93*BO93*VLOOKUP('Données projet'!$B$11,Paramètres!$A$1:$I$89,3,0)*0.475*44/12</f>
        <v>0.76779956537428451</v>
      </c>
      <c r="BS93" s="22">
        <f t="shared" si="63"/>
        <v>47.68861501359175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9.1730000000000018</v>
      </c>
      <c r="BY93" s="12">
        <f>IF('Données projet'!$A$114&gt;35,BY92+BX93-CG92,IF(A93&lt;'Données projet'!$A$114,$BV$205^A93,IF(A93='Données projet'!$A$114,'Données projet'!$B$114,BY92+BX93-CG92)))</f>
        <v>343.4380000000005</v>
      </c>
      <c r="BZ93" s="13">
        <f>BY93*VLOOKUP('Données projet'!$B$12,Paramètres!$A$1:$I$89,3,0)*VLOOKUP('Données projet'!$B$12,Paramètres!$A$1:$I$89,5,0)</f>
        <v>310.74270240000044</v>
      </c>
      <c r="CA93" s="13">
        <f t="shared" si="93"/>
        <v>73.423914385133031</v>
      </c>
      <c r="CB93" s="20">
        <f t="shared" si="64"/>
        <v>669.09019090077402</v>
      </c>
      <c r="CC93" s="59">
        <f t="shared" si="65"/>
        <v>943.44783190500175</v>
      </c>
      <c r="CD93" s="59">
        <f ca="1">AVERAGE(OFFSET($CC$3,0,0,'Données projet'!$E$12+1,1))-AVERAGE(OFFSET($H$3,0,0,'Données projet'!$E$12+1,1))</f>
        <v>681.47578137804555</v>
      </c>
      <c r="CE93" s="59">
        <f t="shared" si="94"/>
        <v>300.88511065995885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19.567755010801328</v>
      </c>
      <c r="CL93" s="21">
        <f>EXP(-LN(2)/25)*CL92+(1-EXP(-LN(2)/25))/(LN(2)/25)*Calculateur!CG93*Calculateur!CI93*VLOOKUP('Données projet'!$B$12,Paramètres!$A$1:$I$89,3,0)*0.475*44/12</f>
        <v>25.045479349798896</v>
      </c>
      <c r="CM93" s="21">
        <f>EXP(-LN(2)/2)*CM92+(1-EXP(-LN(2)/2))/(LN(2)/2)*CG93*CJ93*VLOOKUP('Données projet'!$B$12,Paramètres!$A$1:$I$89,3,0)*0.475*44/12</f>
        <v>0.73003893101161477</v>
      </c>
      <c r="CN93" s="22">
        <f t="shared" si="66"/>
        <v>45.343273291611837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129.48717948717947</v>
      </c>
      <c r="CR93" s="12">
        <f>VLOOKUP(A93,'Données projet'!$A$139:$I$159,9,0)</f>
        <v>1.9230769230769227</v>
      </c>
      <c r="CS93" s="12">
        <f t="array" ref="CS93">INDEX(CR:CR,MIN(IF(ISNUMBER(CR93:CR289),ROW(CR93:CR289),"")))</f>
        <v>1.9230769230769227</v>
      </c>
      <c r="CT93" s="12">
        <f>IF('Données projet'!$A$140&gt;35,CT92+CS93-DB92,IF(A93&lt;'Données projet'!$A$140,$CQ$205^A93,IF(A93='Données projet'!$A$140,'Données projet'!$B$140,CT92+CS93-DB92)))</f>
        <v>129.48717948717939</v>
      </c>
      <c r="CU93" s="17">
        <f>CT93*VLOOKUP('Données projet'!$B$13,Paramètres!$A$1:$I$89,3,0)*VLOOKUP('Données projet'!$B$13,Paramètres!$A$1:$I$89,5,0)</f>
        <v>105.03999999999994</v>
      </c>
      <c r="CV93" s="13">
        <f t="shared" si="95"/>
        <v>28.159250377636397</v>
      </c>
      <c r="CW93" s="20">
        <f t="shared" si="67"/>
        <v>231.98869440771659</v>
      </c>
      <c r="CX93" s="59">
        <f t="shared" si="68"/>
        <v>506.34633541194427</v>
      </c>
      <c r="CY93" s="59">
        <f ca="1">AVERAGE(OFFSET($CX$3,0,0,'Données projet'!$E$13+1,1))-AVERAGE(OFFSET($H$3,0,0,'Données projet'!$E$13+1,1))</f>
        <v>186.54446846714993</v>
      </c>
      <c r="CZ93" s="59">
        <f t="shared" si="96"/>
        <v>154.43773051601286</v>
      </c>
      <c r="DA93" s="15">
        <f>IF(ISNA(VLOOKUP(A93,'Données projet'!$A$139:$I$159,3,0)),0,VLOOKUP(A93,'Données projet'!$A$139:$I$159,3,0))</f>
        <v>16</v>
      </c>
      <c r="DB93" s="15">
        <f>IF(ISNA(VLOOKUP(A93,'Données projet'!$A$139:$I$159,4,0)),0,VLOOKUP(A93,'Données projet'!$A$139:$I$159,4,0))</f>
        <v>129.48717948717947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0.1075</v>
      </c>
      <c r="DE93" s="16">
        <f>IF(ISNA(VLOOKUP(A93,'Données projet'!$A$139:$I$159,7,0)),0%,VLOOKUP(A93,'Données projet'!$A$139:$I$159,7,0))</f>
        <v>0.25</v>
      </c>
      <c r="DF93" s="21">
        <f>EXP(-LN(2)/35)*DF92+(1-EXP(-LN(2)/35))/(LN(2)/35)*DB93*DC93*VLOOKUP('Données projet'!$B$13,Paramètres!$A$1:$I$89,3,0)*0.475*44/12</f>
        <v>0</v>
      </c>
      <c r="DG93" s="21">
        <f>EXP(-LN(2)/25)*DG92+(1-EXP(-LN(2)/25))/(LN(2)/25)*Calculateur!DB93*Calculateur!DD93*VLOOKUP('Données projet'!$B$13,Paramètres!$A$1:$I$89,3,0)*0.475*44/12</f>
        <v>16.179331020514891</v>
      </c>
      <c r="DH93" s="21">
        <f>EXP(-LN(2)/2)*DH92+(1-EXP(-LN(2)/2))/(LN(2)/2)*DB93*DE93*VLOOKUP('Données projet'!$B$13,Paramètres!$A$1:$I$89,3,0)*0.475*44/12</f>
        <v>25.045066423230693</v>
      </c>
      <c r="DI93" s="22">
        <f t="shared" si="69"/>
        <v>41.224397443745588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6.8999999999999968</v>
      </c>
      <c r="DO93" s="12">
        <f>IF('Données projet'!$A$166&gt;35,DO92+DN93-DW92,IF(A93&lt;'Données projet'!$A$166,$DL$205^A93,IF(A93='Données projet'!$A$166,'Données projet'!$B$166,DO92+DN93-DW92)))</f>
        <v>241.39000000000021</v>
      </c>
      <c r="DP93" s="17">
        <f>DO93*VLOOKUP('Données projet'!$B$14,Paramètres!$A$1:$I$89,3,0)*VLOOKUP('Données projet'!$B$14,Paramètres!$A$1:$I$89,5,0)</f>
        <v>274.89493200000027</v>
      </c>
      <c r="DQ93" s="13">
        <f t="shared" si="97"/>
        <v>65.887008624286921</v>
      </c>
      <c r="DR93" s="20">
        <f t="shared" si="70"/>
        <v>593.52854658730018</v>
      </c>
      <c r="DS93" s="59">
        <f t="shared" si="71"/>
        <v>867.88618759152791</v>
      </c>
      <c r="DT93" s="59">
        <f ca="1">AVERAGE(OFFSET($DS$3,0,0,'Données projet'!$E$14+1,1))-AVERAGE(OFFSET($H$3,0,0,'Données projet'!$E$14+1,1))</f>
        <v>651.35546372812314</v>
      </c>
      <c r="DU93" s="59">
        <f t="shared" si="98"/>
        <v>293.6561676213388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</v>
      </c>
      <c r="EB93" s="21">
        <f>EXP(-LN(2)/25)*EB92+(1-EXP(-LN(2)/25))/(LN(2)/25)*Calculateur!DW93*Calculateur!DY93*VLOOKUP('Données projet'!$B$14,Paramètres!$A$1:$I$89,3,0)*0.475*44/12</f>
        <v>44.53932073594315</v>
      </c>
      <c r="EC93" s="21">
        <f>EXP(-LN(2)/2)*EC92+(1-EXP(-LN(2)/2))/(LN(2)/2)*DW93*DZ93*VLOOKUP('Données projet'!$B$14,Paramètres!$A$1:$I$89,3,0)*0.475*44/12</f>
        <v>0.78370441042442684</v>
      </c>
      <c r="ED93" s="22">
        <f t="shared" si="72"/>
        <v>45.323025146367577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>
        <f>VLOOKUP(A93,'Données projet'!$A$191:$I$211,2,0)</f>
        <v>149.35897435897434</v>
      </c>
      <c r="EH93" s="12">
        <f>VLOOKUP(A93,'Données projet'!$A$191:$I$211,9,0)</f>
        <v>1.9230769230769169</v>
      </c>
      <c r="EI93" s="12">
        <f t="array" ref="EI93">INDEX(EH:EH,MIN(IF(ISNUMBER(EH93:EH289),ROW(EH93:EH289),"")))</f>
        <v>1.9230769230769169</v>
      </c>
      <c r="EJ93" s="12">
        <f>IF('Données projet'!$A$192&gt;35,EJ92+EI93-ER92,IF(A93&lt;'Données projet'!$A$192,$EG$205^A93,IF(A93='Données projet'!$A$192,'Données projet'!$B$192,EJ92+EI93-ER92)))</f>
        <v>149.35897435897436</v>
      </c>
      <c r="EK93" s="17">
        <f>EJ93*VLOOKUP('Données projet'!$B$15,Paramètres!$A$1:$I$89,3,0)*VLOOKUP('Données projet'!$B$15,Paramètres!$A$1:$I$89,5,0)</f>
        <v>156.11000000000001</v>
      </c>
      <c r="EL93" s="13">
        <f t="shared" si="99"/>
        <v>39.963862158593372</v>
      </c>
      <c r="EM93" s="20">
        <f t="shared" si="73"/>
        <v>341.49530992621681</v>
      </c>
      <c r="EN93" s="59">
        <f t="shared" si="74"/>
        <v>615.85295093044442</v>
      </c>
      <c r="EO93" s="59">
        <f ca="1">AVERAGE(OFFSET($EN$3,0,0,'Données projet'!$E$15+1,1))-AVERAGE(OFFSET($H$3,0,0,'Données projet'!$E$15+1,1))</f>
        <v>290.69667785754848</v>
      </c>
      <c r="EP93" s="59">
        <f t="shared" si="100"/>
        <v>256.28124185489082</v>
      </c>
      <c r="EQ93" s="15">
        <f>IF(ISNA(VLOOKUP(A93,'Données projet'!$A$191:$I$211,3,0)),0,VLOOKUP(A93,'Données projet'!$A$191:$I$211,3,0))</f>
        <v>15</v>
      </c>
      <c r="ER93" s="15">
        <f>IF(ISNA(VLOOKUP(A93,'Données projet'!$A$191:$I$211,4,0)),0,VLOOKUP(A93,'Données projet'!$A$191:$I$211,4,0))</f>
        <v>7.0512820512820511</v>
      </c>
      <c r="ES93" s="16">
        <f>IF(ISNA(VLOOKUP(A93,'Données projet'!$A$191:$I$211,5,0)),0%,VLOOKUP(A93,'Données projet'!$A$191:$I$211,5,0)*VLOOKUP('Données projet'!$B$15,Paramètres!$A$1:$I$89,7,0))</f>
        <v>4.3000000000000003E-2</v>
      </c>
      <c r="ET93" s="16">
        <f>IF(ISNA(VLOOKUP(A93,'Données projet'!$A$191:$I$211,6,0)),0%,VLOOKUP(A93,'Données projet'!$A$191:$I$211,6,0)*VLOOKUP('Données projet'!$B$15,Paramètres!$A$1:$I$89,7,0))</f>
        <v>0.215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2.6753025015198952</v>
      </c>
      <c r="EW93" s="21">
        <f>EXP(-LN(2)/25)*EW92+(1-EXP(-LN(2)/25))/(LN(2)/25)*Calculateur!ER93*Calculateur!ET93*VLOOKUP('Données projet'!$B$15,Paramètres!$A$1:$I$89,3,0)*0.475*44/12</f>
        <v>17.778446590752356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20.45374909227225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9.1730000000000018</v>
      </c>
      <c r="N94" s="13">
        <f>IF('Données projet'!$A$36&gt;35,N93+M94-V93,IF(A94&lt;'Données projet'!$A$36,$K$205^A94,IF(A94='Données projet'!$A$36,'Données projet'!$B$36,N93+M94-V93)))</f>
        <v>352.6110000000005</v>
      </c>
      <c r="O94" s="13">
        <f>N94*VLOOKUP('Données projet'!$B$9,Paramètres!$A$1:$I$89,3,0)*VLOOKUP('Données projet'!$B$9,Paramètres!$A$1:$I$89,5,0)</f>
        <v>357.54755400000056</v>
      </c>
      <c r="P94" s="13">
        <f t="shared" si="87"/>
        <v>83.114695969480493</v>
      </c>
      <c r="Q94" s="20">
        <f t="shared" si="54"/>
        <v>767.48675203017956</v>
      </c>
      <c r="R94" s="59">
        <f t="shared" si="55"/>
        <v>1042.1735788730246</v>
      </c>
      <c r="S94" s="59">
        <f ca="1">AVERAGE(OFFSET($R$3,0,0,'Données projet'!$E$9+1,1))-AVERAGE(OFFSET($H$3,0,0,'Données projet'!$E$9+1,1))</f>
        <v>752.45542076695506</v>
      </c>
      <c r="T94" s="59">
        <f t="shared" si="88"/>
        <v>329.70629768420724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21.499358837283662</v>
      </c>
      <c r="AA94" s="21">
        <f>EXP(-LN(2)/25)*AA93+(1-EXP(-LN(2)/25))/(LN(2)/25)*Calculateur!V94*Calculateur!X94*VLOOKUP('Données projet'!$B$9,Paramètres!$A$1:$I$89,3,0)*0.475*44/12</f>
        <v>27.300682948157213</v>
      </c>
      <c r="AB94" s="21">
        <f>EXP(-LN(2)/2)*AB93+(1-EXP(-LN(2)/2))/(LN(2)/2)*V94*Y94*VLOOKUP('Données projet'!$B$9,Paramètres!$A$1:$I$89,3,0)*0.475*44/12</f>
        <v>0.57851734676124</v>
      </c>
      <c r="AC94" s="22">
        <f t="shared" si="57"/>
        <v>49.378559132202113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408.246209980743</v>
      </c>
      <c r="AO94" s="59">
        <f t="shared" si="90"/>
        <v>394.10236303013903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45.90522756346131</v>
      </c>
      <c r="AV94" s="21">
        <f>EXP(-LN(2)/25)*AV93+(1-EXP(-LN(2)/25))/(LN(2)/25)*Calculateur!AQ94*Calculateur!AS94*VLOOKUP('Données projet'!$B$10,Paramètres!$A$1:$I$89,3,0)*0.475*44/12</f>
        <v>41.541579656092289</v>
      </c>
      <c r="AW94" s="21">
        <f>EXP(-LN(2)/2)*AW93+(1-EXP(-LN(2)/2))/(LN(2)/2)*AQ94*AT94*VLOOKUP('Données projet'!$B$10,Paramètres!$A$1:$I$89,3,0)*0.475*44/12</f>
        <v>1.5145577284303413</v>
      </c>
      <c r="AX94" s="21">
        <f t="shared" si="60"/>
        <v>88.961364947983938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9.1730000000000018</v>
      </c>
      <c r="BD94" s="12">
        <f>IF('Données projet'!$A$88&gt;35,BD93+BC94-BL93,IF(A94&lt;'Données projet'!$A$88,$BA$205^A94,IF(A94='Données projet'!$A$88,'Données projet'!$B$88,BD93+BC94-BL93)))</f>
        <v>352.6110000000005</v>
      </c>
      <c r="BE94" s="13">
        <f>BD94*VLOOKUP('Données projet'!$B$11,Paramètres!$A$1:$I$89,3,0)*VLOOKUP('Données projet'!$B$11,Paramètres!$A$1:$I$89,5,0)</f>
        <v>335.54462760000047</v>
      </c>
      <c r="BF94" s="13">
        <f t="shared" si="91"/>
        <v>78.578732798028639</v>
      </c>
      <c r="BG94" s="20">
        <f t="shared" si="61"/>
        <v>721.26485269323393</v>
      </c>
      <c r="BH94" s="59">
        <f t="shared" si="62"/>
        <v>995.95167953607893</v>
      </c>
      <c r="BI94" s="59">
        <f ca="1">AVERAGE(OFFSET($BH$3,0,0,'Données projet'!$E$11+1,1))-AVERAGE(OFFSET($H$3,0,0,'Données projet'!$E$11+1,1))</f>
        <v>711.91538686535682</v>
      </c>
      <c r="BJ94" s="59">
        <f t="shared" si="92"/>
        <v>313.24593837351722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20.176321370373895</v>
      </c>
      <c r="BQ94" s="21">
        <f>EXP(-LN(2)/25)*BQ93+(1-EXP(-LN(2)/25))/(LN(2)/25)*Calculateur!BL94*Calculateur!BN94*VLOOKUP('Données projet'!$B$11,Paramètres!$A$1:$I$89,3,0)*0.475*44/12</f>
        <v>25.620640920578303</v>
      </c>
      <c r="BR94" s="21">
        <f>EXP(-LN(2)/2)*BR93+(1-EXP(-LN(2)/2))/(LN(2)/2)*BL94*BO94*VLOOKUP('Données projet'!$B$11,Paramètres!$A$1:$I$89,3,0)*0.475*44/12</f>
        <v>0.54291627926824049</v>
      </c>
      <c r="BS94" s="22">
        <f t="shared" si="63"/>
        <v>46.339878570220435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9.1730000000000018</v>
      </c>
      <c r="BY94" s="12">
        <f>IF('Données projet'!$A$114&gt;35,BY93+BX94-CG93,IF(A94&lt;'Données projet'!$A$114,$BV$205^A94,IF(A94='Données projet'!$A$114,'Données projet'!$B$114,BY93+BX94-CG93)))</f>
        <v>352.6110000000005</v>
      </c>
      <c r="BZ94" s="13">
        <f>BY94*VLOOKUP('Données projet'!$B$12,Paramètres!$A$1:$I$89,3,0)*VLOOKUP('Données projet'!$B$12,Paramètres!$A$1:$I$89,5,0)</f>
        <v>319.04243280000043</v>
      </c>
      <c r="CA94" s="13">
        <f t="shared" si="93"/>
        <v>75.154078446360543</v>
      </c>
      <c r="CB94" s="20">
        <f t="shared" si="64"/>
        <v>686.55892375407859</v>
      </c>
      <c r="CC94" s="59">
        <f t="shared" si="65"/>
        <v>961.2457505969237</v>
      </c>
      <c r="CD94" s="59">
        <f ca="1">AVERAGE(OFFSET($CC$3,0,0,'Données projet'!$E$12+1,1))-AVERAGE(OFFSET($H$3,0,0,'Données projet'!$E$12+1,1))</f>
        <v>681.47578137804555</v>
      </c>
      <c r="CE94" s="59">
        <f t="shared" si="94"/>
        <v>300.88511065995885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19.184043270191573</v>
      </c>
      <c r="CL94" s="21">
        <f>EXP(-LN(2)/25)*CL93+(1-EXP(-LN(2)/25))/(LN(2)/25)*Calculateur!CG94*Calculateur!CI94*VLOOKUP('Données projet'!$B$12,Paramètres!$A$1:$I$89,3,0)*0.475*44/12</f>
        <v>24.360609399894127</v>
      </c>
      <c r="CM94" s="21">
        <f>EXP(-LN(2)/2)*CM93+(1-EXP(-LN(2)/2))/(LN(2)/2)*CG94*CJ94*VLOOKUP('Données projet'!$B$12,Paramètres!$A$1:$I$89,3,0)*0.475*44/12</f>
        <v>0.51621547864849093</v>
      </c>
      <c r="CN94" s="22">
        <f t="shared" si="66"/>
        <v>44.060868148734187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-8.5265128291212022E-14</v>
      </c>
      <c r="CU94" s="17">
        <f>CT94*VLOOKUP('Données projet'!$B$13,Paramètres!$A$1:$I$89,3,0)*VLOOKUP('Données projet'!$B$13,Paramètres!$A$1:$I$89,5,0)</f>
        <v>-6.9167072069831198E-14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186.54446846714993</v>
      </c>
      <c r="CZ94" s="59">
        <f t="shared" si="96"/>
        <v>154.43773051601286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</v>
      </c>
      <c r="DG94" s="21">
        <f>EXP(-LN(2)/25)*DG93+(1-EXP(-LN(2)/25))/(LN(2)/25)*Calculateur!DB94*Calculateur!DD94*VLOOKUP('Données projet'!$B$13,Paramètres!$A$1:$I$89,3,0)*0.475*44/12</f>
        <v>15.736906362924872</v>
      </c>
      <c r="DH94" s="21">
        <f>EXP(-LN(2)/2)*DH93+(1-EXP(-LN(2)/2))/(LN(2)/2)*DB94*DE94*VLOOKUP('Données projet'!$B$13,Paramètres!$A$1:$I$89,3,0)*0.475*44/12</f>
        <v>17.709536303133934</v>
      </c>
      <c r="DI94" s="22">
        <f t="shared" si="69"/>
        <v>33.446442666058807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6.8999999999999968</v>
      </c>
      <c r="DO94" s="12">
        <f>IF('Données projet'!$A$166&gt;35,DO93+DN94-DW93,IF(A94&lt;'Données projet'!$A$166,$DL$205^A94,IF(A94='Données projet'!$A$166,'Données projet'!$B$166,DO93+DN94-DW93)))</f>
        <v>248.29000000000022</v>
      </c>
      <c r="DP94" s="17">
        <f>DO94*VLOOKUP('Données projet'!$B$14,Paramètres!$A$1:$I$89,3,0)*VLOOKUP('Données projet'!$B$14,Paramètres!$A$1:$I$89,5,0)</f>
        <v>282.75265200000024</v>
      </c>
      <c r="DQ94" s="13">
        <f t="shared" si="97"/>
        <v>67.548391756605852</v>
      </c>
      <c r="DR94" s="20">
        <f t="shared" si="70"/>
        <v>610.10765120942222</v>
      </c>
      <c r="DS94" s="59">
        <f t="shared" si="71"/>
        <v>884.79447805226732</v>
      </c>
      <c r="DT94" s="59">
        <f ca="1">AVERAGE(OFFSET($DS$3,0,0,'Données projet'!$E$14+1,1))-AVERAGE(OFFSET($H$3,0,0,'Données projet'!$E$14+1,1))</f>
        <v>651.35546372812314</v>
      </c>
      <c r="DU94" s="59">
        <f t="shared" si="98"/>
        <v>293.6561676213388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</v>
      </c>
      <c r="EB94" s="21">
        <f>EXP(-LN(2)/25)*EB93+(1-EXP(-LN(2)/25))/(LN(2)/25)*Calculateur!DW94*Calculateur!DY94*VLOOKUP('Données projet'!$B$14,Paramètres!$A$1:$I$89,3,0)*0.475*44/12</f>
        <v>43.321390668197701</v>
      </c>
      <c r="EC94" s="21">
        <f>EXP(-LN(2)/2)*EC93+(1-EXP(-LN(2)/2))/(LN(2)/2)*DW94*DZ94*VLOOKUP('Données projet'!$B$14,Paramètres!$A$1:$I$89,3,0)*0.475*44/12</f>
        <v>0.5541627030569175</v>
      </c>
      <c r="ED94" s="22">
        <f t="shared" si="72"/>
        <v>43.875553371254618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1.7948717948717956</v>
      </c>
      <c r="EJ94" s="12">
        <f>IF('Données projet'!$A$192&gt;35,EJ93+EI94-ER93,IF(A94&lt;'Données projet'!$A$192,$EG$205^A94,IF(A94='Données projet'!$A$192,'Données projet'!$B$192,EJ93+EI94-ER93)))</f>
        <v>144.10256410256412</v>
      </c>
      <c r="EK94" s="17">
        <f>EJ94*VLOOKUP('Données projet'!$B$15,Paramètres!$A$1:$I$89,3,0)*VLOOKUP('Données projet'!$B$15,Paramètres!$A$1:$I$89,5,0)</f>
        <v>150.61600000000004</v>
      </c>
      <c r="EL94" s="13">
        <f t="shared" si="99"/>
        <v>38.718540424004757</v>
      </c>
      <c r="EM94" s="20">
        <f t="shared" si="73"/>
        <v>329.75765790514163</v>
      </c>
      <c r="EN94" s="59">
        <f t="shared" si="74"/>
        <v>604.44448474798673</v>
      </c>
      <c r="EO94" s="59">
        <f ca="1">AVERAGE(OFFSET($EN$3,0,0,'Données projet'!$E$15+1,1))-AVERAGE(OFFSET($H$3,0,0,'Données projet'!$E$15+1,1))</f>
        <v>290.69667785754848</v>
      </c>
      <c r="EP94" s="59">
        <f t="shared" si="100"/>
        <v>256.28124185489082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2.6228414512384917</v>
      </c>
      <c r="EW94" s="21">
        <f>EXP(-LN(2)/25)*EW93+(1-EXP(-LN(2)/25))/(LN(2)/25)*Calculateur!ER94*Calculateur!ET94*VLOOKUP('Données projet'!$B$15,Paramètres!$A$1:$I$89,3,0)*0.475*44/12</f>
        <v>17.29229403380036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19.915135485038853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9.1730000000000018</v>
      </c>
      <c r="N95" s="13">
        <f>IF('Données projet'!$A$36&gt;35,N94+M95-V94,IF(A95&lt;'Données projet'!$A$36,$K$205^A95,IF(A95='Données projet'!$A$36,'Données projet'!$B$36,N94+M95-V94)))</f>
        <v>361.7840000000005</v>
      </c>
      <c r="O95" s="13">
        <f>N95*VLOOKUP('Données projet'!$B$9,Paramètres!$A$1:$I$89,3,0)*VLOOKUP('Données projet'!$B$9,Paramètres!$A$1:$I$89,5,0)</f>
        <v>366.8489760000005</v>
      </c>
      <c r="P95" s="13">
        <f t="shared" si="87"/>
        <v>85.022339897263734</v>
      </c>
      <c r="Q95" s="20">
        <f t="shared" si="54"/>
        <v>787.00920852106856</v>
      </c>
      <c r="R95" s="59">
        <f t="shared" si="55"/>
        <v>1062.0195105641803</v>
      </c>
      <c r="S95" s="59">
        <f ca="1">AVERAGE(OFFSET($R$3,0,0,'Données projet'!$E$9+1,1))-AVERAGE(OFFSET($H$3,0,0,'Données projet'!$E$9+1,1))</f>
        <v>752.45542076695506</v>
      </c>
      <c r="T95" s="59">
        <f t="shared" si="88"/>
        <v>329.70629768420724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21.077769523798587</v>
      </c>
      <c r="AA95" s="21">
        <f>EXP(-LN(2)/25)*AA94+(1-EXP(-LN(2)/25))/(LN(2)/25)*Calculateur!V95*Calculateur!X95*VLOOKUP('Données projet'!$B$9,Paramètres!$A$1:$I$89,3,0)*0.475*44/12</f>
        <v>26.554144337259334</v>
      </c>
      <c r="AB95" s="21">
        <f>EXP(-LN(2)/2)*AB94+(1-EXP(-LN(2)/2))/(LN(2)/2)*V95*Y95*VLOOKUP('Données projet'!$B$9,Paramètres!$A$1:$I$89,3,0)*0.475*44/12</f>
        <v>0.40907353892892218</v>
      </c>
      <c r="AC95" s="22">
        <f t="shared" si="57"/>
        <v>48.040987399986847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408.246209980743</v>
      </c>
      <c r="AO95" s="59">
        <f t="shared" si="90"/>
        <v>394.10236303013903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45.005054050365935</v>
      </c>
      <c r="AV95" s="21">
        <f>EXP(-LN(2)/25)*AV94+(1-EXP(-LN(2)/25))/(LN(2)/25)*Calculateur!AQ95*Calculateur!AS95*VLOOKUP('Données projet'!$B$10,Paramètres!$A$1:$I$89,3,0)*0.475*44/12</f>
        <v>40.405622975819718</v>
      </c>
      <c r="AW95" s="21">
        <f>EXP(-LN(2)/2)*AW94+(1-EXP(-LN(2)/2))/(LN(2)/2)*AQ95*AT95*VLOOKUP('Données projet'!$B$10,Paramètres!$A$1:$I$89,3,0)*0.475*44/12</f>
        <v>1.0709540402715878</v>
      </c>
      <c r="AX95" s="21">
        <f t="shared" si="60"/>
        <v>86.48163106645724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9.1730000000000018</v>
      </c>
      <c r="BD95" s="12">
        <f>IF('Données projet'!$A$88&gt;35,BD94+BC95-BL94,IF(A95&lt;'Données projet'!$A$88,$BA$205^A95,IF(A95='Données projet'!$A$88,'Données projet'!$B$88,BD94+BC95-BL94)))</f>
        <v>361.7840000000005</v>
      </c>
      <c r="BE95" s="13">
        <f>BD95*VLOOKUP('Données projet'!$B$11,Paramètres!$A$1:$I$89,3,0)*VLOOKUP('Données projet'!$B$11,Paramètres!$A$1:$I$89,5,0)</f>
        <v>344.27365440000045</v>
      </c>
      <c r="BF95" s="13">
        <f t="shared" si="91"/>
        <v>80.382267548731363</v>
      </c>
      <c r="BG95" s="20">
        <f t="shared" si="61"/>
        <v>739.60906406070796</v>
      </c>
      <c r="BH95" s="59">
        <f t="shared" si="62"/>
        <v>1014.6193661038196</v>
      </c>
      <c r="BI95" s="59">
        <f ca="1">AVERAGE(OFFSET($BH$3,0,0,'Données projet'!$E$11+1,1))-AVERAGE(OFFSET($H$3,0,0,'Données projet'!$E$11+1,1))</f>
        <v>711.91538686535682</v>
      </c>
      <c r="BJ95" s="59">
        <f t="shared" si="92"/>
        <v>313.24593837351722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19.780676014641749</v>
      </c>
      <c r="BQ95" s="21">
        <f>EXP(-LN(2)/25)*BQ94+(1-EXP(-LN(2)/25))/(LN(2)/25)*Calculateur!BL95*Calculateur!BN95*VLOOKUP('Données projet'!$B$11,Paramètres!$A$1:$I$89,3,0)*0.475*44/12</f>
        <v>24.920043147274139</v>
      </c>
      <c r="BR95" s="21">
        <f>EXP(-LN(2)/2)*BR94+(1-EXP(-LN(2)/2))/(LN(2)/2)*BL95*BO95*VLOOKUP('Données projet'!$B$11,Paramètres!$A$1:$I$89,3,0)*0.475*44/12</f>
        <v>0.38389978268714225</v>
      </c>
      <c r="BS95" s="22">
        <f t="shared" si="63"/>
        <v>45.084618944603029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9.1730000000000018</v>
      </c>
      <c r="BY95" s="12">
        <f>IF('Données projet'!$A$114&gt;35,BY94+BX95-CG94,IF(A95&lt;'Données projet'!$A$114,$BV$205^A95,IF(A95='Données projet'!$A$114,'Données projet'!$B$114,BY94+BX95-CG94)))</f>
        <v>361.7840000000005</v>
      </c>
      <c r="BZ95" s="13">
        <f>BY95*VLOOKUP('Données projet'!$B$12,Paramètres!$A$1:$I$89,3,0)*VLOOKUP('Données projet'!$B$12,Paramètres!$A$1:$I$89,5,0)</f>
        <v>327.34216320000047</v>
      </c>
      <c r="CA95" s="13">
        <f t="shared" si="93"/>
        <v>76.87901071885527</v>
      </c>
      <c r="CB95" s="20">
        <f t="shared" si="64"/>
        <v>704.01854457534034</v>
      </c>
      <c r="CC95" s="59">
        <f t="shared" si="65"/>
        <v>979.02884661845201</v>
      </c>
      <c r="CD95" s="59">
        <f ca="1">AVERAGE(OFFSET($CC$3,0,0,'Données projet'!$E$12+1,1))-AVERAGE(OFFSET($H$3,0,0,'Données projet'!$E$12+1,1))</f>
        <v>681.47578137804555</v>
      </c>
      <c r="CE95" s="59">
        <f t="shared" si="94"/>
        <v>300.88511065995885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18.807855882774124</v>
      </c>
      <c r="CL95" s="21">
        <f>EXP(-LN(2)/25)*CL94+(1-EXP(-LN(2)/25))/(LN(2)/25)*Calculateur!CG95*Calculateur!CI95*VLOOKUP('Données projet'!$B$12,Paramètres!$A$1:$I$89,3,0)*0.475*44/12</f>
        <v>23.694467254785252</v>
      </c>
      <c r="CM95" s="21">
        <f>EXP(-LN(2)/2)*CM94+(1-EXP(-LN(2)/2))/(LN(2)/2)*CG95*CJ95*VLOOKUP('Données projet'!$B$12,Paramètres!$A$1:$I$89,3,0)*0.475*44/12</f>
        <v>0.36501946550580738</v>
      </c>
      <c r="CN95" s="22">
        <f t="shared" si="66"/>
        <v>42.867342603065183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-8.5265128291212022E-14</v>
      </c>
      <c r="CU95" s="17">
        <f>CT95*VLOOKUP('Données projet'!$B$13,Paramètres!$A$1:$I$89,3,0)*VLOOKUP('Données projet'!$B$13,Paramètres!$A$1:$I$89,5,0)</f>
        <v>-6.9167072069831198E-14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186.54446846714993</v>
      </c>
      <c r="CZ95" s="59">
        <f t="shared" si="96"/>
        <v>154.43773051601286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</v>
      </c>
      <c r="DG95" s="21">
        <f>EXP(-LN(2)/25)*DG94+(1-EXP(-LN(2)/25))/(LN(2)/25)*Calculateur!DB95*Calculateur!DD95*VLOOKUP('Données projet'!$B$13,Paramètres!$A$1:$I$89,3,0)*0.475*44/12</f>
        <v>15.306579830862752</v>
      </c>
      <c r="DH95" s="21">
        <f>EXP(-LN(2)/2)*DH94+(1-EXP(-LN(2)/2))/(LN(2)/2)*DB95*DE95*VLOOKUP('Données projet'!$B$13,Paramètres!$A$1:$I$89,3,0)*0.475*44/12</f>
        <v>12.522533211615347</v>
      </c>
      <c r="DI95" s="22">
        <f t="shared" si="69"/>
        <v>27.829113042478099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6.8999999999999968</v>
      </c>
      <c r="DO95" s="12">
        <f>IF('Données projet'!$A$166&gt;35,DO94+DN95-DW94,IF(A95&lt;'Données projet'!$A$166,$DL$205^A95,IF(A95='Données projet'!$A$166,'Données projet'!$B$166,DO94+DN95-DW94)))</f>
        <v>255.19000000000023</v>
      </c>
      <c r="DP95" s="17">
        <f>DO95*VLOOKUP('Données projet'!$B$14,Paramètres!$A$1:$I$89,3,0)*VLOOKUP('Données projet'!$B$14,Paramètres!$A$1:$I$89,5,0)</f>
        <v>290.61037200000027</v>
      </c>
      <c r="DQ95" s="13">
        <f t="shared" si="97"/>
        <v>69.20440865647339</v>
      </c>
      <c r="DR95" s="20">
        <f t="shared" si="70"/>
        <v>626.67740964335826</v>
      </c>
      <c r="DS95" s="59">
        <f t="shared" si="71"/>
        <v>901.68771168647004</v>
      </c>
      <c r="DT95" s="59">
        <f ca="1">AVERAGE(OFFSET($DS$3,0,0,'Données projet'!$E$14+1,1))-AVERAGE(OFFSET($H$3,0,0,'Données projet'!$E$14+1,1))</f>
        <v>651.35546372812314</v>
      </c>
      <c r="DU95" s="59">
        <f t="shared" si="98"/>
        <v>293.6561676213388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</v>
      </c>
      <c r="EB95" s="21">
        <f>EXP(-LN(2)/25)*EB94+(1-EXP(-LN(2)/25))/(LN(2)/25)*Calculateur!DW95*Calculateur!DY95*VLOOKUP('Données projet'!$B$14,Paramètres!$A$1:$I$89,3,0)*0.475*44/12</f>
        <v>42.136764962202911</v>
      </c>
      <c r="EC95" s="21">
        <f>EXP(-LN(2)/2)*EC94+(1-EXP(-LN(2)/2))/(LN(2)/2)*DW95*DZ95*VLOOKUP('Données projet'!$B$14,Paramètres!$A$1:$I$89,3,0)*0.475*44/12</f>
        <v>0.39185220521221348</v>
      </c>
      <c r="ED95" s="22">
        <f t="shared" si="72"/>
        <v>42.528617167415121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1.7948717948717956</v>
      </c>
      <c r="EJ95" s="12">
        <f>IF('Données projet'!$A$192&gt;35,EJ94+EI95-ER94,IF(A95&lt;'Données projet'!$A$192,$EG$205^A95,IF(A95='Données projet'!$A$192,'Données projet'!$B$192,EJ94+EI95-ER94)))</f>
        <v>145.89743589743591</v>
      </c>
      <c r="EK95" s="17">
        <f>EJ95*VLOOKUP('Données projet'!$B$15,Paramètres!$A$1:$I$89,3,0)*VLOOKUP('Données projet'!$B$15,Paramètres!$A$1:$I$89,5,0)</f>
        <v>152.49200000000002</v>
      </c>
      <c r="EL95" s="13">
        <f t="shared" si="99"/>
        <v>39.144357350259597</v>
      </c>
      <c r="EM95" s="20">
        <f t="shared" si="73"/>
        <v>333.76665571836884</v>
      </c>
      <c r="EN95" s="59">
        <f t="shared" si="74"/>
        <v>608.77695776148062</v>
      </c>
      <c r="EO95" s="59">
        <f ca="1">AVERAGE(OFFSET($EN$3,0,0,'Données projet'!$E$15+1,1))-AVERAGE(OFFSET($H$3,0,0,'Données projet'!$E$15+1,1))</f>
        <v>290.69667785754848</v>
      </c>
      <c r="EP95" s="59">
        <f t="shared" si="100"/>
        <v>256.28124185489082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2.5714091301550255</v>
      </c>
      <c r="EW95" s="21">
        <f>EXP(-LN(2)/25)*EW94+(1-EXP(-LN(2)/25))/(LN(2)/25)*Calculateur!ER95*Calculateur!ET95*VLOOKUP('Données projet'!$B$15,Paramètres!$A$1:$I$89,3,0)*0.475*44/12</f>
        <v>16.819435344083868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19.390844474238893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9.1730000000000018</v>
      </c>
      <c r="N96" s="13">
        <f>IF('Données projet'!$A$36&gt;35,N95+M96-V95,IF(A96&lt;'Données projet'!$A$36,$K$205^A96,IF(A96='Données projet'!$A$36,'Données projet'!$B$36,N95+M96-V95)))</f>
        <v>370.95700000000051</v>
      </c>
      <c r="O96" s="13">
        <f>N96*VLOOKUP('Données projet'!$B$9,Paramètres!$A$1:$I$89,3,0)*VLOOKUP('Données projet'!$B$9,Paramètres!$A$1:$I$89,5,0)</f>
        <v>376.15039800000056</v>
      </c>
      <c r="P96" s="13">
        <f t="shared" si="87"/>
        <v>86.92436143722324</v>
      </c>
      <c r="Q96" s="20">
        <f t="shared" si="54"/>
        <v>806.52187268649811</v>
      </c>
      <c r="R96" s="59">
        <f t="shared" si="55"/>
        <v>1081.8500383583341</v>
      </c>
      <c r="S96" s="59">
        <f ca="1">AVERAGE(OFFSET($R$3,0,0,'Données projet'!$E$9+1,1))-AVERAGE(OFFSET($H$3,0,0,'Données projet'!$E$9+1,1))</f>
        <v>752.45542076695506</v>
      </c>
      <c r="T96" s="59">
        <f t="shared" si="88"/>
        <v>329.70629768420724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20.664447319606865</v>
      </c>
      <c r="AA96" s="21">
        <f>EXP(-LN(2)/25)*AA95+(1-EXP(-LN(2)/25))/(LN(2)/25)*Calculateur!V96*Calculateur!X96*VLOOKUP('Données projet'!$B$9,Paramètres!$A$1:$I$89,3,0)*0.475*44/12</f>
        <v>25.828019863935218</v>
      </c>
      <c r="AB96" s="21">
        <f>EXP(-LN(2)/2)*AB95+(1-EXP(-LN(2)/2))/(LN(2)/2)*V96*Y96*VLOOKUP('Données projet'!$B$9,Paramètres!$A$1:$I$89,3,0)*0.475*44/12</f>
        <v>0.28925867338062</v>
      </c>
      <c r="AC96" s="22">
        <f t="shared" si="57"/>
        <v>46.781725856922705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408.246209980743</v>
      </c>
      <c r="AO96" s="59">
        <f t="shared" si="90"/>
        <v>394.10236303013903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44.122532390810733</v>
      </c>
      <c r="AV96" s="21">
        <f>EXP(-LN(2)/25)*AV95+(1-EXP(-LN(2)/25))/(LN(2)/25)*Calculateur!AQ96*Calculateur!AS96*VLOOKUP('Données projet'!$B$10,Paramètres!$A$1:$I$89,3,0)*0.475*44/12</f>
        <v>39.300729090706561</v>
      </c>
      <c r="AW96" s="21">
        <f>EXP(-LN(2)/2)*AW95+(1-EXP(-LN(2)/2))/(LN(2)/2)*AQ96*AT96*VLOOKUP('Données projet'!$B$10,Paramètres!$A$1:$I$89,3,0)*0.475*44/12</f>
        <v>0.75727886421517066</v>
      </c>
      <c r="AX96" s="21">
        <f t="shared" si="60"/>
        <v>84.180540345732467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9.1730000000000018</v>
      </c>
      <c r="BD96" s="12">
        <f>IF('Données projet'!$A$88&gt;35,BD95+BC96-BL95,IF(A96&lt;'Données projet'!$A$88,$BA$205^A96,IF(A96='Données projet'!$A$88,'Données projet'!$B$88,BD95+BC96-BL95)))</f>
        <v>370.95700000000051</v>
      </c>
      <c r="BE96" s="13">
        <f>BD96*VLOOKUP('Données projet'!$B$11,Paramètres!$A$1:$I$89,3,0)*VLOOKUP('Données projet'!$B$11,Paramètres!$A$1:$I$89,5,0)</f>
        <v>353.0026812000005</v>
      </c>
      <c r="BF96" s="13">
        <f t="shared" si="91"/>
        <v>82.180486751981036</v>
      </c>
      <c r="BG96" s="20">
        <f t="shared" si="61"/>
        <v>757.94401751636781</v>
      </c>
      <c r="BH96" s="59">
        <f t="shared" si="62"/>
        <v>1033.2721831882038</v>
      </c>
      <c r="BI96" s="59">
        <f ca="1">AVERAGE(OFFSET($BH$3,0,0,'Données projet'!$E$11+1,1))-AVERAGE(OFFSET($H$3,0,0,'Données projet'!$E$11+1,1))</f>
        <v>711.91538686535682</v>
      </c>
      <c r="BJ96" s="59">
        <f t="shared" si="92"/>
        <v>313.24593837351722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19.39278902301567</v>
      </c>
      <c r="BQ96" s="21">
        <f>EXP(-LN(2)/25)*BQ95+(1-EXP(-LN(2)/25))/(LN(2)/25)*Calculateur!BL96*Calculateur!BN96*VLOOKUP('Données projet'!$B$11,Paramètres!$A$1:$I$89,3,0)*0.475*44/12</f>
        <v>24.238603256923813</v>
      </c>
      <c r="BR96" s="21">
        <f>EXP(-LN(2)/2)*BR95+(1-EXP(-LN(2)/2))/(LN(2)/2)*BL96*BO96*VLOOKUP('Données projet'!$B$11,Paramètres!$A$1:$I$89,3,0)*0.475*44/12</f>
        <v>0.27145813963412024</v>
      </c>
      <c r="BS96" s="22">
        <f t="shared" si="63"/>
        <v>43.902850419573603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9.1730000000000018</v>
      </c>
      <c r="BY96" s="12">
        <f>IF('Données projet'!$A$114&gt;35,BY95+BX96-CG95,IF(A96&lt;'Données projet'!$A$114,$BV$205^A96,IF(A96='Données projet'!$A$114,'Données projet'!$B$114,BY95+BX96-CG95)))</f>
        <v>370.95700000000051</v>
      </c>
      <c r="BZ96" s="13">
        <f>BY96*VLOOKUP('Données projet'!$B$12,Paramètres!$A$1:$I$89,3,0)*VLOOKUP('Données projet'!$B$12,Paramètres!$A$1:$I$89,5,0)</f>
        <v>335.64189360000046</v>
      </c>
      <c r="CA96" s="13">
        <f t="shared" si="93"/>
        <v>78.598859108522404</v>
      </c>
      <c r="CB96" s="20">
        <f t="shared" si="64"/>
        <v>721.46931096734397</v>
      </c>
      <c r="CC96" s="59">
        <f t="shared" si="65"/>
        <v>996.79747663917988</v>
      </c>
      <c r="CD96" s="59">
        <f ca="1">AVERAGE(OFFSET($CC$3,0,0,'Données projet'!$E$12+1,1))-AVERAGE(OFFSET($H$3,0,0,'Données projet'!$E$12+1,1))</f>
        <v>681.47578137804555</v>
      </c>
      <c r="CE96" s="59">
        <f t="shared" si="94"/>
        <v>300.88511065995885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18.439045300572278</v>
      </c>
      <c r="CL96" s="21">
        <f>EXP(-LN(2)/25)*CL95+(1-EXP(-LN(2)/25))/(LN(2)/25)*Calculateur!CG96*Calculateur!CI96*VLOOKUP('Données projet'!$B$12,Paramètres!$A$1:$I$89,3,0)*0.475*44/12</f>
        <v>23.04654080166527</v>
      </c>
      <c r="CM96" s="21">
        <f>EXP(-LN(2)/2)*CM95+(1-EXP(-LN(2)/2))/(LN(2)/2)*CG96*CJ96*VLOOKUP('Données projet'!$B$12,Paramètres!$A$1:$I$89,3,0)*0.475*44/12</f>
        <v>0.25810773932424547</v>
      </c>
      <c r="CN96" s="22">
        <f t="shared" si="66"/>
        <v>41.743693841561793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-8.5265128291212022E-14</v>
      </c>
      <c r="CU96" s="17">
        <f>CT96*VLOOKUP('Données projet'!$B$13,Paramètres!$A$1:$I$89,3,0)*VLOOKUP('Données projet'!$B$13,Paramètres!$A$1:$I$89,5,0)</f>
        <v>-6.9167072069831198E-14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186.54446846714993</v>
      </c>
      <c r="CZ96" s="59">
        <f t="shared" si="96"/>
        <v>154.43773051601286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</v>
      </c>
      <c r="DG96" s="21">
        <f>EXP(-LN(2)/25)*DG95+(1-EXP(-LN(2)/25))/(LN(2)/25)*Calculateur!DB96*Calculateur!DD96*VLOOKUP('Données projet'!$B$13,Paramètres!$A$1:$I$89,3,0)*0.475*44/12</f>
        <v>14.88802060044976</v>
      </c>
      <c r="DH96" s="21">
        <f>EXP(-LN(2)/2)*DH95+(1-EXP(-LN(2)/2))/(LN(2)/2)*DB96*DE96*VLOOKUP('Données projet'!$B$13,Paramètres!$A$1:$I$89,3,0)*0.475*44/12</f>
        <v>8.8547681515669669</v>
      </c>
      <c r="DI96" s="22">
        <f t="shared" si="69"/>
        <v>23.742788752016729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>
        <f>VLOOKUP(A96,'Données projet'!$A$165:$I$185,2,0)</f>
        <v>262.08999999999997</v>
      </c>
      <c r="DM96" s="12">
        <f>VLOOKUP(A96,'Données projet'!$A$165:$I$185,9,0)</f>
        <v>6.8999999999999968</v>
      </c>
      <c r="DN96" s="12">
        <f t="array" ref="DN96">INDEX(DM:DM,MIN(IF(ISNUMBER(DM96:DM292),ROW(DM96:DM292),"")))</f>
        <v>6.8999999999999968</v>
      </c>
      <c r="DO96" s="12">
        <f>IF('Données projet'!$A$166&gt;35,DO95+DN96-DW95,IF(A96&lt;'Données projet'!$A$166,$DL$205^A96,IF(A96='Données projet'!$A$166,'Données projet'!$B$166,DO95+DN96-DW95)))</f>
        <v>262.0900000000002</v>
      </c>
      <c r="DP96" s="17">
        <f>DO96*VLOOKUP('Données projet'!$B$14,Paramètres!$A$1:$I$89,3,0)*VLOOKUP('Données projet'!$B$14,Paramètres!$A$1:$I$89,5,0)</f>
        <v>298.46809200000024</v>
      </c>
      <c r="DQ96" s="13">
        <f t="shared" si="97"/>
        <v>70.855221094144881</v>
      </c>
      <c r="DR96" s="20">
        <f t="shared" si="70"/>
        <v>643.23810363896939</v>
      </c>
      <c r="DS96" s="59">
        <f t="shared" si="71"/>
        <v>918.56626931080541</v>
      </c>
      <c r="DT96" s="59">
        <f ca="1">AVERAGE(OFFSET($DS$3,0,0,'Données projet'!$E$14+1,1))-AVERAGE(OFFSET($H$3,0,0,'Données projet'!$E$14+1,1))</f>
        <v>651.35546372812314</v>
      </c>
      <c r="DU96" s="59">
        <f t="shared" si="98"/>
        <v>293.6561676213388</v>
      </c>
      <c r="DV96" s="15">
        <f>IF(ISNA(VLOOKUP(A96,'Données projet'!$A$165:$I$185,3,0)),0,VLOOKUP(A96,'Données projet'!$A$165:$I$185,3,0))</f>
        <v>6</v>
      </c>
      <c r="DW96" s="15">
        <f>IF(ISNA(VLOOKUP(A96,'Données projet'!$A$165:$I$185,4,0)),0,VLOOKUP(A96,'Données projet'!$A$165:$I$185,4,0))</f>
        <v>43.449999999999989</v>
      </c>
      <c r="DX96" s="16">
        <f>IF(ISNA(VLOOKUP(A96,'Données projet'!$A$165:$I$185,5,0)),0%,VLOOKUP(A96,'Données projet'!$A$165:$I$185,5,0)*VLOOKUP('Données projet'!$B$14,Paramètres!$A$1:$I$89,7,0))</f>
        <v>0.15049999999999999</v>
      </c>
      <c r="DY96" s="16">
        <f>IF(ISNA(VLOOKUP(A96,'Données projet'!$A$165:$I$185,6,0)),0%,VLOOKUP(A96,'Données projet'!$A$165:$I$185,6,0)*VLOOKUP('Données projet'!$B$14,Paramètres!$A$1:$I$89,7,0))</f>
        <v>8.6000000000000007E-2</v>
      </c>
      <c r="DZ96" s="16">
        <f>IF(ISNA(VLOOKUP(A96,'Données projet'!$A$165:$I$185,7,0)),0%,VLOOKUP(A96,'Données projet'!$A$165:$I$185,7,0))</f>
        <v>0.1</v>
      </c>
      <c r="EA96" s="21">
        <f>EXP(-LN(2)/35)*EA95+(1-EXP(-LN(2)/35))/(LN(2)/35)*DW96*DX96*VLOOKUP('Données projet'!$B$14,Paramètres!$A$1:$I$89,3,0)*0.475*44/12</f>
        <v>8.2322935751144204</v>
      </c>
      <c r="EB96" s="21">
        <f>EXP(-LN(2)/25)*EB95+(1-EXP(-LN(2)/25))/(LN(2)/25)*Calculateur!DW96*Calculateur!DY96*VLOOKUP('Données projet'!$B$14,Paramètres!$A$1:$I$89,3,0)*0.475*44/12</f>
        <v>45.670178564754977</v>
      </c>
      <c r="EC96" s="21">
        <f>EXP(-LN(2)/2)*EC95+(1-EXP(-LN(2)/2))/(LN(2)/2)*DW96*DZ96*VLOOKUP('Données projet'!$B$14,Paramètres!$A$1:$I$89,3,0)*0.475*44/12</f>
        <v>4.9457336683105737</v>
      </c>
      <c r="ED96" s="22">
        <f t="shared" si="72"/>
        <v>58.848205808179969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1.7948717948717956</v>
      </c>
      <c r="EJ96" s="12">
        <f>IF('Données projet'!$A$192&gt;35,EJ95+EI96-ER95,IF(A96&lt;'Données projet'!$A$192,$EG$205^A96,IF(A96='Données projet'!$A$192,'Données projet'!$B$192,EJ95+EI96-ER95)))</f>
        <v>147.69230769230771</v>
      </c>
      <c r="EK96" s="17">
        <f>EJ96*VLOOKUP('Données projet'!$B$15,Paramètres!$A$1:$I$89,3,0)*VLOOKUP('Données projet'!$B$15,Paramètres!$A$1:$I$89,5,0)</f>
        <v>154.36800000000002</v>
      </c>
      <c r="EL96" s="13">
        <f t="shared" si="99"/>
        <v>39.569564932787465</v>
      </c>
      <c r="EM96" s="20">
        <f t="shared" si="73"/>
        <v>337.7745922579382</v>
      </c>
      <c r="EN96" s="59">
        <f t="shared" si="74"/>
        <v>613.10275792977416</v>
      </c>
      <c r="EO96" s="59">
        <f ca="1">AVERAGE(OFFSET($EN$3,0,0,'Données projet'!$E$15+1,1))-AVERAGE(OFFSET($H$3,0,0,'Données projet'!$E$15+1,1))</f>
        <v>290.69667785754848</v>
      </c>
      <c r="EP96" s="59">
        <f t="shared" si="100"/>
        <v>256.28124185489082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2.5209853655173879</v>
      </c>
      <c r="EW96" s="21">
        <f>EXP(-LN(2)/25)*EW95+(1-EXP(-LN(2)/25))/(LN(2)/25)*Calculateur!ER96*Calculateur!ET96*VLOOKUP('Données projet'!$B$15,Paramètres!$A$1:$I$89,3,0)*0.475*44/12</f>
        <v>16.35950700010423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18.880492365621617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>
        <f>VLOOKUP(A97,'Données projet'!$A$35:$I$55,2,0)</f>
        <v>380.13</v>
      </c>
      <c r="L97" s="12">
        <f>VLOOKUP(A97,'Données projet'!$A$35:$I$55,9,0)</f>
        <v>9.1730000000000018</v>
      </c>
      <c r="M97" s="12">
        <f t="array" ref="M97">INDEX(L:L,MIN(IF(ISNUMBER(L97:L293),ROW(L97:L293),"")))</f>
        <v>9.1730000000000018</v>
      </c>
      <c r="N97" s="13">
        <f>IF('Données projet'!$A$36&gt;35,N96+M97-V96,IF(A97&lt;'Données projet'!$A$36,$K$205^A97,IF(A97='Données projet'!$A$36,'Données projet'!$B$36,N96+M97-V96)))</f>
        <v>380.13000000000051</v>
      </c>
      <c r="O97" s="13">
        <f>N97*VLOOKUP('Données projet'!$B$9,Paramètres!$A$1:$I$89,3,0)*VLOOKUP('Données projet'!$B$9,Paramètres!$A$1:$I$89,5,0)</f>
        <v>385.45182000000051</v>
      </c>
      <c r="P97" s="13">
        <f t="shared" si="87"/>
        <v>88.820915611280114</v>
      </c>
      <c r="Q97" s="20">
        <f t="shared" si="54"/>
        <v>826.02501452298031</v>
      </c>
      <c r="R97" s="59">
        <f t="shared" si="55"/>
        <v>1101.6655296002189</v>
      </c>
      <c r="S97" s="59">
        <f ca="1">AVERAGE(OFFSET($R$3,0,0,'Données projet'!$E$9+1,1))-AVERAGE(OFFSET($H$3,0,0,'Données projet'!$E$9+1,1))</f>
        <v>752.45542076695506</v>
      </c>
      <c r="T97" s="59">
        <f t="shared" si="88"/>
        <v>329.70629768420724</v>
      </c>
      <c r="U97" s="15">
        <f>IF(ISNA(VLOOKUP(A97,'Données projet'!$A$35:$I$55,3,0)),0,VLOOKUP(A97,'Données projet'!$A$35:$I$55,3,0))</f>
        <v>7</v>
      </c>
      <c r="V97" s="15">
        <f>IF(ISNA(VLOOKUP(A97,'Données projet'!$A$35:$I$55,4,0)),0,VLOOKUP(A97,'Données projet'!$A$35:$I$55,4,0))</f>
        <v>67.350000000000023</v>
      </c>
      <c r="W97" s="16">
        <f>IF(ISNA(VLOOKUP(A97,'Données projet'!$A$35:$I$55,5,0)),0%,VLOOKUP(A97,'Données projet'!$A$35:$I$55,5,0)*VLOOKUP('Données projet'!$B$9,Paramètres!$A$1:$I$89,7,0))</f>
        <v>0.15049999999999999</v>
      </c>
      <c r="X97" s="16">
        <f>IF(ISNA(VLOOKUP(A97,'Données projet'!$A$35:$I$55,6,0)),0%,VLOOKUP(A97,'Données projet'!$A$35:$I$55,6,0)*VLOOKUP('Données projet'!$B$9,Paramètres!$A$1:$I$89,7,0))</f>
        <v>8.6000000000000007E-2</v>
      </c>
      <c r="Y97" s="16">
        <f>IF(ISNA(VLOOKUP(A97,'Données projet'!$A$35:$I$55,7,0)),0%,VLOOKUP(A97,'Données projet'!$A$35:$I$55,7,0))</f>
        <v>0.1</v>
      </c>
      <c r="Z97" s="21">
        <f>EXP(-LN(2)/35)*Z96+(1-EXP(-LN(2)/35))/(LN(2)/35)*V97*W97*VLOOKUP('Données projet'!$B$9,Paramètres!$A$1:$I$89,3,0)*0.475*44/12</f>
        <v>31.62134471313977</v>
      </c>
      <c r="AA97" s="21">
        <f>EXP(-LN(2)/25)*AA96+(1-EXP(-LN(2)/25))/(LN(2)/25)*Calculateur!V97*Calculateur!X97*VLOOKUP('Données projet'!$B$9,Paramètres!$A$1:$I$89,3,0)*0.475*44/12</f>
        <v>31.588824232182965</v>
      </c>
      <c r="AB97" s="21">
        <f>EXP(-LN(2)/2)*AB96+(1-EXP(-LN(2)/2))/(LN(2)/2)*V97*Y97*VLOOKUP('Données projet'!$B$9,Paramètres!$A$1:$I$89,3,0)*0.475*44/12</f>
        <v>6.6481556921098957</v>
      </c>
      <c r="AC97" s="22">
        <f t="shared" si="57"/>
        <v>69.858324637432631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408.246209980743</v>
      </c>
      <c r="AO97" s="59">
        <f t="shared" si="90"/>
        <v>394.10236303013903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43.257316442714348</v>
      </c>
      <c r="AV97" s="21">
        <f>EXP(-LN(2)/25)*AV96+(1-EXP(-LN(2)/25))/(LN(2)/25)*Calculateur!AQ97*Calculateur!AS97*VLOOKUP('Données projet'!$B$10,Paramètres!$A$1:$I$89,3,0)*0.475*44/12</f>
        <v>38.226048586985669</v>
      </c>
      <c r="AW97" s="21">
        <f>EXP(-LN(2)/2)*AW96+(1-EXP(-LN(2)/2))/(LN(2)/2)*AQ97*AT97*VLOOKUP('Données projet'!$B$10,Paramètres!$A$1:$I$89,3,0)*0.475*44/12</f>
        <v>0.5354770201357939</v>
      </c>
      <c r="AX97" s="21">
        <f t="shared" si="60"/>
        <v>82.018842049835825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>
        <f>VLOOKUP(A97,'Données projet'!$A$87:$I$107,2,0)</f>
        <v>380.13</v>
      </c>
      <c r="BB97" s="12">
        <f>VLOOKUP(A97,'Données projet'!$A$87:$I$107,9,0)</f>
        <v>9.1730000000000018</v>
      </c>
      <c r="BC97" s="12">
        <f t="array" ref="BC97">INDEX(BB:BB,MIN(IF(ISNUMBER(BB97:BB293),ROW(BB97:BB293),"")))</f>
        <v>9.1730000000000018</v>
      </c>
      <c r="BD97" s="12">
        <f>IF('Données projet'!$A$88&gt;35,BD96+BC97-BL96,IF(A97&lt;'Données projet'!$A$88,$BA$205^A97,IF(A97='Données projet'!$A$88,'Données projet'!$B$88,BD96+BC97-BL96)))</f>
        <v>380.13000000000051</v>
      </c>
      <c r="BE97" s="13">
        <f>BD97*VLOOKUP('Données projet'!$B$11,Paramètres!$A$1:$I$89,3,0)*VLOOKUP('Données projet'!$B$11,Paramètres!$A$1:$I$89,5,0)</f>
        <v>361.73170800000048</v>
      </c>
      <c r="BF97" s="13">
        <f t="shared" si="91"/>
        <v>83.973536969416998</v>
      </c>
      <c r="BG97" s="20">
        <f t="shared" si="61"/>
        <v>776.26996832173552</v>
      </c>
      <c r="BH97" s="59">
        <f t="shared" si="62"/>
        <v>1051.9104833989741</v>
      </c>
      <c r="BI97" s="59">
        <f ca="1">AVERAGE(OFFSET($BH$3,0,0,'Données projet'!$E$11+1,1))-AVERAGE(OFFSET($H$3,0,0,'Données projet'!$E$11+1,1))</f>
        <v>711.91538686535682</v>
      </c>
      <c r="BJ97" s="59">
        <f t="shared" si="92"/>
        <v>313.24593837351722</v>
      </c>
      <c r="BK97" s="15">
        <f>IF(ISNA(VLOOKUP(A97,'Données projet'!$A$87:$I$107,3,0)),0,VLOOKUP(A97,'Données projet'!$A$87:$I$107,3,0))</f>
        <v>7</v>
      </c>
      <c r="BL97" s="15">
        <f>IF(ISNA(VLOOKUP(A97,'Données projet'!$A$87:$I$107,4,0)),0,VLOOKUP(A97,'Données projet'!$A$87:$I$107,4,0))</f>
        <v>67.350000000000023</v>
      </c>
      <c r="BM97" s="16">
        <f>IF(ISNA(VLOOKUP(A97,'Données projet'!$A$87:$I$107,5,0)),0%,VLOOKUP(A97,'Données projet'!$A$87:$I$107,5,0)*VLOOKUP('Données projet'!$B$11,Paramètres!$A$1:$I$89,7,0))</f>
        <v>0.15049999999999999</v>
      </c>
      <c r="BN97" s="16">
        <f>IF(ISNA(VLOOKUP(A97,'Données projet'!$A$87:$I$107,6,0)),0%,VLOOKUP(A97,'Données projet'!$A$87:$I$107,6,0)*VLOOKUP('Données projet'!$B$11,Paramètres!$A$1:$I$89,7,0))</f>
        <v>8.6000000000000007E-2</v>
      </c>
      <c r="BO97" s="16">
        <f>IF(ISNA(VLOOKUP(A97,'Données projet'!$A$87:$I$107,7,0)),0%,VLOOKUP(A97,'Données projet'!$A$87:$I$107,7,0))</f>
        <v>0.1</v>
      </c>
      <c r="BP97" s="21">
        <f>EXP(-LN(2)/35)*BP96+(1-EXP(-LN(2)/35))/(LN(2)/35)*BL97*BM97*VLOOKUP('Données projet'!$B$11,Paramètres!$A$1:$I$89,3,0)*0.475*44/12</f>
        <v>29.67541580771578</v>
      </c>
      <c r="BQ97" s="21">
        <f>EXP(-LN(2)/25)*BQ96+(1-EXP(-LN(2)/25))/(LN(2)/25)*Calculateur!BL97*Calculateur!BN97*VLOOKUP('Données projet'!$B$11,Paramètres!$A$1:$I$89,3,0)*0.475*44/12</f>
        <v>29.644896587125547</v>
      </c>
      <c r="BR97" s="21">
        <f>EXP(-LN(2)/2)*BR96+(1-EXP(-LN(2)/2))/(LN(2)/2)*BL97*BO97*VLOOKUP('Données projet'!$B$11,Paramètres!$A$1:$I$89,3,0)*0.475*44/12</f>
        <v>6.2390384187492867</v>
      </c>
      <c r="BS97" s="22">
        <f t="shared" si="63"/>
        <v>65.559350813590612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>
        <f>VLOOKUP(A97,'Données projet'!$A$113:$I$133,2,0)</f>
        <v>380.13</v>
      </c>
      <c r="BW97" s="12">
        <f>VLOOKUP(A97,'Données projet'!$A$113:$I$133,9,0)</f>
        <v>9.1730000000000018</v>
      </c>
      <c r="BX97" s="12">
        <f t="array" ref="BX97">INDEX(BW:BW,MIN(IF(ISNUMBER(BW97:BW293),ROW(BW97:BW293),"")))</f>
        <v>9.1730000000000018</v>
      </c>
      <c r="BY97" s="12">
        <f>IF('Données projet'!$A$114&gt;35,BY96+BX97-CG96,IF(A97&lt;'Données projet'!$A$114,$BV$205^A97,IF(A97='Données projet'!$A$114,'Données projet'!$B$114,BY96+BX97-CG96)))</f>
        <v>380.13000000000051</v>
      </c>
      <c r="BZ97" s="13">
        <f>BY97*VLOOKUP('Données projet'!$B$12,Paramètres!$A$1:$I$89,3,0)*VLOOKUP('Données projet'!$B$12,Paramètres!$A$1:$I$89,5,0)</f>
        <v>343.94162400000044</v>
      </c>
      <c r="CA97" s="13">
        <f t="shared" si="93"/>
        <v>80.313763789484966</v>
      </c>
      <c r="CB97" s="20">
        <f t="shared" si="64"/>
        <v>738.91146706668712</v>
      </c>
      <c r="CC97" s="59">
        <f t="shared" si="65"/>
        <v>1014.5519821439257</v>
      </c>
      <c r="CD97" s="59">
        <f ca="1">AVERAGE(OFFSET($CC$3,0,0,'Données projet'!$E$12+1,1))-AVERAGE(OFFSET($H$3,0,0,'Données projet'!$E$12+1,1))</f>
        <v>681.47578137804555</v>
      </c>
      <c r="CE97" s="59">
        <f t="shared" si="94"/>
        <v>300.88511065995885</v>
      </c>
      <c r="CF97" s="15">
        <f>IF(ISNA(VLOOKUP(A97,'Données projet'!$A$113:$I$133,3,0)),0,VLOOKUP(A97,'Données projet'!$A$113:$I$133,3,0))</f>
        <v>7</v>
      </c>
      <c r="CG97" s="15">
        <f>IF(ISNA(VLOOKUP(A97,'Données projet'!$A$113:$I$133,4,0)),0,VLOOKUP(A97,'Données projet'!$A$113:$I$133,4,0))</f>
        <v>67.350000000000023</v>
      </c>
      <c r="CH97" s="16">
        <f>IF(ISNA(VLOOKUP(A97,'Données projet'!$A$113:$I$133,5,0)),0%,VLOOKUP(A97,'Données projet'!$A$113:$I$133,5,0)*VLOOKUP('Données projet'!$B$12,Paramètres!$A$1:$I$89,7,0))</f>
        <v>0.15049999999999999</v>
      </c>
      <c r="CI97" s="16">
        <f>IF(ISNA(VLOOKUP(A97,'Données projet'!$A$113:$I$133,6,0)),0%,VLOOKUP(A97,'Données projet'!$A$113:$I$133,6,0)*VLOOKUP('Données projet'!$B$12,Paramètres!$A$1:$I$89,7,0))</f>
        <v>8.6000000000000007E-2</v>
      </c>
      <c r="CJ97" s="16">
        <f>IF(ISNA(VLOOKUP(A97,'Données projet'!$A$113:$I$133,7,0)),0%,VLOOKUP(A97,'Données projet'!$A$113:$I$133,7,0))</f>
        <v>0.1</v>
      </c>
      <c r="CK97" s="21">
        <f>EXP(-LN(2)/35)*CK96+(1-EXP(-LN(2)/35))/(LN(2)/35)*CG97*CH97*VLOOKUP('Données projet'!$B$12,Paramètres!$A$1:$I$89,3,0)*0.475*44/12</f>
        <v>28.215969128647792</v>
      </c>
      <c r="CL97" s="21">
        <f>EXP(-LN(2)/25)*CL96+(1-EXP(-LN(2)/25))/(LN(2)/25)*Calculateur!CG97*Calculateur!CI97*VLOOKUP('Données projet'!$B$12,Paramètres!$A$1:$I$89,3,0)*0.475*44/12</f>
        <v>28.18695085333249</v>
      </c>
      <c r="CM97" s="21">
        <f>EXP(-LN(2)/2)*CM96+(1-EXP(-LN(2)/2))/(LN(2)/2)*CG97*CJ97*VLOOKUP('Données projet'!$B$12,Paramètres!$A$1:$I$89,3,0)*0.475*44/12</f>
        <v>5.9322004637288286</v>
      </c>
      <c r="CN97" s="22">
        <f t="shared" si="66"/>
        <v>62.335120445709109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-8.5265128291212022E-14</v>
      </c>
      <c r="CU97" s="17">
        <f>CT97*VLOOKUP('Données projet'!$B$13,Paramètres!$A$1:$I$89,3,0)*VLOOKUP('Données projet'!$B$13,Paramètres!$A$1:$I$89,5,0)</f>
        <v>-6.9167072069831198E-14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186.54446846714993</v>
      </c>
      <c r="CZ97" s="59">
        <f t="shared" si="96"/>
        <v>154.43773051601286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</v>
      </c>
      <c r="DG97" s="21">
        <f>EXP(-LN(2)/25)*DG96+(1-EXP(-LN(2)/25))/(LN(2)/25)*Calculateur!DB97*Calculateur!DD97*VLOOKUP('Données projet'!$B$13,Paramètres!$A$1:$I$89,3,0)*0.475*44/12</f>
        <v>14.480906894203486</v>
      </c>
      <c r="DH97" s="21">
        <f>EXP(-LN(2)/2)*DH96+(1-EXP(-LN(2)/2))/(LN(2)/2)*DB97*DE97*VLOOKUP('Données projet'!$B$13,Paramètres!$A$1:$I$89,3,0)*0.475*44/12</f>
        <v>6.2612666058076734</v>
      </c>
      <c r="DI97" s="22">
        <f t="shared" si="69"/>
        <v>20.742173500011159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6.9749999999999996</v>
      </c>
      <c r="DO97" s="12">
        <f>IF('Données projet'!$A$166&gt;35,DO96+DN97-DW96,IF(A97&lt;'Données projet'!$A$166,$DL$205^A97,IF(A97='Données projet'!$A$166,'Données projet'!$B$166,DO96+DN97-DW96)))</f>
        <v>225.61500000000024</v>
      </c>
      <c r="DP97" s="17">
        <f>DO97*VLOOKUP('Données projet'!$B$14,Paramètres!$A$1:$I$89,3,0)*VLOOKUP('Données projet'!$B$14,Paramètres!$A$1:$I$89,5,0)</f>
        <v>256.93036200000029</v>
      </c>
      <c r="DQ97" s="13">
        <f t="shared" si="97"/>
        <v>62.067603591052681</v>
      </c>
      <c r="DR97" s="20">
        <f t="shared" si="70"/>
        <v>555.58812340441716</v>
      </c>
      <c r="DS97" s="59">
        <f t="shared" si="71"/>
        <v>831.22863848165571</v>
      </c>
      <c r="DT97" s="59">
        <f ca="1">AVERAGE(OFFSET($DS$3,0,0,'Données projet'!$E$14+1,1))-AVERAGE(OFFSET($H$3,0,0,'Données projet'!$E$14+1,1))</f>
        <v>651.35546372812314</v>
      </c>
      <c r="DU97" s="59">
        <f t="shared" si="98"/>
        <v>293.6561676213388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8.070863319309705</v>
      </c>
      <c r="EB97" s="21">
        <f>EXP(-LN(2)/25)*EB96+(1-EXP(-LN(2)/25))/(LN(2)/25)*Calculateur!DW97*Calculateur!DY97*VLOOKUP('Données projet'!$B$14,Paramètres!$A$1:$I$89,3,0)*0.475*44/12</f>
        <v>44.421325130211443</v>
      </c>
      <c r="EC97" s="21">
        <f>EXP(-LN(2)/2)*EC96+(1-EXP(-LN(2)/2))/(LN(2)/2)*DW97*DZ97*VLOOKUP('Données projet'!$B$14,Paramètres!$A$1:$I$89,3,0)*0.475*44/12</f>
        <v>3.4971618148050263</v>
      </c>
      <c r="ED97" s="22">
        <f t="shared" si="72"/>
        <v>55.989350264326177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1.7948717948717956</v>
      </c>
      <c r="EJ97" s="12">
        <f>IF('Données projet'!$A$192&gt;35,EJ96+EI97-ER96,IF(A97&lt;'Données projet'!$A$192,$EG$205^A97,IF(A97='Données projet'!$A$192,'Données projet'!$B$192,EJ96+EI97-ER96)))</f>
        <v>149.4871794871795</v>
      </c>
      <c r="EK97" s="17">
        <f>EJ97*VLOOKUP('Données projet'!$B$15,Paramètres!$A$1:$I$89,3,0)*VLOOKUP('Données projet'!$B$15,Paramètres!$A$1:$I$89,5,0)</f>
        <v>156.24400000000003</v>
      </c>
      <c r="EL97" s="13">
        <f t="shared" si="99"/>
        <v>39.994171433339048</v>
      </c>
      <c r="EM97" s="20">
        <f t="shared" si="73"/>
        <v>341.78148191306553</v>
      </c>
      <c r="EN97" s="59">
        <f t="shared" si="74"/>
        <v>617.42199699030402</v>
      </c>
      <c r="EO97" s="59">
        <f ca="1">AVERAGE(OFFSET($EN$3,0,0,'Données projet'!$E$15+1,1))-AVERAGE(OFFSET($H$3,0,0,'Données projet'!$E$15+1,1))</f>
        <v>290.69667785754848</v>
      </c>
      <c r="EP97" s="59">
        <f t="shared" si="100"/>
        <v>256.28124185489082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2.4715503801488348</v>
      </c>
      <c r="EW97" s="21">
        <f>EXP(-LN(2)/25)*EW96+(1-EXP(-LN(2)/25))/(LN(2)/25)*Calculateur!ER97*Calculateur!ET97*VLOOKUP('Données projet'!$B$15,Paramètres!$A$1:$I$89,3,0)*0.475*44/12</f>
        <v>15.912155420877298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18.383705801026132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8.9420000000000019</v>
      </c>
      <c r="N98" s="13">
        <f>IF('Données projet'!$A$36&gt;35,N97+M98-V97,IF(A98&lt;'Données projet'!$A$36,$K$205^A98,IF(A98='Données projet'!$A$36,'Données projet'!$B$36,N97+M98-V97)))</f>
        <v>321.72200000000049</v>
      </c>
      <c r="O98" s="13">
        <f>N98*VLOOKUP('Données projet'!$B$9,Paramètres!$A$1:$I$89,3,0)*VLOOKUP('Données projet'!$B$9,Paramètres!$A$1:$I$89,5,0)</f>
        <v>326.22610800000052</v>
      </c>
      <c r="P98" s="13">
        <f t="shared" si="87"/>
        <v>76.647360081996098</v>
      </c>
      <c r="Q98" s="20">
        <f t="shared" si="54"/>
        <v>701.67129024281076</v>
      </c>
      <c r="R98" s="59">
        <f t="shared" si="55"/>
        <v>977.61873616157663</v>
      </c>
      <c r="S98" s="59">
        <f ca="1">AVERAGE(OFFSET($R$3,0,0,'Données projet'!$E$9+1,1))-AVERAGE(OFFSET($H$3,0,0,'Données projet'!$E$9+1,1))</f>
        <v>752.45542076695506</v>
      </c>
      <c r="T98" s="59">
        <f t="shared" si="88"/>
        <v>329.70629768420724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31.001269430430931</v>
      </c>
      <c r="AA98" s="21">
        <f>EXP(-LN(2)/25)*AA97+(1-EXP(-LN(2)/25))/(LN(2)/25)*Calculateur!V98*Calculateur!X98*VLOOKUP('Données projet'!$B$9,Paramètres!$A$1:$I$89,3,0)*0.475*44/12</f>
        <v>30.725026172369851</v>
      </c>
      <c r="AB98" s="21">
        <f>EXP(-LN(2)/2)*AB97+(1-EXP(-LN(2)/2))/(LN(2)/2)*V98*Y98*VLOOKUP('Données projet'!$B$9,Paramètres!$A$1:$I$89,3,0)*0.475*44/12</f>
        <v>4.7009559722748531</v>
      </c>
      <c r="AC98" s="22">
        <f t="shared" si="57"/>
        <v>66.42725157507563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408.246209980743</v>
      </c>
      <c r="AO98" s="59">
        <f t="shared" si="90"/>
        <v>394.10236303013903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42.409066851630513</v>
      </c>
      <c r="AV98" s="21">
        <f>EXP(-LN(2)/25)*AV97+(1-EXP(-LN(2)/25))/(LN(2)/25)*Calculateur!AQ98*Calculateur!AS98*VLOOKUP('Données projet'!$B$10,Paramètres!$A$1:$I$89,3,0)*0.475*44/12</f>
        <v>37.180755278154017</v>
      </c>
      <c r="AW98" s="21">
        <f>EXP(-LN(2)/2)*AW97+(1-EXP(-LN(2)/2))/(LN(2)/2)*AQ98*AT98*VLOOKUP('Données projet'!$B$10,Paramètres!$A$1:$I$89,3,0)*0.475*44/12</f>
        <v>0.37863943210758533</v>
      </c>
      <c r="AX98" s="21">
        <f t="shared" si="60"/>
        <v>79.968461561892113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8.9420000000000019</v>
      </c>
      <c r="BD98" s="12">
        <f>IF('Données projet'!$A$88&gt;35,BD97+BC98-BL97,IF(A98&lt;'Données projet'!$A$88,$BA$205^A98,IF(A98='Données projet'!$A$88,'Données projet'!$B$88,BD97+BC98-BL97)))</f>
        <v>321.72200000000049</v>
      </c>
      <c r="BE98" s="13">
        <f>BD98*VLOOKUP('Données projet'!$B$11,Paramètres!$A$1:$I$89,3,0)*VLOOKUP('Données projet'!$B$11,Paramètres!$A$1:$I$89,5,0)</f>
        <v>306.15065520000047</v>
      </c>
      <c r="BF98" s="13">
        <f t="shared" si="91"/>
        <v>72.464350104451199</v>
      </c>
      <c r="BG98" s="20">
        <f t="shared" si="61"/>
        <v>659.42113423858666</v>
      </c>
      <c r="BH98" s="59">
        <f t="shared" si="62"/>
        <v>935.36858015735265</v>
      </c>
      <c r="BI98" s="59">
        <f ca="1">AVERAGE(OFFSET($BH$3,0,0,'Données projet'!$E$11+1,1))-AVERAGE(OFFSET($H$3,0,0,'Données projet'!$E$11+1,1))</f>
        <v>711.91538686535682</v>
      </c>
      <c r="BJ98" s="59">
        <f t="shared" si="92"/>
        <v>313.24593837351722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29.093499003942867</v>
      </c>
      <c r="BQ98" s="21">
        <f>EXP(-LN(2)/25)*BQ97+(1-EXP(-LN(2)/25))/(LN(2)/25)*Calculateur!BL98*Calculateur!BN98*VLOOKUP('Données projet'!$B$11,Paramètres!$A$1:$I$89,3,0)*0.475*44/12</f>
        <v>28.834255330993241</v>
      </c>
      <c r="BR98" s="21">
        <f>EXP(-LN(2)/2)*BR97+(1-EXP(-LN(2)/2))/(LN(2)/2)*BL98*BO98*VLOOKUP('Données projet'!$B$11,Paramètres!$A$1:$I$89,3,0)*0.475*44/12</f>
        <v>4.4116663739810154</v>
      </c>
      <c r="BS98" s="22">
        <f t="shared" si="63"/>
        <v>62.339420708917125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8.9420000000000019</v>
      </c>
      <c r="BY98" s="12">
        <f>IF('Données projet'!$A$114&gt;35,BY97+BX98-CG97,IF(A98&lt;'Données projet'!$A$114,$BV$205^A98,IF(A98='Données projet'!$A$114,'Données projet'!$B$114,BY97+BX98-CG97)))</f>
        <v>321.72200000000049</v>
      </c>
      <c r="BZ98" s="13">
        <f>BY98*VLOOKUP('Données projet'!$B$12,Paramètres!$A$1:$I$89,3,0)*VLOOKUP('Données projet'!$B$12,Paramètres!$A$1:$I$89,5,0)</f>
        <v>291.09406560000048</v>
      </c>
      <c r="CA98" s="13">
        <f t="shared" si="93"/>
        <v>69.306175582041092</v>
      </c>
      <c r="CB98" s="20">
        <f t="shared" si="64"/>
        <v>627.697086725389</v>
      </c>
      <c r="CC98" s="59">
        <f t="shared" si="65"/>
        <v>903.64453264415488</v>
      </c>
      <c r="CD98" s="59">
        <f ca="1">AVERAGE(OFFSET($CC$3,0,0,'Données projet'!$E$12+1,1))-AVERAGE(OFFSET($H$3,0,0,'Données projet'!$E$12+1,1))</f>
        <v>681.47578137804555</v>
      </c>
      <c r="CE98" s="59">
        <f t="shared" si="94"/>
        <v>300.88511065995885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27.662671184076828</v>
      </c>
      <c r="CL98" s="21">
        <f>EXP(-LN(2)/25)*CL97+(1-EXP(-LN(2)/25))/(LN(2)/25)*Calculateur!CG98*Calculateur!CI98*VLOOKUP('Données projet'!$B$12,Paramètres!$A$1:$I$89,3,0)*0.475*44/12</f>
        <v>27.416177199960789</v>
      </c>
      <c r="CM98" s="21">
        <f>EXP(-LN(2)/2)*CM97+(1-EXP(-LN(2)/2))/(LN(2)/2)*CG98*CJ98*VLOOKUP('Données projet'!$B$12,Paramètres!$A$1:$I$89,3,0)*0.475*44/12</f>
        <v>4.1946991752606371</v>
      </c>
      <c r="CN98" s="22">
        <f t="shared" si="66"/>
        <v>59.273547559298251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-8.5265128291212022E-14</v>
      </c>
      <c r="CU98" s="17">
        <f>CT98*VLOOKUP('Données projet'!$B$13,Paramètres!$A$1:$I$89,3,0)*VLOOKUP('Données projet'!$B$13,Paramètres!$A$1:$I$89,5,0)</f>
        <v>-6.9167072069831198E-14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186.54446846714993</v>
      </c>
      <c r="CZ98" s="59">
        <f t="shared" si="96"/>
        <v>154.43773051601286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</v>
      </c>
      <c r="DG98" s="21">
        <f>EXP(-LN(2)/25)*DG97+(1-EXP(-LN(2)/25))/(LN(2)/25)*Calculateur!DB98*Calculateur!DD98*VLOOKUP('Données projet'!$B$13,Paramètres!$A$1:$I$89,3,0)*0.475*44/12</f>
        <v>14.084925733663693</v>
      </c>
      <c r="DH98" s="21">
        <f>EXP(-LN(2)/2)*DH97+(1-EXP(-LN(2)/2))/(LN(2)/2)*DB98*DE98*VLOOKUP('Données projet'!$B$13,Paramètres!$A$1:$I$89,3,0)*0.475*44/12</f>
        <v>4.4273840757834835</v>
      </c>
      <c r="DI98" s="22">
        <f t="shared" si="69"/>
        <v>18.512309809447178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6.9749999999999996</v>
      </c>
      <c r="DO98" s="12">
        <f>IF('Données projet'!$A$166&gt;35,DO97+DN98-DW97,IF(A98&lt;'Données projet'!$A$166,$DL$205^A98,IF(A98='Données projet'!$A$166,'Données projet'!$B$166,DO97+DN98-DW97)))</f>
        <v>232.59000000000023</v>
      </c>
      <c r="DP98" s="17">
        <f>DO98*VLOOKUP('Données projet'!$B$14,Paramètres!$A$1:$I$89,3,0)*VLOOKUP('Données projet'!$B$14,Paramètres!$A$1:$I$89,5,0)</f>
        <v>264.87349200000023</v>
      </c>
      <c r="DQ98" s="13">
        <f t="shared" si="97"/>
        <v>63.760084061509247</v>
      </c>
      <c r="DR98" s="20">
        <f t="shared" si="70"/>
        <v>572.37014497379562</v>
      </c>
      <c r="DS98" s="59">
        <f t="shared" si="71"/>
        <v>848.31759089256161</v>
      </c>
      <c r="DT98" s="59">
        <f ca="1">AVERAGE(OFFSET($DS$3,0,0,'Données projet'!$E$14+1,1))-AVERAGE(OFFSET($H$3,0,0,'Données projet'!$E$14+1,1))</f>
        <v>651.35546372812314</v>
      </c>
      <c r="DU98" s="59">
        <f t="shared" si="98"/>
        <v>293.6561676213388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7.9125986123585861</v>
      </c>
      <c r="EB98" s="21">
        <f>EXP(-LN(2)/25)*EB97+(1-EXP(-LN(2)/25))/(LN(2)/25)*Calculateur!DW98*Calculateur!DY98*VLOOKUP('Données projet'!$B$14,Paramètres!$A$1:$I$89,3,0)*0.475*44/12</f>
        <v>43.206621658509846</v>
      </c>
      <c r="EC98" s="21">
        <f>EXP(-LN(2)/2)*EC97+(1-EXP(-LN(2)/2))/(LN(2)/2)*DW98*DZ98*VLOOKUP('Données projet'!$B$14,Paramètres!$A$1:$I$89,3,0)*0.475*44/12</f>
        <v>2.4728668341552873</v>
      </c>
      <c r="ED98" s="22">
        <f t="shared" si="72"/>
        <v>53.592087105023722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>
        <f>VLOOKUP(A98,'Données projet'!$A$191:$I$211,2,0)</f>
        <v>151.28205128205127</v>
      </c>
      <c r="EH98" s="12">
        <f>VLOOKUP(A98,'Données projet'!$A$191:$I$211,9,0)</f>
        <v>1.7948717948717956</v>
      </c>
      <c r="EI98" s="12">
        <f t="array" ref="EI98">INDEX(EH:EH,MIN(IF(ISNUMBER(EH98:EH294),ROW(EH98:EH294),"")))</f>
        <v>1.7948717948717956</v>
      </c>
      <c r="EJ98" s="12">
        <f>IF('Données projet'!$A$192&gt;35,EJ97+EI98-ER97,IF(A98&lt;'Données projet'!$A$192,$EG$205^A98,IF(A98='Données projet'!$A$192,'Données projet'!$B$192,EJ97+EI98-ER97)))</f>
        <v>151.2820512820513</v>
      </c>
      <c r="EK98" s="17">
        <f>EJ98*VLOOKUP('Données projet'!$B$15,Paramètres!$A$1:$I$89,3,0)*VLOOKUP('Données projet'!$B$15,Paramètres!$A$1:$I$89,5,0)</f>
        <v>158.12000000000003</v>
      </c>
      <c r="EL98" s="13">
        <f t="shared" si="99"/>
        <v>40.418184903854836</v>
      </c>
      <c r="EM98" s="20">
        <f t="shared" si="73"/>
        <v>345.78733870754724</v>
      </c>
      <c r="EN98" s="59">
        <f t="shared" si="74"/>
        <v>621.73478462631317</v>
      </c>
      <c r="EO98" s="59">
        <f ca="1">AVERAGE(OFFSET($EN$3,0,0,'Données projet'!$E$15+1,1))-AVERAGE(OFFSET($H$3,0,0,'Données projet'!$E$15+1,1))</f>
        <v>290.69667785754848</v>
      </c>
      <c r="EP98" s="59">
        <f t="shared" si="100"/>
        <v>256.28124185489082</v>
      </c>
      <c r="EQ98" s="15">
        <f>IF(ISNA(VLOOKUP(A98,'Données projet'!$A$191:$I$211,3,0)),0,VLOOKUP(A98,'Données projet'!$A$191:$I$211,3,0))</f>
        <v>16</v>
      </c>
      <c r="ER98" s="15">
        <f>IF(ISNA(VLOOKUP(A98,'Données projet'!$A$191:$I$211,4,0)),0,VLOOKUP(A98,'Données projet'!$A$191:$I$211,4,0))</f>
        <v>7.0512820512820511</v>
      </c>
      <c r="ES98" s="16">
        <f>IF(ISNA(VLOOKUP(A98,'Données projet'!$A$191:$I$211,5,0)),0%,VLOOKUP(A98,'Données projet'!$A$191:$I$211,5,0)*VLOOKUP('Données projet'!$B$15,Paramètres!$A$1:$I$89,7,0))</f>
        <v>4.3000000000000003E-2</v>
      </c>
      <c r="ET98" s="16">
        <f>IF(ISNA(VLOOKUP(A98,'Données projet'!$A$191:$I$211,6,0)),0%,VLOOKUP(A98,'Données projet'!$A$191:$I$211,6,0)*VLOOKUP('Données projet'!$B$15,Paramètres!$A$1:$I$89,7,0))</f>
        <v>0.215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2.7734194026687824</v>
      </c>
      <c r="EW98" s="21">
        <f>EXP(-LN(2)/25)*EW97+(1-EXP(-LN(2)/25))/(LN(2)/25)*Calculateur!ER98*Calculateur!ET98*VLOOKUP('Données projet'!$B$15,Paramètres!$A$1:$I$89,3,0)*0.475*44/12</f>
        <v>17.221812779603791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19.995232182272574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8.9420000000000019</v>
      </c>
      <c r="N99" s="13">
        <f>IF('Données projet'!$A$36&gt;35,N98+M99-V98,IF(A99&lt;'Données projet'!$A$36,$K$205^A99,IF(A99='Données projet'!$A$36,'Données projet'!$B$36,N98+M99-V98)))</f>
        <v>330.6640000000005</v>
      </c>
      <c r="O99" s="13">
        <f>N99*VLOOKUP('Données projet'!$B$9,Paramètres!$A$1:$I$89,3,0)*VLOOKUP('Données projet'!$B$9,Paramètres!$A$1:$I$89,5,0)</f>
        <v>335.29329600000057</v>
      </c>
      <c r="P99" s="13">
        <f t="shared" si="87"/>
        <v>78.526724041362712</v>
      </c>
      <c r="Q99" s="20">
        <f t="shared" ref="Q99:Q130" si="107">(O99+P99)*0.475*44/12</f>
        <v>720.73653490537436</v>
      </c>
      <c r="R99" s="59">
        <f t="shared" si="55"/>
        <v>996.98558710176178</v>
      </c>
      <c r="S99" s="59">
        <f ca="1">AVERAGE(OFFSET($R$3,0,0,'Données projet'!$E$9+1,1))-AVERAGE(OFFSET($H$3,0,0,'Données projet'!$E$9+1,1))</f>
        <v>752.45542076695506</v>
      </c>
      <c r="T99" s="59">
        <f t="shared" si="88"/>
        <v>329.70629768420724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30.393353445807435</v>
      </c>
      <c r="AA99" s="21">
        <f>EXP(-LN(2)/25)*AA98+(1-EXP(-LN(2)/25))/(LN(2)/25)*Calculateur!V99*Calculateur!X99*VLOOKUP('Données projet'!$B$9,Paramètres!$A$1:$I$89,3,0)*0.475*44/12</f>
        <v>29.884848715927493</v>
      </c>
      <c r="AB99" s="21">
        <f>EXP(-LN(2)/2)*AB98+(1-EXP(-LN(2)/2))/(LN(2)/2)*V99*Y99*VLOOKUP('Données projet'!$B$9,Paramètres!$A$1:$I$89,3,0)*0.475*44/12</f>
        <v>3.3240778460549487</v>
      </c>
      <c r="AC99" s="22">
        <f t="shared" si="57"/>
        <v>63.602280007789872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408.246209980743</v>
      </c>
      <c r="AO99" s="59">
        <f t="shared" si="90"/>
        <v>394.10236303013903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41.577450917646665</v>
      </c>
      <c r="AV99" s="21">
        <f>EXP(-LN(2)/25)*AV98+(1-EXP(-LN(2)/25))/(LN(2)/25)*Calculateur!AQ99*Calculateur!AS99*VLOOKUP('Données projet'!$B$10,Paramètres!$A$1:$I$89,3,0)*0.475*44/12</f>
        <v>36.164045569821951</v>
      </c>
      <c r="AW99" s="21">
        <f>EXP(-LN(2)/2)*AW98+(1-EXP(-LN(2)/2))/(LN(2)/2)*AQ99*AT99*VLOOKUP('Données projet'!$B$10,Paramètres!$A$1:$I$89,3,0)*0.475*44/12</f>
        <v>0.26773851006789695</v>
      </c>
      <c r="AX99" s="21">
        <f t="shared" si="60"/>
        <v>78.009234997536524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8.9420000000000019</v>
      </c>
      <c r="BD99" s="12">
        <f>IF('Données projet'!$A$88&gt;35,BD98+BC99-BL98,IF(A99&lt;'Données projet'!$A$88,$BA$205^A99,IF(A99='Données projet'!$A$88,'Données projet'!$B$88,BD98+BC99-BL98)))</f>
        <v>330.6640000000005</v>
      </c>
      <c r="BE99" s="13">
        <f>BD99*VLOOKUP('Données projet'!$B$11,Paramètres!$A$1:$I$89,3,0)*VLOOKUP('Données projet'!$B$11,Paramètres!$A$1:$I$89,5,0)</f>
        <v>314.65986240000052</v>
      </c>
      <c r="BF99" s="13">
        <f t="shared" si="91"/>
        <v>74.241148258745596</v>
      </c>
      <c r="BG99" s="20">
        <f t="shared" si="61"/>
        <v>677.3359268973162</v>
      </c>
      <c r="BH99" s="59">
        <f t="shared" si="62"/>
        <v>953.58497909370362</v>
      </c>
      <c r="BI99" s="59">
        <f ca="1">AVERAGE(OFFSET($BH$3,0,0,'Données projet'!$E$11+1,1))-AVERAGE(OFFSET($H$3,0,0,'Données projet'!$E$11+1,1))</f>
        <v>711.91538686535682</v>
      </c>
      <c r="BJ99" s="59">
        <f t="shared" si="92"/>
        <v>313.24593837351722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28.522993233757738</v>
      </c>
      <c r="BQ99" s="21">
        <f>EXP(-LN(2)/25)*BQ98+(1-EXP(-LN(2)/25))/(LN(2)/25)*Calculateur!BL99*Calculateur!BN99*VLOOKUP('Données projet'!$B$11,Paramètres!$A$1:$I$89,3,0)*0.475*44/12</f>
        <v>28.045781102639644</v>
      </c>
      <c r="BR99" s="21">
        <f>EXP(-LN(2)/2)*BR98+(1-EXP(-LN(2)/2))/(LN(2)/2)*BL99*BO99*VLOOKUP('Données projet'!$B$11,Paramètres!$A$1:$I$89,3,0)*0.475*44/12</f>
        <v>3.1195192093746438</v>
      </c>
      <c r="BS99" s="22">
        <f t="shared" si="63"/>
        <v>59.688293545772027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8.9420000000000019</v>
      </c>
      <c r="BY99" s="12">
        <f>IF('Données projet'!$A$114&gt;35,BY98+BX99-CG98,IF(A99&lt;'Données projet'!$A$114,$BV$205^A99,IF(A99='Données projet'!$A$114,'Données projet'!$B$114,BY98+BX99-CG98)))</f>
        <v>330.6640000000005</v>
      </c>
      <c r="BZ99" s="13">
        <f>BY99*VLOOKUP('Données projet'!$B$12,Paramètres!$A$1:$I$89,3,0)*VLOOKUP('Données projet'!$B$12,Paramètres!$A$1:$I$89,5,0)</f>
        <v>299.18478720000041</v>
      </c>
      <c r="CA99" s="13">
        <f t="shared" si="93"/>
        <v>71.005536504727559</v>
      </c>
      <c r="CB99" s="20">
        <f t="shared" si="64"/>
        <v>644.74814711906788</v>
      </c>
      <c r="CC99" s="59">
        <f t="shared" si="65"/>
        <v>920.9971993154553</v>
      </c>
      <c r="CD99" s="59">
        <f ca="1">AVERAGE(OFFSET($CC$3,0,0,'Données projet'!$E$12+1,1))-AVERAGE(OFFSET($H$3,0,0,'Données projet'!$E$12+1,1))</f>
        <v>681.47578137804555</v>
      </c>
      <c r="CE99" s="59">
        <f t="shared" si="94"/>
        <v>300.88511065995885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27.120223074720478</v>
      </c>
      <c r="CL99" s="21">
        <f>EXP(-LN(2)/25)*CL98+(1-EXP(-LN(2)/25))/(LN(2)/25)*Calculateur!CG99*Calculateur!CI99*VLOOKUP('Données projet'!$B$12,Paramètres!$A$1:$I$89,3,0)*0.475*44/12</f>
        <v>26.666480392673762</v>
      </c>
      <c r="CM99" s="21">
        <f>EXP(-LN(2)/2)*CM98+(1-EXP(-LN(2)/2))/(LN(2)/2)*CG99*CJ99*VLOOKUP('Données projet'!$B$12,Paramètres!$A$1:$I$89,3,0)*0.475*44/12</f>
        <v>2.9661002318644147</v>
      </c>
      <c r="CN99" s="22">
        <f t="shared" si="66"/>
        <v>56.752803699258656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-8.5265128291212022E-14</v>
      </c>
      <c r="CU99" s="17">
        <f>CT99*VLOOKUP('Données projet'!$B$13,Paramètres!$A$1:$I$89,3,0)*VLOOKUP('Données projet'!$B$13,Paramètres!$A$1:$I$89,5,0)</f>
        <v>-6.9167072069831198E-14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186.54446846714993</v>
      </c>
      <c r="CZ99" s="59">
        <f t="shared" si="96"/>
        <v>154.43773051601286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</v>
      </c>
      <c r="DG99" s="21">
        <f>EXP(-LN(2)/25)*DG98+(1-EXP(-LN(2)/25))/(LN(2)/25)*Calculateur!DB99*Calculateur!DD99*VLOOKUP('Données projet'!$B$13,Paramètres!$A$1:$I$89,3,0)*0.475*44/12</f>
        <v>13.699772698782606</v>
      </c>
      <c r="DH99" s="21">
        <f>EXP(-LN(2)/2)*DH98+(1-EXP(-LN(2)/2))/(LN(2)/2)*DB99*DE99*VLOOKUP('Données projet'!$B$13,Paramètres!$A$1:$I$89,3,0)*0.475*44/12</f>
        <v>3.1306333029038367</v>
      </c>
      <c r="DI99" s="22">
        <f t="shared" si="69"/>
        <v>16.830406001686441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6.9749999999999996</v>
      </c>
      <c r="DO99" s="12">
        <f>IF('Données projet'!$A$166&gt;35,DO98+DN99-DW98,IF(A99&lt;'Données projet'!$A$166,$DL$205^A99,IF(A99='Données projet'!$A$166,'Données projet'!$B$166,DO98+DN99-DW98)))</f>
        <v>239.56500000000023</v>
      </c>
      <c r="DP99" s="17">
        <f>DO99*VLOOKUP('Données projet'!$B$14,Paramètres!$A$1:$I$89,3,0)*VLOOKUP('Données projet'!$B$14,Paramètres!$A$1:$I$89,5,0)</f>
        <v>272.81662200000022</v>
      </c>
      <c r="DQ99" s="13">
        <f t="shared" si="97"/>
        <v>65.446666042096084</v>
      </c>
      <c r="DR99" s="20">
        <f t="shared" si="70"/>
        <v>589.14189333998434</v>
      </c>
      <c r="DS99" s="59">
        <f t="shared" si="71"/>
        <v>865.39094553637176</v>
      </c>
      <c r="DT99" s="59">
        <f ca="1">AVERAGE(OFFSET($DS$3,0,0,'Données projet'!$E$14+1,1))-AVERAGE(OFFSET($H$3,0,0,'Données projet'!$E$14+1,1))</f>
        <v>651.35546372812314</v>
      </c>
      <c r="DU99" s="59">
        <f t="shared" si="98"/>
        <v>293.6561676213388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7.757437379778839</v>
      </c>
      <c r="EB99" s="21">
        <f>EXP(-LN(2)/25)*EB98+(1-EXP(-LN(2)/25))/(LN(2)/25)*Calculateur!DW99*Calculateur!DY99*VLOOKUP('Données projet'!$B$14,Paramètres!$A$1:$I$89,3,0)*0.475*44/12</f>
        <v>42.025134317120411</v>
      </c>
      <c r="EC99" s="21">
        <f>EXP(-LN(2)/2)*EC98+(1-EXP(-LN(2)/2))/(LN(2)/2)*DW99*DZ99*VLOOKUP('Données projet'!$B$14,Paramètres!$A$1:$I$89,3,0)*0.475*44/12</f>
        <v>1.7485809074025134</v>
      </c>
      <c r="ED99" s="22">
        <f t="shared" si="72"/>
        <v>51.531152604301766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1.9230769230769227</v>
      </c>
      <c r="EJ99" s="12">
        <f>IF('Données projet'!$A$192&gt;35,EJ98+EI99-ER98,IF(A99&lt;'Données projet'!$A$192,$EG$205^A99,IF(A99='Données projet'!$A$192,'Données projet'!$B$192,EJ98+EI99-ER98)))</f>
        <v>146.15384615384619</v>
      </c>
      <c r="EK99" s="17">
        <f>EJ99*VLOOKUP('Données projet'!$B$15,Paramètres!$A$1:$I$89,3,0)*VLOOKUP('Données projet'!$B$15,Paramètres!$A$1:$I$89,5,0)</f>
        <v>152.76000000000005</v>
      </c>
      <c r="EL99" s="13">
        <f t="shared" si="99"/>
        <v>39.205138402364092</v>
      </c>
      <c r="EM99" s="20">
        <f t="shared" si="73"/>
        <v>334.33928271745089</v>
      </c>
      <c r="EN99" s="59">
        <f t="shared" si="74"/>
        <v>610.58833491383825</v>
      </c>
      <c r="EO99" s="59">
        <f ca="1">AVERAGE(OFFSET($EN$3,0,0,'Données projet'!$E$15+1,1))-AVERAGE(OFFSET($H$3,0,0,'Données projet'!$E$15+1,1))</f>
        <v>290.69667785754848</v>
      </c>
      <c r="EP99" s="59">
        <f t="shared" si="100"/>
        <v>256.28124185489082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2.7190343398012495</v>
      </c>
      <c r="EW99" s="21">
        <f>EXP(-LN(2)/25)*EW98+(1-EXP(-LN(2)/25))/(LN(2)/25)*Calculateur!ER99*Calculateur!ET99*VLOOKUP('Données projet'!$B$15,Paramètres!$A$1:$I$89,3,0)*0.475*44/12</f>
        <v>16.750881403489753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19.469915743291004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8.9420000000000019</v>
      </c>
      <c r="N100" s="13">
        <f>IF('Données projet'!$A$36&gt;35,N99+M100-V99,IF(A100&lt;'Données projet'!$A$36,$K$205^A100,IF(A100='Données projet'!$A$36,'Données projet'!$B$36,N99+M100-V99)))</f>
        <v>339.60600000000051</v>
      </c>
      <c r="O100" s="13">
        <f>N100*VLOOKUP('Données projet'!$B$9,Paramètres!$A$1:$I$89,3,0)*VLOOKUP('Données projet'!$B$9,Paramètres!$A$1:$I$89,5,0)</f>
        <v>344.36048400000055</v>
      </c>
      <c r="P100" s="13">
        <f t="shared" si="87"/>
        <v>80.400180766145681</v>
      </c>
      <c r="Q100" s="20">
        <f t="shared" si="107"/>
        <v>739.79149113437143</v>
      </c>
      <c r="R100" s="59">
        <f t="shared" si="55"/>
        <v>1016.3369174137542</v>
      </c>
      <c r="S100" s="59">
        <f ca="1">AVERAGE(OFFSET($R$3,0,0,'Données projet'!$E$9+1,1))-AVERAGE(OFFSET($H$3,0,0,'Données projet'!$E$9+1,1))</f>
        <v>752.45542076695506</v>
      </c>
      <c r="T100" s="59">
        <f t="shared" si="88"/>
        <v>329.70629768420724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29.797358322850265</v>
      </c>
      <c r="AA100" s="21">
        <f>EXP(-LN(2)/25)*AA99+(1-EXP(-LN(2)/25))/(LN(2)/25)*Calculateur!V100*Calculateur!X100*VLOOKUP('Données projet'!$B$9,Paramètres!$A$1:$I$89,3,0)*0.475*44/12</f>
        <v>29.067645956214566</v>
      </c>
      <c r="AB100" s="21">
        <f>EXP(-LN(2)/2)*AB99+(1-EXP(-LN(2)/2))/(LN(2)/2)*V100*Y100*VLOOKUP('Données projet'!$B$9,Paramètres!$A$1:$I$89,3,0)*0.475*44/12</f>
        <v>2.350477986137427</v>
      </c>
      <c r="AC100" s="22">
        <f t="shared" si="57"/>
        <v>61.215482265202262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408.246209980743</v>
      </c>
      <c r="AO100" s="59">
        <f t="shared" si="90"/>
        <v>394.10236303013903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40.762142464892605</v>
      </c>
      <c r="AV100" s="21">
        <f>EXP(-LN(2)/25)*AV99+(1-EXP(-LN(2)/25))/(LN(2)/25)*Calculateur!AQ100*Calculateur!AS100*VLOOKUP('Données projet'!$B$10,Paramètres!$A$1:$I$89,3,0)*0.475*44/12</f>
        <v>35.17513784193067</v>
      </c>
      <c r="AW100" s="21">
        <f>EXP(-LN(2)/2)*AW99+(1-EXP(-LN(2)/2))/(LN(2)/2)*AQ100*AT100*VLOOKUP('Données projet'!$B$10,Paramètres!$A$1:$I$89,3,0)*0.475*44/12</f>
        <v>0.18931971605379266</v>
      </c>
      <c r="AX100" s="21">
        <f t="shared" si="60"/>
        <v>76.126600022877071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8.9420000000000019</v>
      </c>
      <c r="BD100" s="12">
        <f>IF('Données projet'!$A$88&gt;35,BD99+BC100-BL99,IF(A100&lt;'Données projet'!$A$88,$BA$205^A100,IF(A100='Données projet'!$A$88,'Données projet'!$B$88,BD99+BC100-BL99)))</f>
        <v>339.60600000000051</v>
      </c>
      <c r="BE100" s="13">
        <f>BD100*VLOOKUP('Données projet'!$B$11,Paramètres!$A$1:$I$89,3,0)*VLOOKUP('Données projet'!$B$11,Paramètres!$A$1:$I$89,5,0)</f>
        <v>323.16906960000051</v>
      </c>
      <c r="BF100" s="13">
        <f t="shared" si="91"/>
        <v>76.012361564265504</v>
      </c>
      <c r="BG100" s="20">
        <f t="shared" si="61"/>
        <v>695.24099261109666</v>
      </c>
      <c r="BH100" s="59">
        <f t="shared" si="62"/>
        <v>971.78641889047947</v>
      </c>
      <c r="BI100" s="59">
        <f ca="1">AVERAGE(OFFSET($BH$3,0,0,'Données projet'!$E$11+1,1))-AVERAGE(OFFSET($H$3,0,0,'Données projet'!$E$11+1,1))</f>
        <v>711.91538686535682</v>
      </c>
      <c r="BJ100" s="59">
        <f t="shared" si="92"/>
        <v>313.24593837351722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27.96367473375178</v>
      </c>
      <c r="BQ100" s="21">
        <f>EXP(-LN(2)/25)*BQ99+(1-EXP(-LN(2)/25))/(LN(2)/25)*Calculateur!BL100*Calculateur!BN100*VLOOKUP('Données projet'!$B$11,Paramètres!$A$1:$I$89,3,0)*0.475*44/12</f>
        <v>27.278867743524433</v>
      </c>
      <c r="BR100" s="21">
        <f>EXP(-LN(2)/2)*BR99+(1-EXP(-LN(2)/2))/(LN(2)/2)*BL100*BO100*VLOOKUP('Données projet'!$B$11,Paramètres!$A$1:$I$89,3,0)*0.475*44/12</f>
        <v>2.2058331869905081</v>
      </c>
      <c r="BS100" s="22">
        <f t="shared" si="63"/>
        <v>57.448375664266727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8.9420000000000019</v>
      </c>
      <c r="BY100" s="12">
        <f>IF('Données projet'!$A$114&gt;35,BY99+BX100-CG99,IF(A100&lt;'Données projet'!$A$114,$BV$205^A100,IF(A100='Données projet'!$A$114,'Données projet'!$B$114,BY99+BX100-CG99)))</f>
        <v>339.60600000000051</v>
      </c>
      <c r="BZ100" s="13">
        <f>BY100*VLOOKUP('Données projet'!$B$12,Paramètres!$A$1:$I$89,3,0)*VLOOKUP('Données projet'!$B$12,Paramètres!$A$1:$I$89,5,0)</f>
        <v>307.27550880000041</v>
      </c>
      <c r="CA100" s="13">
        <f t="shared" si="93"/>
        <v>72.699555980078841</v>
      </c>
      <c r="CB100" s="20">
        <f t="shared" si="64"/>
        <v>661.78990449197136</v>
      </c>
      <c r="CC100" s="59">
        <f t="shared" si="65"/>
        <v>938.33533077135417</v>
      </c>
      <c r="CD100" s="59">
        <f ca="1">AVERAGE(OFFSET($CC$3,0,0,'Données projet'!$E$12+1,1))-AVERAGE(OFFSET($H$3,0,0,'Données projet'!$E$12+1,1))</f>
        <v>681.47578137804555</v>
      </c>
      <c r="CE100" s="59">
        <f t="shared" si="94"/>
        <v>300.88511065995885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26.588412041927928</v>
      </c>
      <c r="CL100" s="21">
        <f>EXP(-LN(2)/25)*CL99+(1-EXP(-LN(2)/25))/(LN(2)/25)*Calculateur!CG100*Calculateur!CI100*VLOOKUP('Données projet'!$B$12,Paramètres!$A$1:$I$89,3,0)*0.475*44/12</f>
        <v>25.937284084006841</v>
      </c>
      <c r="CM100" s="21">
        <f>EXP(-LN(2)/2)*CM99+(1-EXP(-LN(2)/2))/(LN(2)/2)*CG100*CJ100*VLOOKUP('Données projet'!$B$12,Paramètres!$A$1:$I$89,3,0)*0.475*44/12</f>
        <v>2.0973495876303185</v>
      </c>
      <c r="CN100" s="22">
        <f t="shared" si="66"/>
        <v>54.623045713565091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-8.5265128291212022E-14</v>
      </c>
      <c r="CU100" s="17">
        <f>CT100*VLOOKUP('Données projet'!$B$13,Paramètres!$A$1:$I$89,3,0)*VLOOKUP('Données projet'!$B$13,Paramètres!$A$1:$I$89,5,0)</f>
        <v>-6.9167072069831198E-14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186.54446846714993</v>
      </c>
      <c r="CZ100" s="59">
        <f t="shared" si="96"/>
        <v>154.43773051601286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</v>
      </c>
      <c r="DG100" s="21">
        <f>EXP(-LN(2)/25)*DG99+(1-EXP(-LN(2)/25))/(LN(2)/25)*Calculateur!DB100*Calculateur!DD100*VLOOKUP('Données projet'!$B$13,Paramètres!$A$1:$I$89,3,0)*0.475*44/12</f>
        <v>13.325151693894661</v>
      </c>
      <c r="DH100" s="21">
        <f>EXP(-LN(2)/2)*DH99+(1-EXP(-LN(2)/2))/(LN(2)/2)*DB100*DE100*VLOOKUP('Données projet'!$B$13,Paramètres!$A$1:$I$89,3,0)*0.475*44/12</f>
        <v>2.2136920378917417</v>
      </c>
      <c r="DI100" s="22">
        <f t="shared" si="69"/>
        <v>15.538843731786402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6.9749999999999996</v>
      </c>
      <c r="DO100" s="12">
        <f>IF('Données projet'!$A$166&gt;35,DO99+DN100-DW99,IF(A100&lt;'Données projet'!$A$166,$DL$205^A100,IF(A100='Données projet'!$A$166,'Données projet'!$B$166,DO99+DN100-DW99)))</f>
        <v>246.54000000000022</v>
      </c>
      <c r="DP100" s="17">
        <f>DO100*VLOOKUP('Données projet'!$B$14,Paramètres!$A$1:$I$89,3,0)*VLOOKUP('Données projet'!$B$14,Paramètres!$A$1:$I$89,5,0)</f>
        <v>280.75975200000028</v>
      </c>
      <c r="DQ100" s="13">
        <f t="shared" si="97"/>
        <v>67.127540989347452</v>
      </c>
      <c r="DR100" s="20">
        <f t="shared" si="70"/>
        <v>605.90370195644721</v>
      </c>
      <c r="DS100" s="59">
        <f t="shared" si="71"/>
        <v>882.44912823583002</v>
      </c>
      <c r="DT100" s="59">
        <f ca="1">AVERAGE(OFFSET($DS$3,0,0,'Données projet'!$E$14+1,1))-AVERAGE(OFFSET($H$3,0,0,'Données projet'!$E$14+1,1))</f>
        <v>651.35546372812314</v>
      </c>
      <c r="DU100" s="59">
        <f t="shared" si="98"/>
        <v>293.6561676213388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7.6053187643309741</v>
      </c>
      <c r="EB100" s="21">
        <f>EXP(-LN(2)/25)*EB99+(1-EXP(-LN(2)/25))/(LN(2)/25)*Calculateur!DW100*Calculateur!DY100*VLOOKUP('Données projet'!$B$14,Paramètres!$A$1:$I$89,3,0)*0.475*44/12</f>
        <v>40.875954809212992</v>
      </c>
      <c r="EC100" s="21">
        <f>EXP(-LN(2)/2)*EC99+(1-EXP(-LN(2)/2))/(LN(2)/2)*DW100*DZ100*VLOOKUP('Données projet'!$B$14,Paramètres!$A$1:$I$89,3,0)*0.475*44/12</f>
        <v>1.2364334170776439</v>
      </c>
      <c r="ED100" s="22">
        <f t="shared" si="72"/>
        <v>49.717706990621608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1.9230769230769227</v>
      </c>
      <c r="EJ100" s="12">
        <f>IF('Données projet'!$A$192&gt;35,EJ99+EI100-ER99,IF(A100&lt;'Données projet'!$A$192,$EG$205^A100,IF(A100='Données projet'!$A$192,'Données projet'!$B$192,EJ99+EI100-ER99)))</f>
        <v>148.07692307692312</v>
      </c>
      <c r="EK100" s="17">
        <f>EJ100*VLOOKUP('Données projet'!$B$15,Paramètres!$A$1:$I$89,3,0)*VLOOKUP('Données projet'!$B$15,Paramètres!$A$1:$I$89,5,0)</f>
        <v>154.77000000000007</v>
      </c>
      <c r="EL100" s="13">
        <f t="shared" si="99"/>
        <v>39.660602363834606</v>
      </c>
      <c r="EM100" s="20">
        <f t="shared" si="73"/>
        <v>338.63329911701209</v>
      </c>
      <c r="EN100" s="59">
        <f t="shared" si="74"/>
        <v>615.17872539639484</v>
      </c>
      <c r="EO100" s="59">
        <f ca="1">AVERAGE(OFFSET($EN$3,0,0,'Données projet'!$E$15+1,1))-AVERAGE(OFFSET($H$3,0,0,'Données projet'!$E$15+1,1))</f>
        <v>290.69667785754848</v>
      </c>
      <c r="EP100" s="59">
        <f t="shared" si="100"/>
        <v>256.28124185489082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2.6657157348449361</v>
      </c>
      <c r="EW100" s="21">
        <f>EXP(-LN(2)/25)*EW99+(1-EXP(-LN(2)/25))/(LN(2)/25)*Calculateur!ER100*Calculateur!ET100*VLOOKUP('Données projet'!$B$15,Paramètres!$A$1:$I$89,3,0)*0.475*44/12</f>
        <v>16.292827670620756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18.958543405465694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8.9420000000000019</v>
      </c>
      <c r="N101" s="13">
        <f>IF('Données projet'!$A$36&gt;35,N100+M101-V100,IF(A101&lt;'Données projet'!$A$36,$K$205^A101,IF(A101='Données projet'!$A$36,'Données projet'!$B$36,N100+M101-V100)))</f>
        <v>348.54800000000051</v>
      </c>
      <c r="O101" s="13">
        <f>N101*VLOOKUP('Données projet'!$B$9,Paramètres!$A$1:$I$89,3,0)*VLOOKUP('Données projet'!$B$9,Paramètres!$A$1:$I$89,5,0)</f>
        <v>353.42767200000054</v>
      </c>
      <c r="P101" s="13">
        <f t="shared" si="87"/>
        <v>82.26790367650959</v>
      </c>
      <c r="Q101" s="20">
        <f t="shared" si="107"/>
        <v>758.83646096992186</v>
      </c>
      <c r="R101" s="59">
        <f t="shared" si="55"/>
        <v>1035.6731199045532</v>
      </c>
      <c r="S101" s="59">
        <f ca="1">AVERAGE(OFFSET($R$3,0,0,'Données projet'!$E$9+1,1))-AVERAGE(OFFSET($H$3,0,0,'Données projet'!$E$9+1,1))</f>
        <v>752.45542076695506</v>
      </c>
      <c r="T101" s="59">
        <f t="shared" si="88"/>
        <v>329.70629768420724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29.213050300733155</v>
      </c>
      <c r="AA101" s="21">
        <f>EXP(-LN(2)/25)*AA100+(1-EXP(-LN(2)/25))/(LN(2)/25)*Calculateur!V101*Calculateur!X101*VLOOKUP('Données projet'!$B$9,Paramètres!$A$1:$I$89,3,0)*0.475*44/12</f>
        <v>28.272789648940812</v>
      </c>
      <c r="AB101" s="21">
        <f>EXP(-LN(2)/2)*AB100+(1-EXP(-LN(2)/2))/(LN(2)/2)*V101*Y101*VLOOKUP('Données projet'!$B$9,Paramètres!$A$1:$I$89,3,0)*0.475*44/12</f>
        <v>1.6620389230274746</v>
      </c>
      <c r="AC101" s="22">
        <f t="shared" si="57"/>
        <v>59.14787887270144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408.246209980743</v>
      </c>
      <c r="AO101" s="59">
        <f t="shared" si="90"/>
        <v>394.10236303013903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39.962821713608001</v>
      </c>
      <c r="AV101" s="21">
        <f>EXP(-LN(2)/25)*AV100+(1-EXP(-LN(2)/25))/(LN(2)/25)*Calculateur!AQ101*Calculateur!AS101*VLOOKUP('Données projet'!$B$10,Paramètres!$A$1:$I$89,3,0)*0.475*44/12</f>
        <v>34.21327184786297</v>
      </c>
      <c r="AW101" s="21">
        <f>EXP(-LN(2)/2)*AW100+(1-EXP(-LN(2)/2))/(LN(2)/2)*AQ101*AT101*VLOOKUP('Données projet'!$B$10,Paramètres!$A$1:$I$89,3,0)*0.475*44/12</f>
        <v>0.13386925503394848</v>
      </c>
      <c r="AX101" s="21">
        <f t="shared" si="60"/>
        <v>74.309962816504907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8.9420000000000019</v>
      </c>
      <c r="BD101" s="12">
        <f>IF('Données projet'!$A$88&gt;35,BD100+BC101-BL100,IF(A101&lt;'Données projet'!$A$88,$BA$205^A101,IF(A101='Données projet'!$A$88,'Données projet'!$B$88,BD100+BC101-BL100)))</f>
        <v>348.54800000000051</v>
      </c>
      <c r="BE101" s="13">
        <f>BD101*VLOOKUP('Données projet'!$B$11,Paramètres!$A$1:$I$89,3,0)*VLOOKUP('Données projet'!$B$11,Paramètres!$A$1:$I$89,5,0)</f>
        <v>331.6782768000005</v>
      </c>
      <c r="BF101" s="13">
        <f t="shared" si="91"/>
        <v>77.778153976814764</v>
      </c>
      <c r="BG101" s="20">
        <f t="shared" si="61"/>
        <v>713.13661693628671</v>
      </c>
      <c r="BH101" s="59">
        <f t="shared" si="62"/>
        <v>989.97327587091809</v>
      </c>
      <c r="BI101" s="59">
        <f ca="1">AVERAGE(OFFSET($BH$3,0,0,'Données projet'!$E$11+1,1))-AVERAGE(OFFSET($H$3,0,0,'Données projet'!$E$11+1,1))</f>
        <v>711.91538686535682</v>
      </c>
      <c r="BJ101" s="59">
        <f t="shared" si="92"/>
        <v>313.24593837351722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27.415324128380341</v>
      </c>
      <c r="BQ101" s="21">
        <f>EXP(-LN(2)/25)*BQ100+(1-EXP(-LN(2)/25))/(LN(2)/25)*Calculateur!BL101*Calculateur!BN101*VLOOKUP('Données projet'!$B$11,Paramètres!$A$1:$I$89,3,0)*0.475*44/12</f>
        <v>26.532925670544451</v>
      </c>
      <c r="BR101" s="21">
        <f>EXP(-LN(2)/2)*BR100+(1-EXP(-LN(2)/2))/(LN(2)/2)*BL101*BO101*VLOOKUP('Données projet'!$B$11,Paramètres!$A$1:$I$89,3,0)*0.475*44/12</f>
        <v>1.5597596046873221</v>
      </c>
      <c r="BS101" s="22">
        <f t="shared" si="63"/>
        <v>55.508009403612114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8.9420000000000019</v>
      </c>
      <c r="BY101" s="12">
        <f>IF('Données projet'!$A$114&gt;35,BY100+BX101-CG100,IF(A101&lt;'Données projet'!$A$114,$BV$205^A101,IF(A101='Données projet'!$A$114,'Données projet'!$B$114,BY100+BX101-CG100)))</f>
        <v>348.54800000000051</v>
      </c>
      <c r="BZ101" s="13">
        <f>BY101*VLOOKUP('Données projet'!$B$12,Paramètres!$A$1:$I$89,3,0)*VLOOKUP('Données projet'!$B$12,Paramètres!$A$1:$I$89,5,0)</f>
        <v>315.36623040000046</v>
      </c>
      <c r="CA101" s="13">
        <f t="shared" si="93"/>
        <v>74.38839081830163</v>
      </c>
      <c r="CB101" s="20">
        <f t="shared" si="64"/>
        <v>678.82263195520943</v>
      </c>
      <c r="CC101" s="59">
        <f t="shared" si="65"/>
        <v>955.6592908898408</v>
      </c>
      <c r="CD101" s="59">
        <f ca="1">AVERAGE(OFFSET($CC$3,0,0,'Données projet'!$E$12+1,1))-AVERAGE(OFFSET($H$3,0,0,'Données projet'!$E$12+1,1))</f>
        <v>681.47578137804555</v>
      </c>
      <c r="CE101" s="59">
        <f t="shared" si="94"/>
        <v>300.88511065995885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26.067029499115737</v>
      </c>
      <c r="CL101" s="21">
        <f>EXP(-LN(2)/25)*CL100+(1-EXP(-LN(2)/25))/(LN(2)/25)*Calculateur!CG101*Calculateur!CI101*VLOOKUP('Données projet'!$B$12,Paramètres!$A$1:$I$89,3,0)*0.475*44/12</f>
        <v>25.228027686747183</v>
      </c>
      <c r="CM101" s="21">
        <f>EXP(-LN(2)/2)*CM100+(1-EXP(-LN(2)/2))/(LN(2)/2)*CG101*CJ101*VLOOKUP('Données projet'!$B$12,Paramètres!$A$1:$I$89,3,0)*0.475*44/12</f>
        <v>1.4830501159322074</v>
      </c>
      <c r="CN101" s="22">
        <f t="shared" si="66"/>
        <v>52.778107301795124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-8.5265128291212022E-14</v>
      </c>
      <c r="CU101" s="17">
        <f>CT101*VLOOKUP('Données projet'!$B$13,Paramètres!$A$1:$I$89,3,0)*VLOOKUP('Données projet'!$B$13,Paramètres!$A$1:$I$89,5,0)</f>
        <v>-6.9167072069831198E-14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186.54446846714993</v>
      </c>
      <c r="CZ101" s="59">
        <f t="shared" si="96"/>
        <v>154.43773051601286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</v>
      </c>
      <c r="DG101" s="21">
        <f>EXP(-LN(2)/25)*DG100+(1-EXP(-LN(2)/25))/(LN(2)/25)*Calculateur!DB101*Calculateur!DD101*VLOOKUP('Données projet'!$B$13,Paramètres!$A$1:$I$89,3,0)*0.475*44/12</f>
        <v>12.960774720085839</v>
      </c>
      <c r="DH101" s="21">
        <f>EXP(-LN(2)/2)*DH100+(1-EXP(-LN(2)/2))/(LN(2)/2)*DB101*DE101*VLOOKUP('Données projet'!$B$13,Paramètres!$A$1:$I$89,3,0)*0.475*44/12</f>
        <v>1.5653166514519183</v>
      </c>
      <c r="DI101" s="22">
        <f t="shared" si="69"/>
        <v>14.526091371537756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6.9749999999999996</v>
      </c>
      <c r="DO101" s="12">
        <f>IF('Données projet'!$A$166&gt;35,DO100+DN101-DW100,IF(A101&lt;'Données projet'!$A$166,$DL$205^A101,IF(A101='Données projet'!$A$166,'Données projet'!$B$166,DO100+DN101-DW100)))</f>
        <v>253.51500000000021</v>
      </c>
      <c r="DP101" s="17">
        <f>DO101*VLOOKUP('Données projet'!$B$14,Paramètres!$A$1:$I$89,3,0)*VLOOKUP('Données projet'!$B$14,Paramètres!$A$1:$I$89,5,0)</f>
        <v>288.70288200000027</v>
      </c>
      <c r="DQ101" s="13">
        <f t="shared" si="97"/>
        <v>68.802888910333508</v>
      </c>
      <c r="DR101" s="20">
        <f t="shared" si="70"/>
        <v>622.65588433549806</v>
      </c>
      <c r="DS101" s="59">
        <f t="shared" si="71"/>
        <v>899.49254327012943</v>
      </c>
      <c r="DT101" s="59">
        <f ca="1">AVERAGE(OFFSET($DS$3,0,0,'Données projet'!$E$14+1,1))-AVERAGE(OFFSET($H$3,0,0,'Données projet'!$E$14+1,1))</f>
        <v>651.35546372812314</v>
      </c>
      <c r="DU101" s="59">
        <f t="shared" si="98"/>
        <v>293.6561676213388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7.4561831021488478</v>
      </c>
      <c r="EB101" s="21">
        <f>EXP(-LN(2)/25)*EB100+(1-EXP(-LN(2)/25))/(LN(2)/25)*Calculateur!DW101*Calculateur!DY101*VLOOKUP('Données projet'!$B$14,Paramètres!$A$1:$I$89,3,0)*0.475*44/12</f>
        <v>39.758199675382023</v>
      </c>
      <c r="EC101" s="21">
        <f>EXP(-LN(2)/2)*EC100+(1-EXP(-LN(2)/2))/(LN(2)/2)*DW101*DZ101*VLOOKUP('Données projet'!$B$14,Paramètres!$A$1:$I$89,3,0)*0.475*44/12</f>
        <v>0.8742904537012568</v>
      </c>
      <c r="ED101" s="22">
        <f t="shared" si="72"/>
        <v>48.088673231232129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1.9230769230769227</v>
      </c>
      <c r="EJ101" s="12">
        <f>IF('Données projet'!$A$192&gt;35,EJ100+EI101-ER100,IF(A101&lt;'Données projet'!$A$192,$EG$205^A101,IF(A101='Données projet'!$A$192,'Données projet'!$B$192,EJ100+EI101-ER100)))</f>
        <v>150.00000000000006</v>
      </c>
      <c r="EK101" s="17">
        <f>EJ101*VLOOKUP('Données projet'!$B$15,Paramètres!$A$1:$I$89,3,0)*VLOOKUP('Données projet'!$B$15,Paramètres!$A$1:$I$89,5,0)</f>
        <v>156.78000000000006</v>
      </c>
      <c r="EL101" s="13">
        <f t="shared" si="99"/>
        <v>40.115378305457973</v>
      </c>
      <c r="EM101" s="20">
        <f t="shared" si="73"/>
        <v>342.92611721533939</v>
      </c>
      <c r="EN101" s="59">
        <f t="shared" si="74"/>
        <v>619.7627761499707</v>
      </c>
      <c r="EO101" s="59">
        <f ca="1">AVERAGE(OFFSET($EN$3,0,0,'Données projet'!$E$15+1,1))-AVERAGE(OFFSET($H$3,0,0,'Données projet'!$E$15+1,1))</f>
        <v>290.69667785754848</v>
      </c>
      <c r="EP101" s="59">
        <f t="shared" si="100"/>
        <v>256.28124185489082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2.6134426752106781</v>
      </c>
      <c r="EW101" s="21">
        <f>EXP(-LN(2)/25)*EW100+(1-EXP(-LN(2)/25))/(LN(2)/25)*Calculateur!ER101*Calculateur!ET101*VLOOKUP('Données projet'!$B$15,Paramètres!$A$1:$I$89,3,0)*0.475*44/12</f>
        <v>15.847299441165061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18.460742116375741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8.9420000000000019</v>
      </c>
      <c r="N102" s="13">
        <f>IF('Données projet'!$A$36&gt;35,N101+M102-V101,IF(A102&lt;'Données projet'!$A$36,$K$205^A102,IF(A102='Données projet'!$A$36,'Données projet'!$B$36,N101+M102-V101)))</f>
        <v>357.49000000000052</v>
      </c>
      <c r="O102" s="13">
        <f>N102*VLOOKUP('Données projet'!$B$9,Paramètres!$A$1:$I$89,3,0)*VLOOKUP('Données projet'!$B$9,Paramètres!$A$1:$I$89,5,0)</f>
        <v>362.49486000000059</v>
      </c>
      <c r="P102" s="13">
        <f t="shared" si="87"/>
        <v>84.130056787487845</v>
      </c>
      <c r="Q102" s="20">
        <f t="shared" si="107"/>
        <v>777.87173007154217</v>
      </c>
      <c r="R102" s="59">
        <f t="shared" si="55"/>
        <v>1054.9945694259522</v>
      </c>
      <c r="S102" s="59">
        <f ca="1">AVERAGE(OFFSET($R$3,0,0,'Données projet'!$E$9+1,1))-AVERAGE(OFFSET($H$3,0,0,'Données projet'!$E$9+1,1))</f>
        <v>752.45542076695506</v>
      </c>
      <c r="T102" s="59">
        <f t="shared" si="88"/>
        <v>329.70629768420724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28.640200202537059</v>
      </c>
      <c r="AA102" s="21">
        <f>EXP(-LN(2)/25)*AA101+(1-EXP(-LN(2)/25))/(LN(2)/25)*Calculateur!V102*Calculateur!X102*VLOOKUP('Données projet'!$B$9,Paramètres!$A$1:$I$89,3,0)*0.475*44/12</f>
        <v>27.499668729189136</v>
      </c>
      <c r="AB102" s="21">
        <f>EXP(-LN(2)/2)*AB101+(1-EXP(-LN(2)/2))/(LN(2)/2)*V102*Y102*VLOOKUP('Données projet'!$B$9,Paramètres!$A$1:$I$89,3,0)*0.475*44/12</f>
        <v>1.1752389930687137</v>
      </c>
      <c r="AC102" s="22">
        <f t="shared" si="57"/>
        <v>57.315107924794916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408.246209980743</v>
      </c>
      <c r="AO102" s="59">
        <f t="shared" si="90"/>
        <v>394.10236303013903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39.179175154718571</v>
      </c>
      <c r="AV102" s="21">
        <f>EXP(-LN(2)/25)*AV101+(1-EXP(-LN(2)/25))/(LN(2)/25)*Calculateur!AQ102*Calculateur!AS102*VLOOKUP('Données projet'!$B$10,Paramètres!$A$1:$I$89,3,0)*0.475*44/12</f>
        <v>33.277708129985385</v>
      </c>
      <c r="AW102" s="21">
        <f>EXP(-LN(2)/2)*AW101+(1-EXP(-LN(2)/2))/(LN(2)/2)*AQ102*AT102*VLOOKUP('Données projet'!$B$10,Paramètres!$A$1:$I$89,3,0)*0.475*44/12</f>
        <v>9.4659858026896332E-2</v>
      </c>
      <c r="AX102" s="21">
        <f t="shared" si="60"/>
        <v>72.551543142730864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8.9420000000000019</v>
      </c>
      <c r="BD102" s="12">
        <f>IF('Données projet'!$A$88&gt;35,BD101+BC102-BL101,IF(A102&lt;'Données projet'!$A$88,$BA$205^A102,IF(A102='Données projet'!$A$88,'Données projet'!$B$88,BD101+BC102-BL101)))</f>
        <v>357.49000000000052</v>
      </c>
      <c r="BE102" s="13">
        <f>BD102*VLOOKUP('Données projet'!$B$11,Paramètres!$A$1:$I$89,3,0)*VLOOKUP('Données projet'!$B$11,Paramètres!$A$1:$I$89,5,0)</f>
        <v>340.1874840000005</v>
      </c>
      <c r="BF102" s="13">
        <f t="shared" si="91"/>
        <v>79.538680560348226</v>
      </c>
      <c r="BG102" s="20">
        <f t="shared" si="61"/>
        <v>731.02306994260732</v>
      </c>
      <c r="BH102" s="59">
        <f t="shared" si="62"/>
        <v>1008.1459092970174</v>
      </c>
      <c r="BI102" s="59">
        <f ca="1">AVERAGE(OFFSET($BH$3,0,0,'Données projet'!$E$11+1,1))-AVERAGE(OFFSET($H$3,0,0,'Données projet'!$E$11+1,1))</f>
        <v>711.91538686535682</v>
      </c>
      <c r="BJ102" s="59">
        <f t="shared" si="92"/>
        <v>313.24593837351722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26.877726343919392</v>
      </c>
      <c r="BQ102" s="21">
        <f>EXP(-LN(2)/25)*BQ101+(1-EXP(-LN(2)/25))/(LN(2)/25)*Calculateur!BL102*Calculateur!BN102*VLOOKUP('Données projet'!$B$11,Paramètres!$A$1:$I$89,3,0)*0.475*44/12</f>
        <v>25.807381422777492</v>
      </c>
      <c r="BR102" s="21">
        <f>EXP(-LN(2)/2)*BR101+(1-EXP(-LN(2)/2))/(LN(2)/2)*BL102*BO102*VLOOKUP('Données projet'!$B$11,Paramètres!$A$1:$I$89,3,0)*0.475*44/12</f>
        <v>1.1029165934952543</v>
      </c>
      <c r="BS102" s="22">
        <f t="shared" si="63"/>
        <v>53.788024360192139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8.9420000000000019</v>
      </c>
      <c r="BY102" s="12">
        <f>IF('Données projet'!$A$114&gt;35,BY101+BX102-CG101,IF(A102&lt;'Données projet'!$A$114,$BV$205^A102,IF(A102='Données projet'!$A$114,'Données projet'!$B$114,BY101+BX102-CG101)))</f>
        <v>357.49000000000052</v>
      </c>
      <c r="BZ102" s="13">
        <f>BY102*VLOOKUP('Données projet'!$B$12,Paramètres!$A$1:$I$89,3,0)*VLOOKUP('Données projet'!$B$12,Paramètres!$A$1:$I$89,5,0)</f>
        <v>323.45695200000046</v>
      </c>
      <c r="CA102" s="13">
        <f t="shared" si="93"/>
        <v>76.072189325282608</v>
      </c>
      <c r="CB102" s="20">
        <f t="shared" si="64"/>
        <v>695.84658780820121</v>
      </c>
      <c r="CC102" s="59">
        <f t="shared" si="65"/>
        <v>972.96942716261128</v>
      </c>
      <c r="CD102" s="59">
        <f ca="1">AVERAGE(OFFSET($CC$3,0,0,'Données projet'!$E$12+1,1))-AVERAGE(OFFSET($H$3,0,0,'Données projet'!$E$12+1,1))</f>
        <v>681.47578137804555</v>
      </c>
      <c r="CE102" s="59">
        <f t="shared" si="94"/>
        <v>300.88511065995885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25.555870949956144</v>
      </c>
      <c r="CL102" s="21">
        <f>EXP(-LN(2)/25)*CL101+(1-EXP(-LN(2)/25))/(LN(2)/25)*Calculateur!CG102*Calculateur!CI102*VLOOKUP('Données projet'!$B$12,Paramètres!$A$1:$I$89,3,0)*0.475*44/12</f>
        <v>24.538165942968764</v>
      </c>
      <c r="CM102" s="21">
        <f>EXP(-LN(2)/2)*CM101+(1-EXP(-LN(2)/2))/(LN(2)/2)*CG102*CJ102*VLOOKUP('Données projet'!$B$12,Paramètres!$A$1:$I$89,3,0)*0.475*44/12</f>
        <v>1.0486747938151593</v>
      </c>
      <c r="CN102" s="22">
        <f t="shared" si="66"/>
        <v>51.142711686740064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-8.5265128291212022E-14</v>
      </c>
      <c r="CU102" s="17">
        <f>CT102*VLOOKUP('Données projet'!$B$13,Paramètres!$A$1:$I$89,3,0)*VLOOKUP('Données projet'!$B$13,Paramètres!$A$1:$I$89,5,0)</f>
        <v>-6.9167072069831198E-14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186.54446846714993</v>
      </c>
      <c r="CZ102" s="59">
        <f t="shared" si="96"/>
        <v>154.43773051601286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</v>
      </c>
      <c r="DG102" s="21">
        <f>EXP(-LN(2)/25)*DG101+(1-EXP(-LN(2)/25))/(LN(2)/25)*Calculateur!DB102*Calculateur!DD102*VLOOKUP('Données projet'!$B$13,Paramètres!$A$1:$I$89,3,0)*0.475*44/12</f>
        <v>12.606361653787571</v>
      </c>
      <c r="DH102" s="21">
        <f>EXP(-LN(2)/2)*DH101+(1-EXP(-LN(2)/2))/(LN(2)/2)*DB102*DE102*VLOOKUP('Données projet'!$B$13,Paramètres!$A$1:$I$89,3,0)*0.475*44/12</f>
        <v>1.1068460189458709</v>
      </c>
      <c r="DI102" s="22">
        <f t="shared" si="69"/>
        <v>13.713207672733443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6.9749999999999996</v>
      </c>
      <c r="DO102" s="12">
        <f>IF('Données projet'!$A$166&gt;35,DO101+DN102-DW101,IF(A102&lt;'Données projet'!$A$166,$DL$205^A102,IF(A102='Données projet'!$A$166,'Données projet'!$B$166,DO101+DN102-DW101)))</f>
        <v>260.49000000000024</v>
      </c>
      <c r="DP102" s="17">
        <f>DO102*VLOOKUP('Données projet'!$B$14,Paramètres!$A$1:$I$89,3,0)*VLOOKUP('Données projet'!$B$14,Paramètres!$A$1:$I$89,5,0)</f>
        <v>296.64601200000027</v>
      </c>
      <c r="DQ102" s="13">
        <f t="shared" si="97"/>
        <v>70.472879343291808</v>
      </c>
      <c r="DR102" s="20">
        <f t="shared" si="70"/>
        <v>639.39873575623369</v>
      </c>
      <c r="DS102" s="59">
        <f t="shared" si="71"/>
        <v>916.52157511064388</v>
      </c>
      <c r="DT102" s="59">
        <f ca="1">AVERAGE(OFFSET($DS$3,0,0,'Données projet'!$E$14+1,1))-AVERAGE(OFFSET($H$3,0,0,'Données projet'!$E$14+1,1))</f>
        <v>651.35546372812314</v>
      </c>
      <c r="DU102" s="59">
        <f t="shared" si="98"/>
        <v>293.6561676213388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7.3099718993383407</v>
      </c>
      <c r="EB102" s="21">
        <f>EXP(-LN(2)/25)*EB101+(1-EXP(-LN(2)/25))/(LN(2)/25)*Calculateur!DW102*Calculateur!DY102*VLOOKUP('Données projet'!$B$14,Paramètres!$A$1:$I$89,3,0)*0.475*44/12</f>
        <v>38.671009614465852</v>
      </c>
      <c r="EC102" s="21">
        <f>EXP(-LN(2)/2)*EC101+(1-EXP(-LN(2)/2))/(LN(2)/2)*DW102*DZ102*VLOOKUP('Données projet'!$B$14,Paramètres!$A$1:$I$89,3,0)*0.475*44/12</f>
        <v>0.61821670853882205</v>
      </c>
      <c r="ED102" s="22">
        <f t="shared" si="72"/>
        <v>46.59919822234302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1.9230769230769227</v>
      </c>
      <c r="EJ102" s="12">
        <f>IF('Données projet'!$A$192&gt;35,EJ101+EI102-ER101,IF(A102&lt;'Données projet'!$A$192,$EG$205^A102,IF(A102='Données projet'!$A$192,'Données projet'!$B$192,EJ101+EI102-ER101)))</f>
        <v>151.92307692307699</v>
      </c>
      <c r="EK102" s="17">
        <f>EJ102*VLOOKUP('Données projet'!$B$15,Paramètres!$A$1:$I$89,3,0)*VLOOKUP('Données projet'!$B$15,Paramètres!$A$1:$I$89,5,0)</f>
        <v>158.79000000000008</v>
      </c>
      <c r="EL102" s="13">
        <f t="shared" si="99"/>
        <v>40.569476067936968</v>
      </c>
      <c r="EM102" s="20">
        <f t="shared" si="73"/>
        <v>347.21775415165695</v>
      </c>
      <c r="EN102" s="59">
        <f t="shared" si="74"/>
        <v>624.34059350606708</v>
      </c>
      <c r="EO102" s="59">
        <f ca="1">AVERAGE(OFFSET($EN$3,0,0,'Données projet'!$E$15+1,1))-AVERAGE(OFFSET($H$3,0,0,'Données projet'!$E$15+1,1))</f>
        <v>290.69667785754848</v>
      </c>
      <c r="EP102" s="59">
        <f t="shared" si="100"/>
        <v>256.28124185489082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2.5621946583924298</v>
      </c>
      <c r="EW102" s="21">
        <f>EXP(-LN(2)/25)*EW101+(1-EXP(-LN(2)/25))/(LN(2)/25)*Calculateur!ER102*Calculateur!ET102*VLOOKUP('Données projet'!$B$15,Paramètres!$A$1:$I$89,3,0)*0.475*44/12</f>
        <v>15.413954204573145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17.976148862965573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8.9420000000000019</v>
      </c>
      <c r="N103" s="13">
        <f>IF('Données projet'!$A$36&gt;35,N102+M103-V102,IF(A103&lt;'Données projet'!$A$36,$K$205^A103,IF(A103='Données projet'!$A$36,'Données projet'!$B$36,N102+M103-V102)))</f>
        <v>366.43200000000053</v>
      </c>
      <c r="O103" s="13">
        <f>N103*VLOOKUP('Données projet'!$B$9,Paramètres!$A$1:$I$89,3,0)*VLOOKUP('Données projet'!$B$9,Paramètres!$A$1:$I$89,5,0)</f>
        <v>371.56204800000057</v>
      </c>
      <c r="P103" s="13">
        <f t="shared" si="87"/>
        <v>85.986795441367093</v>
      </c>
      <c r="Q103" s="20">
        <f t="shared" si="107"/>
        <v>796.89756899371525</v>
      </c>
      <c r="R103" s="59">
        <f t="shared" si="55"/>
        <v>1074.3016241774244</v>
      </c>
      <c r="S103" s="59">
        <f ca="1">AVERAGE(OFFSET($R$3,0,0,'Données projet'!$E$9+1,1))-AVERAGE(OFFSET($H$3,0,0,'Données projet'!$E$9+1,1))</f>
        <v>752.45542076695506</v>
      </c>
      <c r="T103" s="59">
        <f t="shared" si="88"/>
        <v>329.70629768420724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28.078583345362532</v>
      </c>
      <c r="AA103" s="21">
        <f>EXP(-LN(2)/25)*AA102+(1-EXP(-LN(2)/25))/(LN(2)/25)*Calculateur!V103*Calculateur!X103*VLOOKUP('Données projet'!$B$9,Paramètres!$A$1:$I$89,3,0)*0.475*44/12</f>
        <v>26.747688841644731</v>
      </c>
      <c r="AB103" s="21">
        <f>EXP(-LN(2)/2)*AB102+(1-EXP(-LN(2)/2))/(LN(2)/2)*V103*Y103*VLOOKUP('Données projet'!$B$9,Paramètres!$A$1:$I$89,3,0)*0.475*44/12</f>
        <v>0.8310194615137374</v>
      </c>
      <c r="AC103" s="22">
        <f t="shared" si="57"/>
        <v>55.657291648521003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408.246209980743</v>
      </c>
      <c r="AO103" s="59">
        <f t="shared" si="90"/>
        <v>394.10236303013903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38.410895426871761</v>
      </c>
      <c r="AV103" s="21">
        <f>EXP(-LN(2)/25)*AV102+(1-EXP(-LN(2)/25))/(LN(2)/25)*Calculateur!AQ103*Calculateur!AS103*VLOOKUP('Données projet'!$B$10,Paramètres!$A$1:$I$89,3,0)*0.475*44/12</f>
        <v>32.367727451172321</v>
      </c>
      <c r="AW103" s="21">
        <f>EXP(-LN(2)/2)*AW102+(1-EXP(-LN(2)/2))/(LN(2)/2)*AQ103*AT103*VLOOKUP('Données projet'!$B$10,Paramètres!$A$1:$I$89,3,0)*0.475*44/12</f>
        <v>6.6934627516974238E-2</v>
      </c>
      <c r="AX103" s="21">
        <f t="shared" si="60"/>
        <v>70.845557505561047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8.9420000000000019</v>
      </c>
      <c r="BD103" s="12">
        <f>IF('Données projet'!$A$88&gt;35,BD102+BC103-BL102,IF(A103&lt;'Données projet'!$A$88,$BA$205^A103,IF(A103='Données projet'!$A$88,'Données projet'!$B$88,BD102+BC103-BL102)))</f>
        <v>366.43200000000053</v>
      </c>
      <c r="BE103" s="13">
        <f>BD103*VLOOKUP('Données projet'!$B$11,Paramètres!$A$1:$I$89,3,0)*VLOOKUP('Données projet'!$B$11,Paramètres!$A$1:$I$89,5,0)</f>
        <v>348.69669120000049</v>
      </c>
      <c r="BF103" s="13">
        <f t="shared" si="91"/>
        <v>81.294088179387458</v>
      </c>
      <c r="BG103" s="20">
        <f t="shared" si="61"/>
        <v>748.90060741910065</v>
      </c>
      <c r="BH103" s="59">
        <f t="shared" si="62"/>
        <v>1026.3046626028099</v>
      </c>
      <c r="BI103" s="59">
        <f ca="1">AVERAGE(OFFSET($BH$3,0,0,'Données projet'!$E$11+1,1))-AVERAGE(OFFSET($H$3,0,0,'Données projet'!$E$11+1,1))</f>
        <v>711.91538686535682</v>
      </c>
      <c r="BJ103" s="59">
        <f t="shared" si="92"/>
        <v>313.24593837351722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26.35067052410945</v>
      </c>
      <c r="BQ103" s="21">
        <f>EXP(-LN(2)/25)*BQ102+(1-EXP(-LN(2)/25))/(LN(2)/25)*Calculateur!BL103*Calculateur!BN103*VLOOKUP('Données projet'!$B$11,Paramètres!$A$1:$I$89,3,0)*0.475*44/12</f>
        <v>25.101677220620438</v>
      </c>
      <c r="BR103" s="21">
        <f>EXP(-LN(2)/2)*BR102+(1-EXP(-LN(2)/2))/(LN(2)/2)*BL103*BO103*VLOOKUP('Données projet'!$B$11,Paramètres!$A$1:$I$89,3,0)*0.475*44/12</f>
        <v>0.77987980234366117</v>
      </c>
      <c r="BS103" s="22">
        <f t="shared" si="63"/>
        <v>52.232227547073556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8.9420000000000019</v>
      </c>
      <c r="BY103" s="12">
        <f>IF('Données projet'!$A$114&gt;35,BY102+BX103-CG102,IF(A103&lt;'Données projet'!$A$114,$BV$205^A103,IF(A103='Données projet'!$A$114,'Données projet'!$B$114,BY102+BX103-CG102)))</f>
        <v>366.43200000000053</v>
      </c>
      <c r="BZ103" s="13">
        <f>BY103*VLOOKUP('Données projet'!$B$12,Paramètres!$A$1:$I$89,3,0)*VLOOKUP('Données projet'!$B$12,Paramètres!$A$1:$I$89,5,0)</f>
        <v>331.54767360000045</v>
      </c>
      <c r="CA103" s="13">
        <f t="shared" si="93"/>
        <v>77.751091964826287</v>
      </c>
      <c r="CB103" s="20">
        <f t="shared" si="64"/>
        <v>712.86201669207321</v>
      </c>
      <c r="CC103" s="59">
        <f t="shared" si="65"/>
        <v>990.26607187578247</v>
      </c>
      <c r="CD103" s="59">
        <f ca="1">AVERAGE(OFFSET($CC$3,0,0,'Données projet'!$E$12+1,1))-AVERAGE(OFFSET($H$3,0,0,'Données projet'!$E$12+1,1))</f>
        <v>681.47578137804555</v>
      </c>
      <c r="CE103" s="59">
        <f t="shared" si="94"/>
        <v>300.88511065995885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25.054735908169643</v>
      </c>
      <c r="CL103" s="21">
        <f>EXP(-LN(2)/25)*CL102+(1-EXP(-LN(2)/25))/(LN(2)/25)*Calculateur!CG103*Calculateur!CI103*VLOOKUP('Données projet'!$B$12,Paramètres!$A$1:$I$89,3,0)*0.475*44/12</f>
        <v>23.86716850485222</v>
      </c>
      <c r="CM103" s="21">
        <f>EXP(-LN(2)/2)*CM102+(1-EXP(-LN(2)/2))/(LN(2)/2)*CG103*CJ103*VLOOKUP('Données projet'!$B$12,Paramètres!$A$1:$I$89,3,0)*0.475*44/12</f>
        <v>0.74152505796610368</v>
      </c>
      <c r="CN103" s="22">
        <f t="shared" si="66"/>
        <v>49.663429470987964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-8.5265128291212022E-14</v>
      </c>
      <c r="CU103" s="17">
        <f>CT103*VLOOKUP('Données projet'!$B$13,Paramètres!$A$1:$I$89,3,0)*VLOOKUP('Données projet'!$B$13,Paramètres!$A$1:$I$89,5,0)</f>
        <v>-6.9167072069831198E-14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186.54446846714993</v>
      </c>
      <c r="CZ103" s="59">
        <f t="shared" si="96"/>
        <v>154.43773051601286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</v>
      </c>
      <c r="DG103" s="21">
        <f>EXP(-LN(2)/25)*DG102+(1-EXP(-LN(2)/25))/(LN(2)/25)*Calculateur!DB103*Calculateur!DD103*VLOOKUP('Données projet'!$B$13,Paramètres!$A$1:$I$89,3,0)*0.475*44/12</f>
        <v>12.261640031425003</v>
      </c>
      <c r="DH103" s="21">
        <f>EXP(-LN(2)/2)*DH102+(1-EXP(-LN(2)/2))/(LN(2)/2)*DB103*DE103*VLOOKUP('Données projet'!$B$13,Paramètres!$A$1:$I$89,3,0)*0.475*44/12</f>
        <v>0.78265832572595917</v>
      </c>
      <c r="DI103" s="22">
        <f t="shared" si="69"/>
        <v>13.044298357150963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6.9749999999999996</v>
      </c>
      <c r="DO103" s="12">
        <f>IF('Données projet'!$A$166&gt;35,DO102+DN103-DW102,IF(A103&lt;'Données projet'!$A$166,$DL$205^A103,IF(A103='Données projet'!$A$166,'Données projet'!$B$166,DO102+DN103-DW102)))</f>
        <v>267.46500000000026</v>
      </c>
      <c r="DP103" s="17">
        <f>DO103*VLOOKUP('Données projet'!$B$14,Paramètres!$A$1:$I$89,3,0)*VLOOKUP('Données projet'!$B$14,Paramètres!$A$1:$I$89,5,0)</f>
        <v>304.58914200000032</v>
      </c>
      <c r="DQ103" s="13">
        <f t="shared" si="97"/>
        <v>72.137672230272273</v>
      </c>
      <c r="DR103" s="20">
        <f t="shared" si="70"/>
        <v>656.1325347843914</v>
      </c>
      <c r="DS103" s="59">
        <f t="shared" si="71"/>
        <v>933.53658996810054</v>
      </c>
      <c r="DT103" s="59">
        <f ca="1">AVERAGE(OFFSET($DS$3,0,0,'Données projet'!$E$14+1,1))-AVERAGE(OFFSET($H$3,0,0,'Données projet'!$E$14+1,1))</f>
        <v>651.35546372812314</v>
      </c>
      <c r="DU103" s="59">
        <f t="shared" si="98"/>
        <v>293.6561676213388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7.16662780903492</v>
      </c>
      <c r="EB103" s="21">
        <f>EXP(-LN(2)/25)*EB102+(1-EXP(-LN(2)/25))/(LN(2)/25)*Calculateur!DW103*Calculateur!DY103*VLOOKUP('Données projet'!$B$14,Paramètres!$A$1:$I$89,3,0)*0.475*44/12</f>
        <v>37.61354882293827</v>
      </c>
      <c r="EC103" s="21">
        <f>EXP(-LN(2)/2)*EC102+(1-EXP(-LN(2)/2))/(LN(2)/2)*DW103*DZ103*VLOOKUP('Données projet'!$B$14,Paramètres!$A$1:$I$89,3,0)*0.475*44/12</f>
        <v>0.43714522685062851</v>
      </c>
      <c r="ED103" s="22">
        <f t="shared" si="72"/>
        <v>45.217321858823823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>
        <f>VLOOKUP(A103,'Données projet'!$A$191:$I$211,2,0)</f>
        <v>153.84615384615384</v>
      </c>
      <c r="EH103" s="12">
        <f>VLOOKUP(A103,'Données projet'!$A$191:$I$211,9,0)</f>
        <v>1.9230769230769227</v>
      </c>
      <c r="EI103" s="12">
        <f t="array" ref="EI103">INDEX(EH:EH,MIN(IF(ISNUMBER(EH103:EH299),ROW(EH103:EH299),"")))</f>
        <v>1.9230769230769227</v>
      </c>
      <c r="EJ103" s="12">
        <f>IF('Données projet'!$A$192&gt;35,EJ102+EI103-ER102,IF(A103&lt;'Données projet'!$A$192,$EG$205^A103,IF(A103='Données projet'!$A$192,'Données projet'!$B$192,EJ102+EI103-ER102)))</f>
        <v>153.84615384615392</v>
      </c>
      <c r="EK103" s="17">
        <f>EJ103*VLOOKUP('Données projet'!$B$15,Paramètres!$A$1:$I$89,3,0)*VLOOKUP('Données projet'!$B$15,Paramètres!$A$1:$I$89,5,0)</f>
        <v>160.8000000000001</v>
      </c>
      <c r="EL103" s="13">
        <f t="shared" si="99"/>
        <v>41.022905228516315</v>
      </c>
      <c r="EM103" s="20">
        <f t="shared" si="73"/>
        <v>351.50822660633276</v>
      </c>
      <c r="EN103" s="59">
        <f t="shared" si="74"/>
        <v>628.91228179004202</v>
      </c>
      <c r="EO103" s="59">
        <f ca="1">AVERAGE(OFFSET($EN$3,0,0,'Données projet'!$E$15+1,1))-AVERAGE(OFFSET($H$3,0,0,'Données projet'!$E$15+1,1))</f>
        <v>290.69667785754848</v>
      </c>
      <c r="EP103" s="59">
        <f t="shared" si="100"/>
        <v>256.28124185489082</v>
      </c>
      <c r="EQ103" s="15">
        <f>IF(ISNA(VLOOKUP(A103,'Données projet'!$A$191:$I$211,3,0)),0,VLOOKUP(A103,'Données projet'!$A$191:$I$211,3,0))</f>
        <v>17</v>
      </c>
      <c r="ER103" s="15">
        <f>IF(ISNA(VLOOKUP(A103,'Données projet'!$A$191:$I$211,4,0)),0,VLOOKUP(A103,'Données projet'!$A$191:$I$211,4,0))</f>
        <v>153.84615384615384</v>
      </c>
      <c r="ES103" s="16">
        <f>IF(ISNA(VLOOKUP(A103,'Données projet'!$A$191:$I$211,5,0)),0%,VLOOKUP(A103,'Données projet'!$A$191:$I$211,5,0)*VLOOKUP('Données projet'!$B$15,Paramètres!$A$1:$I$89,7,0))</f>
        <v>8.6000000000000007E-2</v>
      </c>
      <c r="ET103" s="16">
        <f>IF(ISNA(VLOOKUP(A103,'Données projet'!$A$191:$I$211,6,0)),0%,VLOOKUP(A103,'Données projet'!$A$191:$I$211,6,0)*VLOOKUP('Données projet'!$B$15,Paramètres!$A$1:$I$89,7,0))</f>
        <v>0.17200000000000001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17.799280368411043</v>
      </c>
      <c r="EW103" s="21">
        <f>EXP(-LN(2)/25)*EW102+(1-EXP(-LN(2)/25))/(LN(2)/25)*Calculateur!ER103*Calculateur!ET103*VLOOKUP('Données projet'!$B$15,Paramètres!$A$1:$I$89,3,0)*0.475*44/12</f>
        <v>45.446732308528091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63.246012676939131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8.9420000000000019</v>
      </c>
      <c r="N104" s="13">
        <f>IF('Données projet'!$A$36&gt;35,N103+M104-V103,IF(A104&lt;'Données projet'!$A$36,$K$205^A104,IF(A104='Données projet'!$A$36,'Données projet'!$B$36,N103+M104-V103)))</f>
        <v>375.37400000000054</v>
      </c>
      <c r="O104" s="13">
        <f>N104*VLOOKUP('Données projet'!$B$9,Paramètres!$A$1:$I$89,3,0)*VLOOKUP('Données projet'!$B$9,Paramètres!$A$1:$I$89,5,0)</f>
        <v>380.62923600000056</v>
      </c>
      <c r="P104" s="13">
        <f t="shared" si="87"/>
        <v>87.83826696657087</v>
      </c>
      <c r="Q104" s="20">
        <f t="shared" si="107"/>
        <v>815.91423433344517</v>
      </c>
      <c r="R104" s="59">
        <f t="shared" si="55"/>
        <v>1093.5946268805196</v>
      </c>
      <c r="S104" s="59">
        <f ca="1">AVERAGE(OFFSET($R$3,0,0,'Données projet'!$E$9+1,1))-AVERAGE(OFFSET($H$3,0,0,'Données projet'!$E$9+1,1))</f>
        <v>752.45542076695506</v>
      </c>
      <c r="T104" s="59">
        <f t="shared" si="88"/>
        <v>329.70629768420724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27.527979452204736</v>
      </c>
      <c r="AA104" s="21">
        <f>EXP(-LN(2)/25)*AA103+(1-EXP(-LN(2)/25))/(LN(2)/25)*Calculateur!V104*Calculateur!X104*VLOOKUP('Données projet'!$B$9,Paramètres!$A$1:$I$89,3,0)*0.475*44/12</f>
        <v>26.016271883670132</v>
      </c>
      <c r="AB104" s="21">
        <f>EXP(-LN(2)/2)*AB103+(1-EXP(-LN(2)/2))/(LN(2)/2)*V104*Y104*VLOOKUP('Données projet'!$B$9,Paramètres!$A$1:$I$89,3,0)*0.475*44/12</f>
        <v>0.58761949653435686</v>
      </c>
      <c r="AC104" s="22">
        <f t="shared" si="57"/>
        <v>54.131870832409227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408.246209980743</v>
      </c>
      <c r="AO104" s="59">
        <f t="shared" si="90"/>
        <v>394.10236303013903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37.657681195883661</v>
      </c>
      <c r="AV104" s="21">
        <f>EXP(-LN(2)/25)*AV103+(1-EXP(-LN(2)/25))/(LN(2)/25)*Calculateur!AQ104*Calculateur!AS104*VLOOKUP('Données projet'!$B$10,Paramètres!$A$1:$I$89,3,0)*0.475*44/12</f>
        <v>31.482630241875206</v>
      </c>
      <c r="AW104" s="21">
        <f>EXP(-LN(2)/2)*AW103+(1-EXP(-LN(2)/2))/(LN(2)/2)*AQ104*AT104*VLOOKUP('Données projet'!$B$10,Paramètres!$A$1:$I$89,3,0)*0.475*44/12</f>
        <v>4.7329929013448166E-2</v>
      </c>
      <c r="AX104" s="21">
        <f t="shared" si="60"/>
        <v>69.187641366772311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8.9420000000000019</v>
      </c>
      <c r="BD104" s="12">
        <f>IF('Données projet'!$A$88&gt;35,BD103+BC104-BL103,IF(A104&lt;'Données projet'!$A$88,$BA$205^A104,IF(A104='Données projet'!$A$88,'Données projet'!$B$88,BD103+BC104-BL103)))</f>
        <v>375.37400000000054</v>
      </c>
      <c r="BE104" s="13">
        <f>BD104*VLOOKUP('Données projet'!$B$11,Paramètres!$A$1:$I$89,3,0)*VLOOKUP('Données projet'!$B$11,Paramètres!$A$1:$I$89,5,0)</f>
        <v>357.20589840000048</v>
      </c>
      <c r="BF104" s="13">
        <f t="shared" si="91"/>
        <v>83.044516121944824</v>
      </c>
      <c r="BG104" s="20">
        <f t="shared" si="61"/>
        <v>766.76947195905461</v>
      </c>
      <c r="BH104" s="59">
        <f t="shared" si="62"/>
        <v>1044.449864506129</v>
      </c>
      <c r="BI104" s="59">
        <f ca="1">AVERAGE(OFFSET($BH$3,0,0,'Données projet'!$E$11+1,1))-AVERAGE(OFFSET($H$3,0,0,'Données projet'!$E$11+1,1))</f>
        <v>711.91538686535682</v>
      </c>
      <c r="BJ104" s="59">
        <f t="shared" si="92"/>
        <v>313.24593837351722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25.833949947453675</v>
      </c>
      <c r="BQ104" s="21">
        <f>EXP(-LN(2)/25)*BQ103+(1-EXP(-LN(2)/25))/(LN(2)/25)*Calculateur!BL104*Calculateur!BN104*VLOOKUP('Données projet'!$B$11,Paramètres!$A$1:$I$89,3,0)*0.475*44/12</f>
        <v>24.415270536982739</v>
      </c>
      <c r="BR104" s="21">
        <f>EXP(-LN(2)/2)*BR103+(1-EXP(-LN(2)/2))/(LN(2)/2)*BL104*BO104*VLOOKUP('Données projet'!$B$11,Paramètres!$A$1:$I$89,3,0)*0.475*44/12</f>
        <v>0.55145829674762714</v>
      </c>
      <c r="BS104" s="22">
        <f t="shared" si="63"/>
        <v>50.80067878118404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8.9420000000000019</v>
      </c>
      <c r="BY104" s="12">
        <f>IF('Données projet'!$A$114&gt;35,BY103+BX104-CG103,IF(A104&lt;'Données projet'!$A$114,$BV$205^A104,IF(A104='Données projet'!$A$114,'Données projet'!$B$114,BY103+BX104-CG103)))</f>
        <v>375.37400000000054</v>
      </c>
      <c r="BZ104" s="13">
        <f>BY104*VLOOKUP('Données projet'!$B$12,Paramètres!$A$1:$I$89,3,0)*VLOOKUP('Données projet'!$B$12,Paramètres!$A$1:$I$89,5,0)</f>
        <v>339.6383952000005</v>
      </c>
      <c r="CA104" s="13">
        <f t="shared" si="93"/>
        <v>79.425231954431325</v>
      </c>
      <c r="CB104" s="20">
        <f t="shared" si="64"/>
        <v>729.86915062730213</v>
      </c>
      <c r="CC104" s="59">
        <f t="shared" si="65"/>
        <v>1007.5495431743766</v>
      </c>
      <c r="CD104" s="59">
        <f ca="1">AVERAGE(OFFSET($CC$3,0,0,'Données projet'!$E$12+1,1))-AVERAGE(OFFSET($H$3,0,0,'Données projet'!$E$12+1,1))</f>
        <v>681.47578137804555</v>
      </c>
      <c r="CE104" s="59">
        <f t="shared" si="94"/>
        <v>300.88511065995885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24.563427818890382</v>
      </c>
      <c r="CL104" s="21">
        <f>EXP(-LN(2)/25)*CL103+(1-EXP(-LN(2)/25))/(LN(2)/25)*Calculateur!CG104*Calculateur!CI104*VLOOKUP('Données projet'!$B$12,Paramètres!$A$1:$I$89,3,0)*0.475*44/12</f>
        <v>23.214519526967194</v>
      </c>
      <c r="CM104" s="21">
        <f>EXP(-LN(2)/2)*CM103+(1-EXP(-LN(2)/2))/(LN(2)/2)*CG104*CJ104*VLOOKUP('Données projet'!$B$12,Paramètres!$A$1:$I$89,3,0)*0.475*44/12</f>
        <v>0.52433739690757963</v>
      </c>
      <c r="CN104" s="22">
        <f t="shared" si="66"/>
        <v>48.302284742765153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-8.5265128291212022E-14</v>
      </c>
      <c r="CU104" s="17">
        <f>CT104*VLOOKUP('Données projet'!$B$13,Paramètres!$A$1:$I$89,3,0)*VLOOKUP('Données projet'!$B$13,Paramètres!$A$1:$I$89,5,0)</f>
        <v>-6.9167072069831198E-14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186.54446846714993</v>
      </c>
      <c r="CZ104" s="59">
        <f t="shared" si="96"/>
        <v>154.43773051601286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</v>
      </c>
      <c r="DG104" s="21">
        <f>EXP(-LN(2)/25)*DG103+(1-EXP(-LN(2)/25))/(LN(2)/25)*Calculateur!DB104*Calculateur!DD104*VLOOKUP('Données projet'!$B$13,Paramètres!$A$1:$I$89,3,0)*0.475*44/12</f>
        <v>11.926344839954062</v>
      </c>
      <c r="DH104" s="21">
        <f>EXP(-LN(2)/2)*DH103+(1-EXP(-LN(2)/2))/(LN(2)/2)*DB104*DE104*VLOOKUP('Données projet'!$B$13,Paramètres!$A$1:$I$89,3,0)*0.475*44/12</f>
        <v>0.55342300947293543</v>
      </c>
      <c r="DI104" s="22">
        <f t="shared" si="69"/>
        <v>12.479767849426997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6.9749999999999996</v>
      </c>
      <c r="DO104" s="12">
        <f>IF('Données projet'!$A$166&gt;35,DO103+DN104-DW103,IF(A104&lt;'Données projet'!$A$166,$DL$205^A104,IF(A104='Données projet'!$A$166,'Données projet'!$B$166,DO103+DN104-DW103)))</f>
        <v>274.44000000000028</v>
      </c>
      <c r="DP104" s="17">
        <f>DO104*VLOOKUP('Données projet'!$B$14,Paramètres!$A$1:$I$89,3,0)*VLOOKUP('Données projet'!$B$14,Paramètres!$A$1:$I$89,5,0)</f>
        <v>312.53227200000032</v>
      </c>
      <c r="DQ104" s="13">
        <f t="shared" si="97"/>
        <v>73.797418696194697</v>
      </c>
      <c r="DR104" s="20">
        <f t="shared" si="70"/>
        <v>672.85754462920625</v>
      </c>
      <c r="DS104" s="59">
        <f t="shared" si="71"/>
        <v>950.53793717628059</v>
      </c>
      <c r="DT104" s="59">
        <f ca="1">AVERAGE(OFFSET($DS$3,0,0,'Données projet'!$E$14+1,1))-AVERAGE(OFFSET($H$3,0,0,'Données projet'!$E$14+1,1))</f>
        <v>651.35546372812314</v>
      </c>
      <c r="DU104" s="59">
        <f t="shared" si="98"/>
        <v>293.6561676213388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7.0260946089110874</v>
      </c>
      <c r="EB104" s="21">
        <f>EXP(-LN(2)/25)*EB103+(1-EXP(-LN(2)/25))/(LN(2)/25)*Calculateur!DW104*Calculateur!DY104*VLOOKUP('Données projet'!$B$14,Paramètres!$A$1:$I$89,3,0)*0.475*44/12</f>
        <v>36.585004352364457</v>
      </c>
      <c r="EC104" s="21">
        <f>EXP(-LN(2)/2)*EC103+(1-EXP(-LN(2)/2))/(LN(2)/2)*DW104*DZ104*VLOOKUP('Données projet'!$B$14,Paramètres!$A$1:$I$89,3,0)*0.475*44/12</f>
        <v>0.30910835426941108</v>
      </c>
      <c r="ED104" s="22">
        <f t="shared" si="72"/>
        <v>43.920207315544957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8.5265128291212022E-14</v>
      </c>
      <c r="EK104" s="17">
        <f>EJ104*VLOOKUP('Données projet'!$B$15,Paramètres!$A$1:$I$89,3,0)*VLOOKUP('Données projet'!$B$15,Paramètres!$A$1:$I$89,5,0)</f>
        <v>8.9119112089974823E-14</v>
      </c>
      <c r="EL104" s="13">
        <f t="shared" si="99"/>
        <v>1.3568952080113142E-12</v>
      </c>
      <c r="EM104" s="20">
        <f t="shared" si="73"/>
        <v>2.5184749408430782E-12</v>
      </c>
      <c r="EN104" s="59">
        <f t="shared" si="74"/>
        <v>277.68039254707691</v>
      </c>
      <c r="EO104" s="59">
        <f ca="1">AVERAGE(OFFSET($EN$3,0,0,'Données projet'!$E$15+1,1))-AVERAGE(OFFSET($H$3,0,0,'Données projet'!$E$15+1,1))</f>
        <v>290.69667785754848</v>
      </c>
      <c r="EP104" s="59">
        <f t="shared" si="100"/>
        <v>256.28124185489082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17.450247336875538</v>
      </c>
      <c r="EW104" s="21">
        <f>EXP(-LN(2)/25)*EW103+(1-EXP(-LN(2)/25))/(LN(2)/25)*Calculateur!ER104*Calculateur!ET104*VLOOKUP('Données projet'!$B$15,Paramètres!$A$1:$I$89,3,0)*0.475*44/12</f>
        <v>44.203989023611605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61.654236360487147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8.9420000000000019</v>
      </c>
      <c r="N105" s="13">
        <f>IF('Données projet'!$A$36&gt;35,N104+M105-V104,IF(A105&lt;'Données projet'!$A$36,$K$205^A105,IF(A105='Données projet'!$A$36,'Données projet'!$B$36,N104+M105-V104)))</f>
        <v>384.31600000000054</v>
      </c>
      <c r="O105" s="13">
        <f>N105*VLOOKUP('Données projet'!$B$9,Paramètres!$A$1:$I$89,3,0)*VLOOKUP('Données projet'!$B$9,Paramètres!$A$1:$I$89,5,0)</f>
        <v>389.6964240000006</v>
      </c>
      <c r="P105" s="13">
        <f t="shared" si="87"/>
        <v>89.684611271990661</v>
      </c>
      <c r="Q105" s="20">
        <f t="shared" si="107"/>
        <v>834.9219697653848</v>
      </c>
      <c r="R105" s="59">
        <f t="shared" si="55"/>
        <v>1112.8739058403678</v>
      </c>
      <c r="S105" s="59">
        <f ca="1">AVERAGE(OFFSET($R$3,0,0,'Données projet'!$E$9+1,1))-AVERAGE(OFFSET($H$3,0,0,'Données projet'!$E$9+1,1))</f>
        <v>752.45542076695506</v>
      </c>
      <c r="T105" s="59">
        <f t="shared" si="88"/>
        <v>329.70629768420724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26.988172565556553</v>
      </c>
      <c r="AA105" s="21">
        <f>EXP(-LN(2)/25)*AA104+(1-EXP(-LN(2)/25))/(LN(2)/25)*Calculateur!V105*Calculateur!X105*VLOOKUP('Données projet'!$B$9,Paramètres!$A$1:$I$89,3,0)*0.475*44/12</f>
        <v>25.304855560874895</v>
      </c>
      <c r="AB105" s="21">
        <f>EXP(-LN(2)/2)*AB104+(1-EXP(-LN(2)/2))/(LN(2)/2)*V105*Y105*VLOOKUP('Données projet'!$B$9,Paramètres!$A$1:$I$89,3,0)*0.475*44/12</f>
        <v>0.4155097307568687</v>
      </c>
      <c r="AC105" s="22">
        <f t="shared" si="57"/>
        <v>52.708537857188318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408.246209980743</v>
      </c>
      <c r="AO105" s="59">
        <f t="shared" si="90"/>
        <v>394.10236303013903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36.919237036549923</v>
      </c>
      <c r="AV105" s="21">
        <f>EXP(-LN(2)/25)*AV104+(1-EXP(-LN(2)/25))/(LN(2)/25)*Calculateur!AQ105*Calculateur!AS105*VLOOKUP('Données projet'!$B$10,Paramètres!$A$1:$I$89,3,0)*0.475*44/12</f>
        <v>30.621736062311559</v>
      </c>
      <c r="AW105" s="21">
        <f>EXP(-LN(2)/2)*AW104+(1-EXP(-LN(2)/2))/(LN(2)/2)*AQ105*AT105*VLOOKUP('Données projet'!$B$10,Paramètres!$A$1:$I$89,3,0)*0.475*44/12</f>
        <v>3.3467313758487119E-2</v>
      </c>
      <c r="AX105" s="21">
        <f t="shared" si="60"/>
        <v>67.574440412619978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8.9420000000000019</v>
      </c>
      <c r="BD105" s="12">
        <f>IF('Données projet'!$A$88&gt;35,BD104+BC105-BL104,IF(A105&lt;'Données projet'!$A$88,$BA$205^A105,IF(A105='Données projet'!$A$88,'Données projet'!$B$88,BD104+BC105-BL104)))</f>
        <v>384.31600000000054</v>
      </c>
      <c r="BE105" s="13">
        <f>BD105*VLOOKUP('Données projet'!$B$11,Paramètres!$A$1:$I$89,3,0)*VLOOKUP('Données projet'!$B$11,Paramètres!$A$1:$I$89,5,0)</f>
        <v>365.71510560000053</v>
      </c>
      <c r="BF105" s="13">
        <f t="shared" si="91"/>
        <v>84.790096661420279</v>
      </c>
      <c r="BG105" s="20">
        <f t="shared" si="61"/>
        <v>784.62989393864109</v>
      </c>
      <c r="BH105" s="59">
        <f t="shared" si="62"/>
        <v>1062.5818300136241</v>
      </c>
      <c r="BI105" s="59">
        <f ca="1">AVERAGE(OFFSET($BH$3,0,0,'Données projet'!$E$11+1,1))-AVERAGE(OFFSET($H$3,0,0,'Données projet'!$E$11+1,1))</f>
        <v>711.91538686535682</v>
      </c>
      <c r="BJ105" s="59">
        <f t="shared" si="92"/>
        <v>313.24593837351722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25.327361946137685</v>
      </c>
      <c r="BQ105" s="21">
        <f>EXP(-LN(2)/25)*BQ104+(1-EXP(-LN(2)/25))/(LN(2)/25)*Calculateur!BL105*Calculateur!BN105*VLOOKUP('Données projet'!$B$11,Paramètres!$A$1:$I$89,3,0)*0.475*44/12</f>
        <v>23.74763368020567</v>
      </c>
      <c r="BR105" s="21">
        <f>EXP(-LN(2)/2)*BR104+(1-EXP(-LN(2)/2))/(LN(2)/2)*BL105*BO105*VLOOKUP('Données projet'!$B$11,Paramètres!$A$1:$I$89,3,0)*0.475*44/12</f>
        <v>0.38993990117183058</v>
      </c>
      <c r="BS105" s="22">
        <f t="shared" si="63"/>
        <v>49.464935527515181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8.9420000000000019</v>
      </c>
      <c r="BY105" s="12">
        <f>IF('Données projet'!$A$114&gt;35,BY104+BX105-CG104,IF(A105&lt;'Données projet'!$A$114,$BV$205^A105,IF(A105='Données projet'!$A$114,'Données projet'!$B$114,BY104+BX105-CG104)))</f>
        <v>384.31600000000054</v>
      </c>
      <c r="BZ105" s="13">
        <f>BY105*VLOOKUP('Données projet'!$B$12,Paramètres!$A$1:$I$89,3,0)*VLOOKUP('Données projet'!$B$12,Paramètres!$A$1:$I$89,5,0)</f>
        <v>347.7291168000005</v>
      </c>
      <c r="CA105" s="13">
        <f t="shared" si="93"/>
        <v>81.094735802697301</v>
      </c>
      <c r="CB105" s="20">
        <f t="shared" si="64"/>
        <v>746.86820994969855</v>
      </c>
      <c r="CC105" s="59">
        <f t="shared" si="65"/>
        <v>1024.8201460246814</v>
      </c>
      <c r="CD105" s="59">
        <f ca="1">AVERAGE(OFFSET($CC$3,0,0,'Données projet'!$E$12+1,1))-AVERAGE(OFFSET($H$3,0,0,'Données projet'!$E$12+1,1))</f>
        <v>681.47578137804555</v>
      </c>
      <c r="CE105" s="59">
        <f t="shared" si="94"/>
        <v>300.88511065995885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24.081753981573542</v>
      </c>
      <c r="CL105" s="21">
        <f>EXP(-LN(2)/25)*CL104+(1-EXP(-LN(2)/25))/(LN(2)/25)*Calculateur!CG105*Calculateur!CI105*VLOOKUP('Données projet'!$B$12,Paramètres!$A$1:$I$89,3,0)*0.475*44/12</f>
        <v>22.579717269703753</v>
      </c>
      <c r="CM105" s="21">
        <f>EXP(-LN(2)/2)*CM104+(1-EXP(-LN(2)/2))/(LN(2)/2)*CG105*CJ105*VLOOKUP('Données projet'!$B$12,Paramètres!$A$1:$I$89,3,0)*0.475*44/12</f>
        <v>0.37076252898305184</v>
      </c>
      <c r="CN105" s="22">
        <f t="shared" si="66"/>
        <v>47.032233780260341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-8.5265128291212022E-14</v>
      </c>
      <c r="CU105" s="17">
        <f>CT105*VLOOKUP('Données projet'!$B$13,Paramètres!$A$1:$I$89,3,0)*VLOOKUP('Données projet'!$B$13,Paramètres!$A$1:$I$89,5,0)</f>
        <v>-6.9167072069831198E-14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186.54446846714993</v>
      </c>
      <c r="CZ105" s="59">
        <f t="shared" si="96"/>
        <v>154.43773051601286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</v>
      </c>
      <c r="DG105" s="21">
        <f>EXP(-LN(2)/25)*DG104+(1-EXP(-LN(2)/25))/(LN(2)/25)*Calculateur!DB105*Calculateur!DD105*VLOOKUP('Données projet'!$B$13,Paramètres!$A$1:$I$89,3,0)*0.475*44/12</f>
        <v>11.600218313126302</v>
      </c>
      <c r="DH105" s="21">
        <f>EXP(-LN(2)/2)*DH104+(1-EXP(-LN(2)/2))/(LN(2)/2)*DB105*DE105*VLOOKUP('Données projet'!$B$13,Paramètres!$A$1:$I$89,3,0)*0.475*44/12</f>
        <v>0.39132916286297958</v>
      </c>
      <c r="DI105" s="22">
        <f t="shared" si="69"/>
        <v>11.991547475989281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6.9749999999999996</v>
      </c>
      <c r="DO105" s="12">
        <f>IF('Données projet'!$A$166&gt;35,DO104+DN105-DW104,IF(A105&lt;'Données projet'!$A$166,$DL$205^A105,IF(A105='Données projet'!$A$166,'Données projet'!$B$166,DO104+DN105-DW104)))</f>
        <v>281.4150000000003</v>
      </c>
      <c r="DP105" s="17">
        <f>DO105*VLOOKUP('Données projet'!$B$14,Paramètres!$A$1:$I$89,3,0)*VLOOKUP('Données projet'!$B$14,Paramètres!$A$1:$I$89,5,0)</f>
        <v>320.47540200000032</v>
      </c>
      <c r="DQ105" s="13">
        <f t="shared" si="97"/>
        <v>75.45226174647577</v>
      </c>
      <c r="DR105" s="20">
        <f t="shared" si="70"/>
        <v>689.57401435844577</v>
      </c>
      <c r="DS105" s="59">
        <f t="shared" si="71"/>
        <v>967.52595043342876</v>
      </c>
      <c r="DT105" s="59">
        <f ca="1">AVERAGE(OFFSET($DS$3,0,0,'Données projet'!$E$14+1,1))-AVERAGE(OFFSET($H$3,0,0,'Données projet'!$E$14+1,1))</f>
        <v>651.35546372812314</v>
      </c>
      <c r="DU105" s="59">
        <f t="shared" si="98"/>
        <v>293.6561676213388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6.8883171791248952</v>
      </c>
      <c r="EB105" s="21">
        <f>EXP(-LN(2)/25)*EB104+(1-EXP(-LN(2)/25))/(LN(2)/25)*Calculateur!DW105*Calculateur!DY105*VLOOKUP('Données projet'!$B$14,Paramètres!$A$1:$I$89,3,0)*0.475*44/12</f>
        <v>35.584585484427286</v>
      </c>
      <c r="EC105" s="21">
        <f>EXP(-LN(2)/2)*EC104+(1-EXP(-LN(2)/2))/(LN(2)/2)*DW105*DZ105*VLOOKUP('Données projet'!$B$14,Paramètres!$A$1:$I$89,3,0)*0.475*44/12</f>
        <v>0.21857261342531428</v>
      </c>
      <c r="ED105" s="22">
        <f t="shared" si="72"/>
        <v>42.691475276977499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8.5265128291212022E-14</v>
      </c>
      <c r="EK105" s="17">
        <f>EJ105*VLOOKUP('Données projet'!$B$15,Paramètres!$A$1:$I$89,3,0)*VLOOKUP('Données projet'!$B$15,Paramètres!$A$1:$I$89,5,0)</f>
        <v>8.9119112089974823E-14</v>
      </c>
      <c r="EL105" s="13">
        <f t="shared" si="99"/>
        <v>1.3568952080113142E-12</v>
      </c>
      <c r="EM105" s="20">
        <f t="shared" si="73"/>
        <v>2.5184749408430782E-12</v>
      </c>
      <c r="EN105" s="59">
        <f t="shared" si="74"/>
        <v>277.95193607498544</v>
      </c>
      <c r="EO105" s="59">
        <f ca="1">AVERAGE(OFFSET($EN$3,0,0,'Données projet'!$E$15+1,1))-AVERAGE(OFFSET($H$3,0,0,'Données projet'!$E$15+1,1))</f>
        <v>290.69667785754848</v>
      </c>
      <c r="EP105" s="59">
        <f t="shared" si="100"/>
        <v>256.28124185489082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17.108058630199316</v>
      </c>
      <c r="EW105" s="21">
        <f>EXP(-LN(2)/25)*EW104+(1-EXP(-LN(2)/25))/(LN(2)/25)*Calculateur!ER105*Calculateur!ET105*VLOOKUP('Données projet'!$B$15,Paramètres!$A$1:$I$89,3,0)*0.475*44/12</f>
        <v>42.995228619174192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60.103287249373508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8.9420000000000019</v>
      </c>
      <c r="N106" s="13">
        <f>IF('Données projet'!$A$36&gt;35,N105+M106-V105,IF(A106&lt;'Données projet'!$A$36,$K$205^A106,IF(A106='Données projet'!$A$36,'Données projet'!$B$36,N105+M106-V105)))</f>
        <v>393.25800000000055</v>
      </c>
      <c r="O106" s="13">
        <f>N106*VLOOKUP('Données projet'!$B$9,Paramètres!$A$1:$I$89,3,0)*VLOOKUP('Données projet'!$B$9,Paramètres!$A$1:$I$89,5,0)</f>
        <v>398.76361200000059</v>
      </c>
      <c r="P106" s="13">
        <f t="shared" si="87"/>
        <v>91.525961384445637</v>
      </c>
      <c r="Q106" s="20">
        <f t="shared" si="107"/>
        <v>853.92100697791045</v>
      </c>
      <c r="R106" s="59">
        <f t="shared" si="55"/>
        <v>1132.1397759076731</v>
      </c>
      <c r="S106" s="59">
        <f ca="1">AVERAGE(OFFSET($R$3,0,0,'Données projet'!$E$9+1,1))-AVERAGE(OFFSET($H$3,0,0,'Données projet'!$E$9+1,1))</f>
        <v>752.45542076695506</v>
      </c>
      <c r="T106" s="59">
        <f t="shared" si="88"/>
        <v>329.70629768420724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26.458950962705849</v>
      </c>
      <c r="AA106" s="21">
        <f>EXP(-LN(2)/25)*AA105+(1-EXP(-LN(2)/25))/(LN(2)/25)*Calculateur!V106*Calculateur!X106*VLOOKUP('Données projet'!$B$9,Paramètres!$A$1:$I$89,3,0)*0.475*44/12</f>
        <v>24.612892954838252</v>
      </c>
      <c r="AB106" s="21">
        <f>EXP(-LN(2)/2)*AB105+(1-EXP(-LN(2)/2))/(LN(2)/2)*V106*Y106*VLOOKUP('Données projet'!$B$9,Paramètres!$A$1:$I$89,3,0)*0.475*44/12</f>
        <v>0.29380974826717843</v>
      </c>
      <c r="AC106" s="22">
        <f t="shared" si="57"/>
        <v>51.36565366581128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408.246209980743</v>
      </c>
      <c r="AO106" s="59">
        <f t="shared" si="90"/>
        <v>394.10236303013903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36.195273316774255</v>
      </c>
      <c r="AV106" s="21">
        <f>EXP(-LN(2)/25)*AV105+(1-EXP(-LN(2)/25))/(LN(2)/25)*Calculateur!AQ106*Calculateur!AS106*VLOOKUP('Données projet'!$B$10,Paramètres!$A$1:$I$89,3,0)*0.475*44/12</f>
        <v>29.784383079360538</v>
      </c>
      <c r="AW106" s="21">
        <f>EXP(-LN(2)/2)*AW105+(1-EXP(-LN(2)/2))/(LN(2)/2)*AQ106*AT106*VLOOKUP('Données projet'!$B$10,Paramètres!$A$1:$I$89,3,0)*0.475*44/12</f>
        <v>2.3664964506724083E-2</v>
      </c>
      <c r="AX106" s="21">
        <f t="shared" si="60"/>
        <v>66.003321360641522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8.9420000000000019</v>
      </c>
      <c r="BD106" s="12">
        <f>IF('Données projet'!$A$88&gt;35,BD105+BC106-BL105,IF(A106&lt;'Données projet'!$A$88,$BA$205^A106,IF(A106='Données projet'!$A$88,'Données projet'!$B$88,BD105+BC106-BL105)))</f>
        <v>393.25800000000055</v>
      </c>
      <c r="BE106" s="13">
        <f>BD106*VLOOKUP('Données projet'!$B$11,Paramètres!$A$1:$I$89,3,0)*VLOOKUP('Données projet'!$B$11,Paramètres!$A$1:$I$89,5,0)</f>
        <v>374.22431280000052</v>
      </c>
      <c r="BF106" s="13">
        <f t="shared" si="91"/>
        <v>86.530955564728501</v>
      </c>
      <c r="BG106" s="20">
        <f t="shared" si="61"/>
        <v>802.48209240190306</v>
      </c>
      <c r="BH106" s="59">
        <f t="shared" si="62"/>
        <v>1080.7008613316657</v>
      </c>
      <c r="BI106" s="59">
        <f ca="1">AVERAGE(OFFSET($BH$3,0,0,'Données projet'!$E$11+1,1))-AVERAGE(OFFSET($H$3,0,0,'Données projet'!$E$11+1,1))</f>
        <v>711.91538686535682</v>
      </c>
      <c r="BJ106" s="59">
        <f t="shared" si="92"/>
        <v>313.24593837351722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24.830707826539332</v>
      </c>
      <c r="BQ106" s="21">
        <f>EXP(-LN(2)/25)*BQ105+(1-EXP(-LN(2)/25))/(LN(2)/25)*Calculateur!BL106*Calculateur!BN106*VLOOKUP('Données projet'!$B$11,Paramètres!$A$1:$I$89,3,0)*0.475*44/12</f>
        <v>23.098253388386667</v>
      </c>
      <c r="BR106" s="21">
        <f>EXP(-LN(2)/2)*BR105+(1-EXP(-LN(2)/2))/(LN(2)/2)*BL106*BO106*VLOOKUP('Données projet'!$B$11,Paramètres!$A$1:$I$89,3,0)*0.475*44/12</f>
        <v>0.27572914837381357</v>
      </c>
      <c r="BS106" s="22">
        <f t="shared" si="63"/>
        <v>48.204690363299811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8.9420000000000019</v>
      </c>
      <c r="BY106" s="12">
        <f>IF('Données projet'!$A$114&gt;35,BY105+BX106-CG105,IF(A106&lt;'Données projet'!$A$114,$BV$205^A106,IF(A106='Données projet'!$A$114,'Données projet'!$B$114,BY105+BX106-CG105)))</f>
        <v>393.25800000000055</v>
      </c>
      <c r="BZ106" s="13">
        <f>BY106*VLOOKUP('Données projet'!$B$12,Paramètres!$A$1:$I$89,3,0)*VLOOKUP('Données projet'!$B$12,Paramètres!$A$1:$I$89,5,0)</f>
        <v>355.81983840000049</v>
      </c>
      <c r="CA106" s="13">
        <f t="shared" si="93"/>
        <v>82.759723795307863</v>
      </c>
      <c r="CB106" s="20">
        <f t="shared" si="64"/>
        <v>763.85940415682887</v>
      </c>
      <c r="CC106" s="59">
        <f t="shared" si="65"/>
        <v>1042.0781730865915</v>
      </c>
      <c r="CD106" s="59">
        <f ca="1">AVERAGE(OFFSET($CC$3,0,0,'Données projet'!$E$12+1,1))-AVERAGE(OFFSET($H$3,0,0,'Données projet'!$E$12+1,1))</f>
        <v>681.47578137804555</v>
      </c>
      <c r="CE106" s="59">
        <f t="shared" si="94"/>
        <v>300.88511065995885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23.60952547441445</v>
      </c>
      <c r="CL106" s="21">
        <f>EXP(-LN(2)/25)*CL105+(1-EXP(-LN(2)/25))/(LN(2)/25)*Calculateur!CG106*Calculateur!CI106*VLOOKUP('Données projet'!$B$12,Paramètres!$A$1:$I$89,3,0)*0.475*44/12</f>
        <v>21.96227371354798</v>
      </c>
      <c r="CM106" s="21">
        <f>EXP(-LN(2)/2)*CM105+(1-EXP(-LN(2)/2))/(LN(2)/2)*CG106*CJ106*VLOOKUP('Données projet'!$B$12,Paramètres!$A$1:$I$89,3,0)*0.475*44/12</f>
        <v>0.26216869845378982</v>
      </c>
      <c r="CN106" s="22">
        <f t="shared" si="66"/>
        <v>45.833967886416218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-8.5265128291212022E-14</v>
      </c>
      <c r="CU106" s="17">
        <f>CT106*VLOOKUP('Données projet'!$B$13,Paramètres!$A$1:$I$89,3,0)*VLOOKUP('Données projet'!$B$13,Paramètres!$A$1:$I$89,5,0)</f>
        <v>-6.9167072069831198E-14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186.54446846714993</v>
      </c>
      <c r="CZ106" s="59">
        <f t="shared" si="96"/>
        <v>154.43773051601286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</v>
      </c>
      <c r="DG106" s="21">
        <f>EXP(-LN(2)/25)*DG105+(1-EXP(-LN(2)/25))/(LN(2)/25)*Calculateur!DB106*Calculateur!DD106*VLOOKUP('Données projet'!$B$13,Paramètres!$A$1:$I$89,3,0)*0.475*44/12</f>
        <v>11.283009733324894</v>
      </c>
      <c r="DH106" s="21">
        <f>EXP(-LN(2)/2)*DH105+(1-EXP(-LN(2)/2))/(LN(2)/2)*DB106*DE106*VLOOKUP('Données projet'!$B$13,Paramètres!$A$1:$I$89,3,0)*0.475*44/12</f>
        <v>0.27671150473646772</v>
      </c>
      <c r="DI106" s="22">
        <f t="shared" si="69"/>
        <v>11.559721238061362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>
        <f>VLOOKUP(A106,'Données projet'!$A$165:$I$185,2,0)</f>
        <v>288.39</v>
      </c>
      <c r="DM106" s="12">
        <f>VLOOKUP(A106,'Données projet'!$A$165:$I$185,9,0)</f>
        <v>6.9749999999999996</v>
      </c>
      <c r="DN106" s="12">
        <f t="array" ref="DN106">INDEX(DM:DM,MIN(IF(ISNUMBER(DM106:DM302),ROW(DM106:DM302),"")))</f>
        <v>6.9749999999999996</v>
      </c>
      <c r="DO106" s="12">
        <f>IF('Données projet'!$A$166&gt;35,DO105+DN106-DW105,IF(A106&lt;'Données projet'!$A$166,$DL$205^A106,IF(A106='Données projet'!$A$166,'Données projet'!$B$166,DO105+DN106-DW105)))</f>
        <v>288.39000000000033</v>
      </c>
      <c r="DP106" s="17">
        <f>DO106*VLOOKUP('Données projet'!$B$14,Paramètres!$A$1:$I$89,3,0)*VLOOKUP('Données projet'!$B$14,Paramètres!$A$1:$I$89,5,0)</f>
        <v>328.41853200000037</v>
      </c>
      <c r="DQ106" s="13">
        <f t="shared" si="97"/>
        <v>77.102336893546465</v>
      </c>
      <c r="DR106" s="20">
        <f t="shared" si="70"/>
        <v>706.28217998959406</v>
      </c>
      <c r="DS106" s="59">
        <f t="shared" si="71"/>
        <v>984.50094891935669</v>
      </c>
      <c r="DT106" s="59">
        <f ca="1">AVERAGE(OFFSET($DS$3,0,0,'Données projet'!$E$14+1,1))-AVERAGE(OFFSET($H$3,0,0,'Données projet'!$E$14+1,1))</f>
        <v>651.35546372812314</v>
      </c>
      <c r="DU106" s="59">
        <f t="shared" si="98"/>
        <v>293.6561676213388</v>
      </c>
      <c r="DV106" s="15">
        <f>IF(ISNA(VLOOKUP(A106,'Données projet'!$A$165:$I$185,3,0)),0,VLOOKUP(A106,'Données projet'!$A$165:$I$185,3,0))</f>
        <v>7</v>
      </c>
      <c r="DW106" s="15">
        <f>IF(ISNA(VLOOKUP(A106,'Données projet'!$A$165:$I$185,4,0)),0,VLOOKUP(A106,'Données projet'!$A$165:$I$185,4,0))</f>
        <v>48.569999999999993</v>
      </c>
      <c r="DX106" s="16">
        <f>IF(ISNA(VLOOKUP(A106,'Données projet'!$A$165:$I$185,5,0)),0%,VLOOKUP(A106,'Données projet'!$A$165:$I$185,5,0)*VLOOKUP('Données projet'!$B$14,Paramètres!$A$1:$I$89,7,0))</f>
        <v>0.15049999999999999</v>
      </c>
      <c r="DY106" s="16">
        <f>IF(ISNA(VLOOKUP(A106,'Données projet'!$A$165:$I$185,6,0)),0%,VLOOKUP(A106,'Données projet'!$A$165:$I$185,6,0)*VLOOKUP('Données projet'!$B$14,Paramètres!$A$1:$I$89,7,0))</f>
        <v>8.6000000000000007E-2</v>
      </c>
      <c r="DZ106" s="16">
        <f>IF(ISNA(VLOOKUP(A106,'Données projet'!$A$165:$I$185,7,0)),0%,VLOOKUP(A106,'Données projet'!$A$165:$I$185,7,0))</f>
        <v>0.1</v>
      </c>
      <c r="EA106" s="21">
        <f>EXP(-LN(2)/35)*EA105+(1-EXP(-LN(2)/35))/(LN(2)/35)*DW106*DX106*VLOOKUP('Données projet'!$B$14,Paramètres!$A$1:$I$89,3,0)*0.475*44/12</f>
        <v>15.955600489752831</v>
      </c>
      <c r="EB106" s="21">
        <f>EXP(-LN(2)/25)*EB105+(1-EXP(-LN(2)/25))/(LN(2)/25)*Calculateur!DW106*Calculateur!DY106*VLOOKUP('Données projet'!$B$14,Paramètres!$A$1:$I$89,3,0)*0.475*44/12</f>
        <v>39.849309303191973</v>
      </c>
      <c r="EC106" s="21">
        <f>EXP(-LN(2)/2)*EC105+(1-EXP(-LN(2)/2))/(LN(2)/2)*DW106*DZ106*VLOOKUP('Données projet'!$B$14,Paramètres!$A$1:$I$89,3,0)*0.475*44/12</f>
        <v>5.3733445804973607</v>
      </c>
      <c r="ED106" s="22">
        <f t="shared" si="72"/>
        <v>61.178254373442165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8.5265128291212022E-14</v>
      </c>
      <c r="EK106" s="17">
        <f>EJ106*VLOOKUP('Données projet'!$B$15,Paramètres!$A$1:$I$89,3,0)*VLOOKUP('Données projet'!$B$15,Paramètres!$A$1:$I$89,5,0)</f>
        <v>8.9119112089974823E-14</v>
      </c>
      <c r="EL106" s="13">
        <f t="shared" si="99"/>
        <v>1.3568952080113142E-12</v>
      </c>
      <c r="EM106" s="20">
        <f t="shared" si="73"/>
        <v>2.5184749408430782E-12</v>
      </c>
      <c r="EN106" s="59">
        <f t="shared" si="74"/>
        <v>278.21876892976519</v>
      </c>
      <c r="EO106" s="59">
        <f ca="1">AVERAGE(OFFSET($EN$3,0,0,'Données projet'!$E$15+1,1))-AVERAGE(OFFSET($H$3,0,0,'Données projet'!$E$15+1,1))</f>
        <v>290.69667785754848</v>
      </c>
      <c r="EP106" s="59">
        <f t="shared" si="100"/>
        <v>256.28124185489082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16.772580035346515</v>
      </c>
      <c r="EW106" s="21">
        <f>EXP(-LN(2)/25)*EW105+(1-EXP(-LN(2)/25))/(LN(2)/25)*Calculateur!ER106*Calculateur!ET106*VLOOKUP('Données projet'!$B$15,Paramètres!$A$1:$I$89,3,0)*0.475*44/12</f>
        <v>41.819521831562071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58.592101866908585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>
        <f>VLOOKUP(A107,'Données projet'!$A$35:$I$55,2,0)</f>
        <v>402.2</v>
      </c>
      <c r="L107" s="12">
        <f>VLOOKUP(A107,'Données projet'!$A$35:$I$55,9,0)</f>
        <v>8.9420000000000019</v>
      </c>
      <c r="M107" s="12">
        <f t="array" ref="M107">INDEX(L:L,MIN(IF(ISNUMBER(L107:L303),ROW(L107:L303),"")))</f>
        <v>8.9420000000000019</v>
      </c>
      <c r="N107" s="13">
        <f>IF('Données projet'!$A$36&gt;35,N106+M107-V106,IF(A107&lt;'Données projet'!$A$36,$K$205^A107,IF(A107='Données projet'!$A$36,'Données projet'!$B$36,N106+M107-V106)))</f>
        <v>402.20000000000056</v>
      </c>
      <c r="O107" s="13">
        <f>N107*VLOOKUP('Données projet'!$B$9,Paramètres!$A$1:$I$89,3,0)*VLOOKUP('Données projet'!$B$9,Paramètres!$A$1:$I$89,5,0)</f>
        <v>407.83080000000058</v>
      </c>
      <c r="P107" s="13">
        <f t="shared" si="87"/>
        <v>93.362443935880506</v>
      </c>
      <c r="Q107" s="20">
        <f t="shared" si="107"/>
        <v>872.91156652165955</v>
      </c>
      <c r="R107" s="59">
        <f t="shared" si="55"/>
        <v>1151.3925393527204</v>
      </c>
      <c r="S107" s="59">
        <f ca="1">AVERAGE(OFFSET($R$3,0,0,'Données projet'!$E$9+1,1))-AVERAGE(OFFSET($H$3,0,0,'Données projet'!$E$9+1,1))</f>
        <v>752.45542076695506</v>
      </c>
      <c r="T107" s="59">
        <f t="shared" si="88"/>
        <v>329.70629768420724</v>
      </c>
      <c r="U107" s="15">
        <f>IF(ISNA(VLOOKUP(A107,'Données projet'!$A$35:$I$55,3,0)),0,VLOOKUP(A107,'Données projet'!$A$35:$I$55,3,0))</f>
        <v>8</v>
      </c>
      <c r="V107" s="15">
        <f>IF(ISNA(VLOOKUP(A107,'Données projet'!$A$35:$I$55,4,0)),0,VLOOKUP(A107,'Données projet'!$A$35:$I$55,4,0))</f>
        <v>66.089999999999975</v>
      </c>
      <c r="W107" s="16">
        <f>IF(ISNA(VLOOKUP(A107,'Données projet'!$A$35:$I$55,5,0)),0%,VLOOKUP(A107,'Données projet'!$A$35:$I$55,5,0)*VLOOKUP('Données projet'!$B$9,Paramètres!$A$1:$I$89,7,0))</f>
        <v>0.15049999999999999</v>
      </c>
      <c r="X107" s="16">
        <f>IF(ISNA(VLOOKUP(A107,'Données projet'!$A$35:$I$55,6,0)),0%,VLOOKUP(A107,'Données projet'!$A$35:$I$55,6,0)*VLOOKUP('Données projet'!$B$9,Paramètres!$A$1:$I$89,7,0))</f>
        <v>8.6000000000000007E-2</v>
      </c>
      <c r="Y107" s="16">
        <f>IF(ISNA(VLOOKUP(A107,'Données projet'!$A$35:$I$55,7,0)),0%,VLOOKUP(A107,'Données projet'!$A$35:$I$55,7,0))</f>
        <v>0.1</v>
      </c>
      <c r="Z107" s="21">
        <f>EXP(-LN(2)/35)*Z106+(1-EXP(-LN(2)/35))/(LN(2)/35)*V107*W107*VLOOKUP('Données projet'!$B$9,Paramètres!$A$1:$I$89,3,0)*0.475*44/12</f>
        <v>37.089656501151985</v>
      </c>
      <c r="AA107" s="21">
        <f>EXP(-LN(2)/25)*AA106+(1-EXP(-LN(2)/25))/(LN(2)/25)*Calculateur!V107*Calculateur!X107*VLOOKUP('Données projet'!$B$9,Paramètres!$A$1:$I$89,3,0)*0.475*44/12</f>
        <v>30.285937476393563</v>
      </c>
      <c r="AB107" s="21">
        <f>EXP(-LN(2)/2)*AB106+(1-EXP(-LN(2)/2))/(LN(2)/2)*V107*Y107*VLOOKUP('Données projet'!$B$9,Paramètres!$A$1:$I$89,3,0)*0.475*44/12</f>
        <v>6.5308250153062213</v>
      </c>
      <c r="AC107" s="22">
        <f t="shared" si="57"/>
        <v>73.906418992851769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408.246209980743</v>
      </c>
      <c r="AO107" s="59">
        <f t="shared" si="90"/>
        <v>394.10236303013903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35.485506083969121</v>
      </c>
      <c r="AV107" s="21">
        <f>EXP(-LN(2)/25)*AV106+(1-EXP(-LN(2)/25))/(LN(2)/25)*Calculateur!AQ107*Calculateur!AS107*VLOOKUP('Données projet'!$B$10,Paramètres!$A$1:$I$89,3,0)*0.475*44/12</f>
        <v>28.969927557762791</v>
      </c>
      <c r="AW107" s="21">
        <f>EXP(-LN(2)/2)*AW106+(1-EXP(-LN(2)/2))/(LN(2)/2)*AQ107*AT107*VLOOKUP('Données projet'!$B$10,Paramètres!$A$1:$I$89,3,0)*0.475*44/12</f>
        <v>1.6733656879243559E-2</v>
      </c>
      <c r="AX107" s="21">
        <f t="shared" si="60"/>
        <v>64.472167298611154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>
        <f>VLOOKUP(A107,'Données projet'!$A$87:$I$107,2,0)</f>
        <v>402.2</v>
      </c>
      <c r="BB107" s="12">
        <f>VLOOKUP(A107,'Données projet'!$A$87:$I$107,9,0)</f>
        <v>8.9420000000000019</v>
      </c>
      <c r="BC107" s="12">
        <f t="array" ref="BC107">INDEX(BB:BB,MIN(IF(ISNUMBER(BB107:BB303),ROW(BB107:BB303),"")))</f>
        <v>8.9420000000000019</v>
      </c>
      <c r="BD107" s="12">
        <f>IF('Données projet'!$A$88&gt;35,BD106+BC107-BL106,IF(A107&lt;'Données projet'!$A$88,$BA$205^A107,IF(A107='Données projet'!$A$88,'Données projet'!$B$88,BD106+BC107-BL106)))</f>
        <v>402.20000000000056</v>
      </c>
      <c r="BE107" s="13">
        <f>BD107*VLOOKUP('Données projet'!$B$11,Paramètres!$A$1:$I$89,3,0)*VLOOKUP('Données projet'!$B$11,Paramètres!$A$1:$I$89,5,0)</f>
        <v>382.73352000000051</v>
      </c>
      <c r="BF107" s="13">
        <f t="shared" si="91"/>
        <v>88.267212552908205</v>
      </c>
      <c r="BG107" s="20">
        <f t="shared" si="61"/>
        <v>820.3262758629827</v>
      </c>
      <c r="BH107" s="59">
        <f t="shared" si="62"/>
        <v>1098.8072486940437</v>
      </c>
      <c r="BI107" s="59">
        <f ca="1">AVERAGE(OFFSET($BH$3,0,0,'Données projet'!$E$11+1,1))-AVERAGE(OFFSET($H$3,0,0,'Données projet'!$E$11+1,1))</f>
        <v>711.91538686535682</v>
      </c>
      <c r="BJ107" s="59">
        <f t="shared" si="92"/>
        <v>313.24593837351722</v>
      </c>
      <c r="BK107" s="15">
        <f>IF(ISNA(VLOOKUP(A107,'Données projet'!$A$87:$I$107,3,0)),0,VLOOKUP(A107,'Données projet'!$A$87:$I$107,3,0))</f>
        <v>8</v>
      </c>
      <c r="BL107" s="15">
        <f>IF(ISNA(VLOOKUP(A107,'Données projet'!$A$87:$I$107,4,0)),0,VLOOKUP(A107,'Données projet'!$A$87:$I$107,4,0))</f>
        <v>66.089999999999975</v>
      </c>
      <c r="BM107" s="16">
        <f>IF(ISNA(VLOOKUP(A107,'Données projet'!$A$87:$I$107,5,0)),0%,VLOOKUP(A107,'Données projet'!$A$87:$I$107,5,0)*VLOOKUP('Données projet'!$B$11,Paramètres!$A$1:$I$89,7,0))</f>
        <v>0.15049999999999999</v>
      </c>
      <c r="BN107" s="16">
        <f>IF(ISNA(VLOOKUP(A107,'Données projet'!$A$87:$I$107,6,0)),0%,VLOOKUP(A107,'Données projet'!$A$87:$I$107,6,0)*VLOOKUP('Données projet'!$B$11,Paramètres!$A$1:$I$89,7,0))</f>
        <v>8.6000000000000007E-2</v>
      </c>
      <c r="BO107" s="16">
        <f>IF(ISNA(VLOOKUP(A107,'Données projet'!$A$87:$I$107,7,0)),0%,VLOOKUP(A107,'Données projet'!$A$87:$I$107,7,0))</f>
        <v>0.1</v>
      </c>
      <c r="BP107" s="21">
        <f>EXP(-LN(2)/35)*BP106+(1-EXP(-LN(2)/35))/(LN(2)/35)*BL107*BM107*VLOOKUP('Données projet'!$B$11,Paramètres!$A$1:$I$89,3,0)*0.475*44/12</f>
        <v>34.807216101081096</v>
      </c>
      <c r="BQ107" s="21">
        <f>EXP(-LN(2)/25)*BQ106+(1-EXP(-LN(2)/25))/(LN(2)/25)*Calculateur!BL107*Calculateur!BN107*VLOOKUP('Données projet'!$B$11,Paramètres!$A$1:$I$89,3,0)*0.475*44/12</f>
        <v>28.422187477846265</v>
      </c>
      <c r="BR107" s="21">
        <f>EXP(-LN(2)/2)*BR106+(1-EXP(-LN(2)/2))/(LN(2)/2)*BL107*BO107*VLOOKUP('Données projet'!$B$11,Paramètres!$A$1:$I$89,3,0)*0.475*44/12</f>
        <v>6.128928091287376</v>
      </c>
      <c r="BS107" s="22">
        <f t="shared" si="63"/>
        <v>69.358331670214739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>
        <f>VLOOKUP(A107,'Données projet'!$A$113:$I$133,2,0)</f>
        <v>402.2</v>
      </c>
      <c r="BW107" s="12">
        <f>VLOOKUP(A107,'Données projet'!$A$113:$I$133,9,0)</f>
        <v>8.9420000000000019</v>
      </c>
      <c r="BX107" s="12">
        <f t="array" ref="BX107">INDEX(BW:BW,MIN(IF(ISNUMBER(BW107:BW303),ROW(BW107:BW303),"")))</f>
        <v>8.9420000000000019</v>
      </c>
      <c r="BY107" s="12">
        <f>IF('Données projet'!$A$114&gt;35,BY106+BX107-CG106,IF(A107&lt;'Données projet'!$A$114,$BV$205^A107,IF(A107='Données projet'!$A$114,'Données projet'!$B$114,BY106+BX107-CG106)))</f>
        <v>402.20000000000056</v>
      </c>
      <c r="BZ107" s="13">
        <f>BY107*VLOOKUP('Données projet'!$B$12,Paramètres!$A$1:$I$89,3,0)*VLOOKUP('Données projet'!$B$12,Paramètres!$A$1:$I$89,5,0)</f>
        <v>363.91056000000049</v>
      </c>
      <c r="CA107" s="13">
        <f t="shared" si="93"/>
        <v>84.42031043556446</v>
      </c>
      <c r="CB107" s="20">
        <f t="shared" si="64"/>
        <v>780.84293267527562</v>
      </c>
      <c r="CC107" s="59">
        <f t="shared" si="65"/>
        <v>1059.3239055063366</v>
      </c>
      <c r="CD107" s="59">
        <f ca="1">AVERAGE(OFFSET($CC$3,0,0,'Données projet'!$E$12+1,1))-AVERAGE(OFFSET($H$3,0,0,'Données projet'!$E$12+1,1))</f>
        <v>681.47578137804555</v>
      </c>
      <c r="CE107" s="59">
        <f t="shared" si="94"/>
        <v>300.88511065995885</v>
      </c>
      <c r="CF107" s="15">
        <f>IF(ISNA(VLOOKUP(A107,'Données projet'!$A$113:$I$133,3,0)),0,VLOOKUP(A107,'Données projet'!$A$113:$I$133,3,0))</f>
        <v>8</v>
      </c>
      <c r="CG107" s="15">
        <f>IF(ISNA(VLOOKUP(A107,'Données projet'!$A$113:$I$133,4,0)),0,VLOOKUP(A107,'Données projet'!$A$113:$I$133,4,0))</f>
        <v>66.089999999999975</v>
      </c>
      <c r="CH107" s="16">
        <f>IF(ISNA(VLOOKUP(A107,'Données projet'!$A$113:$I$133,5,0)),0%,VLOOKUP(A107,'Données projet'!$A$113:$I$133,5,0)*VLOOKUP('Données projet'!$B$12,Paramètres!$A$1:$I$89,7,0))</f>
        <v>0.15049999999999999</v>
      </c>
      <c r="CI107" s="16">
        <f>IF(ISNA(VLOOKUP(A107,'Données projet'!$A$113:$I$133,6,0)),0%,VLOOKUP(A107,'Données projet'!$A$113:$I$133,6,0)*VLOOKUP('Données projet'!$B$12,Paramètres!$A$1:$I$89,7,0))</f>
        <v>8.6000000000000007E-2</v>
      </c>
      <c r="CJ107" s="16">
        <f>IF(ISNA(VLOOKUP(A107,'Données projet'!$A$113:$I$133,7,0)),0%,VLOOKUP(A107,'Données projet'!$A$113:$I$133,7,0))</f>
        <v>0.1</v>
      </c>
      <c r="CK107" s="21">
        <f>EXP(-LN(2)/35)*CK106+(1-EXP(-LN(2)/35))/(LN(2)/35)*CG107*CH107*VLOOKUP('Données projet'!$B$12,Paramètres!$A$1:$I$89,3,0)*0.475*44/12</f>
        <v>33.09538580102793</v>
      </c>
      <c r="CL107" s="21">
        <f>EXP(-LN(2)/25)*CL106+(1-EXP(-LN(2)/25))/(LN(2)/25)*Calculateur!CG107*Calculateur!CI107*VLOOKUP('Données projet'!$B$12,Paramètres!$A$1:$I$89,3,0)*0.475*44/12</f>
        <v>27.024374978935796</v>
      </c>
      <c r="CM107" s="21">
        <f>EXP(-LN(2)/2)*CM106+(1-EXP(-LN(2)/2))/(LN(2)/2)*CG107*CJ107*VLOOKUP('Données projet'!$B$12,Paramètres!$A$1:$I$89,3,0)*0.475*44/12</f>
        <v>5.8275053982732432</v>
      </c>
      <c r="CN107" s="22">
        <f t="shared" si="66"/>
        <v>65.947266178236973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-8.5265128291212022E-14</v>
      </c>
      <c r="CU107" s="17">
        <f>CT107*VLOOKUP('Données projet'!$B$13,Paramètres!$A$1:$I$89,3,0)*VLOOKUP('Données projet'!$B$13,Paramètres!$A$1:$I$89,5,0)</f>
        <v>-6.9167072069831198E-14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186.54446846714993</v>
      </c>
      <c r="CZ107" s="59">
        <f t="shared" si="96"/>
        <v>154.43773051601286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</v>
      </c>
      <c r="DG107" s="21">
        <f>EXP(-LN(2)/25)*DG106+(1-EXP(-LN(2)/25))/(LN(2)/25)*Calculateur!DB107*Calculateur!DD107*VLOOKUP('Données projet'!$B$13,Paramètres!$A$1:$I$89,3,0)*0.475*44/12</f>
        <v>10.97447523881943</v>
      </c>
      <c r="DH107" s="21">
        <f>EXP(-LN(2)/2)*DH106+(1-EXP(-LN(2)/2))/(LN(2)/2)*DB107*DE107*VLOOKUP('Données projet'!$B$13,Paramètres!$A$1:$I$89,3,0)*0.475*44/12</f>
        <v>0.19566458143148979</v>
      </c>
      <c r="DI107" s="22">
        <f t="shared" si="69"/>
        <v>11.17013982025092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7</v>
      </c>
      <c r="DO107" s="12">
        <f>IF('Données projet'!$A$166&gt;35,DO106+DN107-DW106,IF(A107&lt;'Données projet'!$A$166,$DL$205^A107,IF(A107='Données projet'!$A$166,'Données projet'!$B$166,DO106+DN107-DW106)))</f>
        <v>246.82000000000033</v>
      </c>
      <c r="DP107" s="17">
        <f>DO107*VLOOKUP('Données projet'!$B$14,Paramètres!$A$1:$I$89,3,0)*VLOOKUP('Données projet'!$B$14,Paramètres!$A$1:$I$89,5,0)</f>
        <v>281.07861600000041</v>
      </c>
      <c r="DQ107" s="13">
        <f t="shared" si="97"/>
        <v>67.194900417282057</v>
      </c>
      <c r="DR107" s="20">
        <f t="shared" si="70"/>
        <v>606.57637442676696</v>
      </c>
      <c r="DS107" s="59">
        <f t="shared" si="71"/>
        <v>885.05734725782781</v>
      </c>
      <c r="DT107" s="59">
        <f ca="1">AVERAGE(OFFSET($DS$3,0,0,'Données projet'!$E$14+1,1))-AVERAGE(OFFSET($H$3,0,0,'Données projet'!$E$14+1,1))</f>
        <v>651.35546372812314</v>
      </c>
      <c r="DU107" s="59">
        <f t="shared" si="98"/>
        <v>293.6561676213388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15.642720896104125</v>
      </c>
      <c r="EB107" s="21">
        <f>EXP(-LN(2)/25)*EB106+(1-EXP(-LN(2)/25))/(LN(2)/25)*Calculateur!DW107*Calculateur!DY107*VLOOKUP('Données projet'!$B$14,Paramètres!$A$1:$I$89,3,0)*0.475*44/12</f>
        <v>38.759627844712092</v>
      </c>
      <c r="EC107" s="21">
        <f>EXP(-LN(2)/2)*EC106+(1-EXP(-LN(2)/2))/(LN(2)/2)*DW107*DZ107*VLOOKUP('Données projet'!$B$14,Paramètres!$A$1:$I$89,3,0)*0.475*44/12</f>
        <v>3.7995283905216684</v>
      </c>
      <c r="ED107" s="22">
        <f t="shared" si="72"/>
        <v>58.201877131337881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8.5265128291212022E-14</v>
      </c>
      <c r="EK107" s="17">
        <f>EJ107*VLOOKUP('Données projet'!$B$15,Paramètres!$A$1:$I$89,3,0)*VLOOKUP('Données projet'!$B$15,Paramètres!$A$1:$I$89,5,0)</f>
        <v>8.9119112089974823E-14</v>
      </c>
      <c r="EL107" s="13">
        <f t="shared" si="99"/>
        <v>1.3568952080113142E-12</v>
      </c>
      <c r="EM107" s="20">
        <f t="shared" si="73"/>
        <v>2.5184749408430782E-12</v>
      </c>
      <c r="EN107" s="59">
        <f t="shared" si="74"/>
        <v>278.48097283106341</v>
      </c>
      <c r="EO107" s="59">
        <f ca="1">AVERAGE(OFFSET($EN$3,0,0,'Données projet'!$E$15+1,1))-AVERAGE(OFFSET($H$3,0,0,'Données projet'!$E$15+1,1))</f>
        <v>290.69667785754848</v>
      </c>
      <c r="EP107" s="59">
        <f t="shared" si="100"/>
        <v>256.28124185489082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16.443679971117035</v>
      </c>
      <c r="EW107" s="21">
        <f>EXP(-LN(2)/25)*EW106+(1-EXP(-LN(2)/25))/(LN(2)/25)*Calculateur!ER107*Calculateur!ET107*VLOOKUP('Données projet'!$B$15,Paramètres!$A$1:$I$89,3,0)*0.475*44/12</f>
        <v>40.675964807884931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57.119644779001966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8.8449999999999989</v>
      </c>
      <c r="N108" s="13">
        <f>IF('Données projet'!$A$36&gt;35,N107+M108-V107,IF(A108&lt;'Données projet'!$A$36,$K$205^A108,IF(A108='Données projet'!$A$36,'Données projet'!$B$36,N107+M108-V107)))</f>
        <v>344.95500000000055</v>
      </c>
      <c r="O108" s="13">
        <f>N108*VLOOKUP('Données projet'!$B$9,Paramètres!$A$1:$I$89,3,0)*VLOOKUP('Données projet'!$B$9,Paramètres!$A$1:$I$89,5,0)</f>
        <v>349.78437000000059</v>
      </c>
      <c r="P108" s="13">
        <f t="shared" si="87"/>
        <v>81.518109189230415</v>
      </c>
      <c r="Q108" s="20">
        <f t="shared" si="107"/>
        <v>751.18515125457725</v>
      </c>
      <c r="R108" s="59">
        <f t="shared" si="55"/>
        <v>1029.9237793354491</v>
      </c>
      <c r="S108" s="59">
        <f ca="1">AVERAGE(OFFSET($R$3,0,0,'Données projet'!$E$9+1,1))-AVERAGE(OFFSET($H$3,0,0,'Données projet'!$E$9+1,1))</f>
        <v>752.45542076695506</v>
      </c>
      <c r="T108" s="59">
        <f t="shared" si="88"/>
        <v>329.70629768420724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36.362350959621075</v>
      </c>
      <c r="AA108" s="21">
        <f>EXP(-LN(2)/25)*AA107+(1-EXP(-LN(2)/25))/(LN(2)/25)*Calculateur!V108*Calculateur!X108*VLOOKUP('Données projet'!$B$9,Paramètres!$A$1:$I$89,3,0)*0.475*44/12</f>
        <v>29.457766923433351</v>
      </c>
      <c r="AB108" s="21">
        <f>EXP(-LN(2)/2)*AB107+(1-EXP(-LN(2)/2))/(LN(2)/2)*V108*Y108*VLOOKUP('Données projet'!$B$9,Paramètres!$A$1:$I$89,3,0)*0.475*44/12</f>
        <v>4.6179906550657677</v>
      </c>
      <c r="AC108" s="22">
        <f t="shared" si="57"/>
        <v>70.43810853812019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408.246209980743</v>
      </c>
      <c r="AO108" s="59">
        <f t="shared" si="90"/>
        <v>394.10236303013903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34.78965695368403</v>
      </c>
      <c r="AV108" s="21">
        <f>EXP(-LN(2)/25)*AV107+(1-EXP(-LN(2)/25))/(LN(2)/25)*Calculateur!AQ108*Calculateur!AS108*VLOOKUP('Données projet'!$B$10,Paramètres!$A$1:$I$89,3,0)*0.475*44/12</f>
        <v>28.177743365233489</v>
      </c>
      <c r="AW108" s="21">
        <f>EXP(-LN(2)/2)*AW107+(1-EXP(-LN(2)/2))/(LN(2)/2)*AQ108*AT108*VLOOKUP('Données projet'!$B$10,Paramètres!$A$1:$I$89,3,0)*0.475*44/12</f>
        <v>1.1832482253362041E-2</v>
      </c>
      <c r="AX108" s="21">
        <f t="shared" si="60"/>
        <v>62.97923280117088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8.8449999999999989</v>
      </c>
      <c r="BD108" s="12">
        <f>IF('Données projet'!$A$88&gt;35,BD107+BC108-BL107,IF(A108&lt;'Données projet'!$A$88,$BA$205^A108,IF(A108='Données projet'!$A$88,'Données projet'!$B$88,BD107+BC108-BL107)))</f>
        <v>344.95500000000055</v>
      </c>
      <c r="BE108" s="13">
        <f>BD108*VLOOKUP('Données projet'!$B$11,Paramètres!$A$1:$I$89,3,0)*VLOOKUP('Données projet'!$B$11,Paramètres!$A$1:$I$89,5,0)</f>
        <v>328.25917800000053</v>
      </c>
      <c r="BF108" s="13">
        <f t="shared" si="91"/>
        <v>77.069279330976201</v>
      </c>
      <c r="BG108" s="20">
        <f t="shared" si="61"/>
        <v>705.94706318478438</v>
      </c>
      <c r="BH108" s="59">
        <f t="shared" si="62"/>
        <v>984.68569126565615</v>
      </c>
      <c r="BI108" s="59">
        <f ca="1">AVERAGE(OFFSET($BH$3,0,0,'Données projet'!$E$11+1,1))-AVERAGE(OFFSET($H$3,0,0,'Données projet'!$E$11+1,1))</f>
        <v>711.91538686535682</v>
      </c>
      <c r="BJ108" s="59">
        <f t="shared" si="92"/>
        <v>313.24593837351722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34.124667823644401</v>
      </c>
      <c r="BQ108" s="21">
        <f>EXP(-LN(2)/25)*BQ107+(1-EXP(-LN(2)/25))/(LN(2)/25)*Calculateur!BL108*Calculateur!BN108*VLOOKUP('Données projet'!$B$11,Paramètres!$A$1:$I$89,3,0)*0.475*44/12</f>
        <v>27.644981266606678</v>
      </c>
      <c r="BR108" s="21">
        <f>EXP(-LN(2)/2)*BR107+(1-EXP(-LN(2)/2))/(LN(2)/2)*BL108*BO108*VLOOKUP('Données projet'!$B$11,Paramètres!$A$1:$I$89,3,0)*0.475*44/12</f>
        <v>4.3338066147540273</v>
      </c>
      <c r="BS108" s="22">
        <f t="shared" si="63"/>
        <v>66.103455705005103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8.8449999999999989</v>
      </c>
      <c r="BY108" s="12">
        <f>IF('Données projet'!$A$114&gt;35,BY107+BX108-CG107,IF(A108&lt;'Données projet'!$A$114,$BV$205^A108,IF(A108='Données projet'!$A$114,'Données projet'!$B$114,BY107+BX108-CG107)))</f>
        <v>344.95500000000055</v>
      </c>
      <c r="BZ108" s="13">
        <f>BY108*VLOOKUP('Données projet'!$B$12,Paramètres!$A$1:$I$89,3,0)*VLOOKUP('Données projet'!$B$12,Paramètres!$A$1:$I$89,5,0)</f>
        <v>312.11528400000049</v>
      </c>
      <c r="CA108" s="13">
        <f t="shared" si="93"/>
        <v>73.71041067221141</v>
      </c>
      <c r="CB108" s="20">
        <f t="shared" si="64"/>
        <v>671.97975155410234</v>
      </c>
      <c r="CC108" s="59">
        <f t="shared" si="65"/>
        <v>950.7183796349741</v>
      </c>
      <c r="CD108" s="59">
        <f ca="1">AVERAGE(OFFSET($CC$3,0,0,'Données projet'!$E$12+1,1))-AVERAGE(OFFSET($H$3,0,0,'Données projet'!$E$12+1,1))</f>
        <v>681.47578137804555</v>
      </c>
      <c r="CE108" s="59">
        <f t="shared" si="94"/>
        <v>300.88511065995885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32.44640547166189</v>
      </c>
      <c r="CL108" s="21">
        <f>EXP(-LN(2)/25)*CL107+(1-EXP(-LN(2)/25))/(LN(2)/25)*Calculateur!CG108*Calculateur!CI108*VLOOKUP('Données projet'!$B$12,Paramètres!$A$1:$I$89,3,0)*0.475*44/12</f>
        <v>26.285392023986681</v>
      </c>
      <c r="CM108" s="21">
        <f>EXP(-LN(2)/2)*CM107+(1-EXP(-LN(2)/2))/(LN(2)/2)*CG108*CJ108*VLOOKUP('Données projet'!$B$12,Paramètres!$A$1:$I$89,3,0)*0.475*44/12</f>
        <v>4.1206685845202227</v>
      </c>
      <c r="CN108" s="22">
        <f t="shared" si="66"/>
        <v>62.852466080168796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-8.5265128291212022E-14</v>
      </c>
      <c r="CU108" s="17">
        <f>CT108*VLOOKUP('Données projet'!$B$13,Paramètres!$A$1:$I$89,3,0)*VLOOKUP('Données projet'!$B$13,Paramètres!$A$1:$I$89,5,0)</f>
        <v>-6.9167072069831198E-14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186.54446846714993</v>
      </c>
      <c r="CZ108" s="59">
        <f t="shared" si="96"/>
        <v>154.43773051601286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</v>
      </c>
      <c r="DG108" s="21">
        <f>EXP(-LN(2)/25)*DG107+(1-EXP(-LN(2)/25))/(LN(2)/25)*Calculateur!DB108*Calculateur!DD108*VLOOKUP('Données projet'!$B$13,Paramètres!$A$1:$I$89,3,0)*0.475*44/12</f>
        <v>10.674377636291343</v>
      </c>
      <c r="DH108" s="21">
        <f>EXP(-LN(2)/2)*DH107+(1-EXP(-LN(2)/2))/(LN(2)/2)*DB108*DE108*VLOOKUP('Données projet'!$B$13,Paramètres!$A$1:$I$89,3,0)*0.475*44/12</f>
        <v>0.13835575236823386</v>
      </c>
      <c r="DI108" s="22">
        <f t="shared" si="69"/>
        <v>10.812733388659577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7</v>
      </c>
      <c r="DO108" s="12">
        <f>IF('Données projet'!$A$166&gt;35,DO107+DN108-DW107,IF(A108&lt;'Données projet'!$A$166,$DL$205^A108,IF(A108='Données projet'!$A$166,'Données projet'!$B$166,DO107+DN108-DW107)))</f>
        <v>253.82000000000033</v>
      </c>
      <c r="DP108" s="17">
        <f>DO108*VLOOKUP('Données projet'!$B$14,Paramètres!$A$1:$I$89,3,0)*VLOOKUP('Données projet'!$B$14,Paramètres!$A$1:$I$89,5,0)</f>
        <v>289.05021600000038</v>
      </c>
      <c r="DQ108" s="13">
        <f t="shared" si="97"/>
        <v>68.8760243982437</v>
      </c>
      <c r="DR108" s="20">
        <f t="shared" si="70"/>
        <v>623.38820202694171</v>
      </c>
      <c r="DS108" s="59">
        <f t="shared" si="71"/>
        <v>902.12683010781348</v>
      </c>
      <c r="DT108" s="59">
        <f ca="1">AVERAGE(OFFSET($DS$3,0,0,'Données projet'!$E$14+1,1))-AVERAGE(OFFSET($H$3,0,0,'Données projet'!$E$14+1,1))</f>
        <v>651.35546372812314</v>
      </c>
      <c r="DU108" s="59">
        <f t="shared" si="98"/>
        <v>293.6561676213388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15.335976680449162</v>
      </c>
      <c r="EB108" s="21">
        <f>EXP(-LN(2)/25)*EB107+(1-EXP(-LN(2)/25))/(LN(2)/25)*Calculateur!DW108*Calculateur!DY108*VLOOKUP('Données projet'!$B$14,Paramètres!$A$1:$I$89,3,0)*0.475*44/12</f>
        <v>37.699743783018199</v>
      </c>
      <c r="EC108" s="21">
        <f>EXP(-LN(2)/2)*EC107+(1-EXP(-LN(2)/2))/(LN(2)/2)*DW108*DZ108*VLOOKUP('Données projet'!$B$14,Paramètres!$A$1:$I$89,3,0)*0.475*44/12</f>
        <v>2.6866722902486808</v>
      </c>
      <c r="ED108" s="22">
        <f t="shared" si="72"/>
        <v>55.722392753716044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8.5265128291212022E-14</v>
      </c>
      <c r="EK108" s="17">
        <f>EJ108*VLOOKUP('Données projet'!$B$15,Paramètres!$A$1:$I$89,3,0)*VLOOKUP('Données projet'!$B$15,Paramètres!$A$1:$I$89,5,0)</f>
        <v>8.9119112089974823E-14</v>
      </c>
      <c r="EL108" s="13">
        <f t="shared" si="99"/>
        <v>1.3568952080113142E-12</v>
      </c>
      <c r="EM108" s="20">
        <f t="shared" si="73"/>
        <v>2.5184749408430782E-12</v>
      </c>
      <c r="EN108" s="59">
        <f t="shared" si="74"/>
        <v>278.73862808087426</v>
      </c>
      <c r="EO108" s="59">
        <f ca="1">AVERAGE(OFFSET($EN$3,0,0,'Données projet'!$E$15+1,1))-AVERAGE(OFFSET($H$3,0,0,'Données projet'!$E$15+1,1))</f>
        <v>290.69667785754848</v>
      </c>
      <c r="EP108" s="59">
        <f t="shared" si="100"/>
        <v>256.28124185489082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16.121229436537867</v>
      </c>
      <c r="EW108" s="21">
        <f>EXP(-LN(2)/25)*EW107+(1-EXP(-LN(2)/25))/(LN(2)/25)*Calculateur!ER108*Calculateur!ET108*VLOOKUP('Données projet'!$B$15,Paramètres!$A$1:$I$89,3,0)*0.475*44/12</f>
        <v>39.563678411157298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55.684907847695165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8.8449999999999989</v>
      </c>
      <c r="N109" s="13">
        <f>IF('Données projet'!$A$36&gt;35,N108+M109-V108,IF(A109&lt;'Données projet'!$A$36,$K$205^A109,IF(A109='Données projet'!$A$36,'Données projet'!$B$36,N108+M109-V108)))</f>
        <v>353.80000000000052</v>
      </c>
      <c r="O109" s="13">
        <f>N109*VLOOKUP('Données projet'!$B$9,Paramètres!$A$1:$I$89,3,0)*VLOOKUP('Données projet'!$B$9,Paramètres!$A$1:$I$89,5,0)</f>
        <v>358.75320000000056</v>
      </c>
      <c r="P109" s="13">
        <f t="shared" si="87"/>
        <v>83.362286707455894</v>
      </c>
      <c r="Q109" s="20">
        <f t="shared" si="107"/>
        <v>770.01780601548671</v>
      </c>
      <c r="R109" s="59">
        <f t="shared" si="55"/>
        <v>1049.0096196036159</v>
      </c>
      <c r="S109" s="59">
        <f ca="1">AVERAGE(OFFSET($R$3,0,0,'Données projet'!$E$9+1,1))-AVERAGE(OFFSET($H$3,0,0,'Données projet'!$E$9+1,1))</f>
        <v>752.45542076695506</v>
      </c>
      <c r="T109" s="59">
        <f t="shared" si="88"/>
        <v>329.70629768420724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35.649307436147012</v>
      </c>
      <c r="AA109" s="21">
        <f>EXP(-LN(2)/25)*AA108+(1-EXP(-LN(2)/25))/(LN(2)/25)*Calculateur!V109*Calculateur!X109*VLOOKUP('Données projet'!$B$9,Paramètres!$A$1:$I$89,3,0)*0.475*44/12</f>
        <v>28.652242737795429</v>
      </c>
      <c r="AB109" s="21">
        <f>EXP(-LN(2)/2)*AB108+(1-EXP(-LN(2)/2))/(LN(2)/2)*V109*Y109*VLOOKUP('Données projet'!$B$9,Paramètres!$A$1:$I$89,3,0)*0.475*44/12</f>
        <v>3.2654125076531111</v>
      </c>
      <c r="AC109" s="22">
        <f t="shared" si="57"/>
        <v>67.566962681595555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408.246209980743</v>
      </c>
      <c r="AO109" s="59">
        <f t="shared" si="90"/>
        <v>394.10236303013903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34.10745300041777</v>
      </c>
      <c r="AV109" s="21">
        <f>EXP(-LN(2)/25)*AV108+(1-EXP(-LN(2)/25))/(LN(2)/25)*Calculateur!AQ109*Calculateur!AS109*VLOOKUP('Données projet'!$B$10,Paramètres!$A$1:$I$89,3,0)*0.475*44/12</f>
        <v>27.407221491108057</v>
      </c>
      <c r="AW109" s="21">
        <f>EXP(-LN(2)/2)*AW108+(1-EXP(-LN(2)/2))/(LN(2)/2)*AQ109*AT109*VLOOKUP('Données projet'!$B$10,Paramètres!$A$1:$I$89,3,0)*0.475*44/12</f>
        <v>8.3668284396217797E-3</v>
      </c>
      <c r="AX109" s="21">
        <f t="shared" si="60"/>
        <v>61.523041319965444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8.8449999999999989</v>
      </c>
      <c r="BD109" s="12">
        <f>IF('Données projet'!$A$88&gt;35,BD108+BC109-BL108,IF(A109&lt;'Données projet'!$A$88,$BA$205^A109,IF(A109='Données projet'!$A$88,'Données projet'!$B$88,BD108+BC109-BL108)))</f>
        <v>353.80000000000052</v>
      </c>
      <c r="BE109" s="13">
        <f>BD109*VLOOKUP('Données projet'!$B$11,Paramètres!$A$1:$I$89,3,0)*VLOOKUP('Données projet'!$B$11,Paramètres!$A$1:$I$89,5,0)</f>
        <v>336.67608000000052</v>
      </c>
      <c r="BF109" s="13">
        <f t="shared" si="91"/>
        <v>78.81281133511159</v>
      </c>
      <c r="BG109" s="20">
        <f t="shared" si="61"/>
        <v>723.64315240865346</v>
      </c>
      <c r="BH109" s="59">
        <f t="shared" si="62"/>
        <v>1002.6349659967825</v>
      </c>
      <c r="BI109" s="59">
        <f ca="1">AVERAGE(OFFSET($BH$3,0,0,'Données projet'!$E$11+1,1))-AVERAGE(OFFSET($H$3,0,0,'Données projet'!$E$11+1,1))</f>
        <v>711.91538686535682</v>
      </c>
      <c r="BJ109" s="59">
        <f t="shared" si="92"/>
        <v>313.24593837351722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33.455503901614897</v>
      </c>
      <c r="BQ109" s="21">
        <f>EXP(-LN(2)/25)*BQ108+(1-EXP(-LN(2)/25))/(LN(2)/25)*Calculateur!BL109*Calculateur!BN109*VLOOKUP('Données projet'!$B$11,Paramètres!$A$1:$I$89,3,0)*0.475*44/12</f>
        <v>26.889027800084936</v>
      </c>
      <c r="BR109" s="21">
        <f>EXP(-LN(2)/2)*BR108+(1-EXP(-LN(2)/2))/(LN(2)/2)*BL109*BO109*VLOOKUP('Données projet'!$B$11,Paramètres!$A$1:$I$89,3,0)*0.475*44/12</f>
        <v>3.0644640456436885</v>
      </c>
      <c r="BS109" s="22">
        <f t="shared" si="63"/>
        <v>63.408995747343525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8.8449999999999989</v>
      </c>
      <c r="BY109" s="12">
        <f>IF('Données projet'!$A$114&gt;35,BY108+BX109-CG108,IF(A109&lt;'Données projet'!$A$114,$BV$205^A109,IF(A109='Données projet'!$A$114,'Données projet'!$B$114,BY108+BX109-CG108)))</f>
        <v>353.80000000000052</v>
      </c>
      <c r="BZ109" s="13">
        <f>BY109*VLOOKUP('Données projet'!$B$12,Paramètres!$A$1:$I$89,3,0)*VLOOKUP('Données projet'!$B$12,Paramètres!$A$1:$I$89,5,0)</f>
        <v>320.11824000000047</v>
      </c>
      <c r="CA109" s="13">
        <f t="shared" si="93"/>
        <v>75.377955265343587</v>
      </c>
      <c r="CB109" s="20">
        <f t="shared" si="64"/>
        <v>688.82254008714096</v>
      </c>
      <c r="CC109" s="59">
        <f t="shared" si="65"/>
        <v>967.81435367527001</v>
      </c>
      <c r="CD109" s="59">
        <f ca="1">AVERAGE(OFFSET($CC$3,0,0,'Données projet'!$E$12+1,1))-AVERAGE(OFFSET($H$3,0,0,'Données projet'!$E$12+1,1))</f>
        <v>681.47578137804555</v>
      </c>
      <c r="CE109" s="59">
        <f t="shared" si="94"/>
        <v>300.88511065995885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31.810151250715805</v>
      </c>
      <c r="CL109" s="21">
        <f>EXP(-LN(2)/25)*CL108+(1-EXP(-LN(2)/25))/(LN(2)/25)*Calculateur!CG109*Calculateur!CI109*VLOOKUP('Données projet'!$B$12,Paramètres!$A$1:$I$89,3,0)*0.475*44/12</f>
        <v>25.566616596802074</v>
      </c>
      <c r="CM109" s="21">
        <f>EXP(-LN(2)/2)*CM108+(1-EXP(-LN(2)/2))/(LN(2)/2)*CG109*CJ109*VLOOKUP('Données projet'!$B$12,Paramètres!$A$1:$I$89,3,0)*0.475*44/12</f>
        <v>2.9137526991366216</v>
      </c>
      <c r="CN109" s="22">
        <f t="shared" si="66"/>
        <v>60.290520546654506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-8.5265128291212022E-14</v>
      </c>
      <c r="CU109" s="17">
        <f>CT109*VLOOKUP('Données projet'!$B$13,Paramètres!$A$1:$I$89,3,0)*VLOOKUP('Données projet'!$B$13,Paramètres!$A$1:$I$89,5,0)</f>
        <v>-6.9167072069831198E-14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186.54446846714993</v>
      </c>
      <c r="CZ109" s="59">
        <f t="shared" si="96"/>
        <v>154.43773051601286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</v>
      </c>
      <c r="DG109" s="21">
        <f>EXP(-LN(2)/25)*DG108+(1-EXP(-LN(2)/25))/(LN(2)/25)*Calculateur!DB109*Calculateur!DD109*VLOOKUP('Données projet'!$B$13,Paramètres!$A$1:$I$89,3,0)*0.475*44/12</f>
        <v>10.382486218485832</v>
      </c>
      <c r="DH109" s="21">
        <f>EXP(-LN(2)/2)*DH108+(1-EXP(-LN(2)/2))/(LN(2)/2)*DB109*DE109*VLOOKUP('Données projet'!$B$13,Paramètres!$A$1:$I$89,3,0)*0.475*44/12</f>
        <v>9.7832290715744896E-2</v>
      </c>
      <c r="DI109" s="22">
        <f t="shared" si="69"/>
        <v>10.480318509201577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7</v>
      </c>
      <c r="DO109" s="12">
        <f>IF('Données projet'!$A$166&gt;35,DO108+DN109-DW108,IF(A109&lt;'Données projet'!$A$166,$DL$205^A109,IF(A109='Données projet'!$A$166,'Données projet'!$B$166,DO108+DN109-DW108)))</f>
        <v>260.82000000000033</v>
      </c>
      <c r="DP109" s="17">
        <f>DO109*VLOOKUP('Données projet'!$B$14,Paramètres!$A$1:$I$89,3,0)*VLOOKUP('Données projet'!$B$14,Paramètres!$A$1:$I$89,5,0)</f>
        <v>297.0218160000004</v>
      </c>
      <c r="DQ109" s="13">
        <f t="shared" si="97"/>
        <v>70.551759651821399</v>
      </c>
      <c r="DR109" s="20">
        <f t="shared" si="70"/>
        <v>640.19064426025625</v>
      </c>
      <c r="DS109" s="59">
        <f t="shared" si="71"/>
        <v>919.18245784838541</v>
      </c>
      <c r="DT109" s="59">
        <f ca="1">AVERAGE(OFFSET($DS$3,0,0,'Données projet'!$E$14+1,1))-AVERAGE(OFFSET($H$3,0,0,'Données projet'!$E$14+1,1))</f>
        <v>651.35546372812314</v>
      </c>
      <c r="DU109" s="59">
        <f t="shared" si="98"/>
        <v>293.6561676213388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15.035247531767697</v>
      </c>
      <c r="EB109" s="21">
        <f>EXP(-LN(2)/25)*EB108+(1-EXP(-LN(2)/25))/(LN(2)/25)*Calculateur!DW109*Calculateur!DY109*VLOOKUP('Données projet'!$B$14,Paramètres!$A$1:$I$89,3,0)*0.475*44/12</f>
        <v>36.668842306728202</v>
      </c>
      <c r="EC109" s="21">
        <f>EXP(-LN(2)/2)*EC108+(1-EXP(-LN(2)/2))/(LN(2)/2)*DW109*DZ109*VLOOKUP('Données projet'!$B$14,Paramètres!$A$1:$I$89,3,0)*0.475*44/12</f>
        <v>1.8997641952608346</v>
      </c>
      <c r="ED109" s="22">
        <f t="shared" si="72"/>
        <v>53.603854033756733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8.5265128291212022E-14</v>
      </c>
      <c r="EK109" s="17">
        <f>EJ109*VLOOKUP('Données projet'!$B$15,Paramètres!$A$1:$I$89,3,0)*VLOOKUP('Données projet'!$B$15,Paramètres!$A$1:$I$89,5,0)</f>
        <v>8.9119112089974823E-14</v>
      </c>
      <c r="EL109" s="13">
        <f t="shared" si="99"/>
        <v>1.3568952080113142E-12</v>
      </c>
      <c r="EM109" s="20">
        <f t="shared" si="73"/>
        <v>2.5184749408430782E-12</v>
      </c>
      <c r="EN109" s="59">
        <f t="shared" si="74"/>
        <v>278.99181358813161</v>
      </c>
      <c r="EO109" s="59">
        <f ca="1">AVERAGE(OFFSET($EN$3,0,0,'Données projet'!$E$15+1,1))-AVERAGE(OFFSET($H$3,0,0,'Données projet'!$E$15+1,1))</f>
        <v>290.69667785754848</v>
      </c>
      <c r="EP109" s="59">
        <f t="shared" si="100"/>
        <v>256.28124185489082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15.80510196026639</v>
      </c>
      <c r="EW109" s="21">
        <f>EXP(-LN(2)/25)*EW108+(1-EXP(-LN(2)/25))/(LN(2)/25)*Calculateur!ER109*Calculateur!ET109*VLOOKUP('Données projet'!$B$15,Paramètres!$A$1:$I$89,3,0)*0.475*44/12</f>
        <v>38.481807544440777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54.286909504707168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8.8449999999999989</v>
      </c>
      <c r="N110" s="13">
        <f>IF('Données projet'!$A$36&gt;35,N109+M110-V109,IF(A110&lt;'Données projet'!$A$36,$K$205^A110,IF(A110='Données projet'!$A$36,'Données projet'!$B$36,N109+M110-V109)))</f>
        <v>362.64500000000055</v>
      </c>
      <c r="O110" s="13">
        <f>N110*VLOOKUP('Données projet'!$B$9,Paramètres!$A$1:$I$89,3,0)*VLOOKUP('Données projet'!$B$9,Paramètres!$A$1:$I$89,5,0)</f>
        <v>367.72203000000059</v>
      </c>
      <c r="P110" s="13">
        <f t="shared" si="87"/>
        <v>85.201104879888135</v>
      </c>
      <c r="Q110" s="20">
        <f t="shared" si="107"/>
        <v>788.84112658247284</v>
      </c>
      <c r="R110" s="59">
        <f t="shared" si="55"/>
        <v>1068.0817334753465</v>
      </c>
      <c r="S110" s="59">
        <f ca="1">AVERAGE(OFFSET($R$3,0,0,'Données projet'!$E$9+1,1))-AVERAGE(OFFSET($H$3,0,0,'Données projet'!$E$9+1,1))</f>
        <v>752.45542076695506</v>
      </c>
      <c r="T110" s="59">
        <f t="shared" si="88"/>
        <v>329.70629768420724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34.950246261254669</v>
      </c>
      <c r="AA110" s="21">
        <f>EXP(-LN(2)/25)*AA109+(1-EXP(-LN(2)/25))/(LN(2)/25)*Calculateur!V110*Calculateur!X110*VLOOKUP('Données projet'!$B$9,Paramètres!$A$1:$I$89,3,0)*0.475*44/12</f>
        <v>27.868745653374454</v>
      </c>
      <c r="AB110" s="21">
        <f>EXP(-LN(2)/2)*AB109+(1-EXP(-LN(2)/2))/(LN(2)/2)*V110*Y110*VLOOKUP('Données projet'!$B$9,Paramètres!$A$1:$I$89,3,0)*0.475*44/12</f>
        <v>2.3089953275328838</v>
      </c>
      <c r="AC110" s="22">
        <f t="shared" si="57"/>
        <v>65.127987242162007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408.246209980743</v>
      </c>
      <c r="AO110" s="59">
        <f t="shared" si="90"/>
        <v>394.10236303013903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33.438626650571734</v>
      </c>
      <c r="AV110" s="21">
        <f>EXP(-LN(2)/25)*AV109+(1-EXP(-LN(2)/25))/(LN(2)/25)*Calculateur!AQ110*Calculateur!AS110*VLOOKUP('Données projet'!$B$10,Paramètres!$A$1:$I$89,3,0)*0.475*44/12</f>
        <v>26.657769578150567</v>
      </c>
      <c r="AW110" s="21">
        <f>EXP(-LN(2)/2)*AW109+(1-EXP(-LN(2)/2))/(LN(2)/2)*AQ110*AT110*VLOOKUP('Données projet'!$B$10,Paramètres!$A$1:$I$89,3,0)*0.475*44/12</f>
        <v>5.9162411266810207E-3</v>
      </c>
      <c r="AX110" s="21">
        <f t="shared" si="60"/>
        <v>60.102312469848982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8.8449999999999989</v>
      </c>
      <c r="BD110" s="12">
        <f>IF('Données projet'!$A$88&gt;35,BD109+BC110-BL109,IF(A110&lt;'Données projet'!$A$88,$BA$205^A110,IF(A110='Données projet'!$A$88,'Données projet'!$B$88,BD109+BC110-BL109)))</f>
        <v>362.64500000000055</v>
      </c>
      <c r="BE110" s="13">
        <f>BD110*VLOOKUP('Données projet'!$B$11,Paramètres!$A$1:$I$89,3,0)*VLOOKUP('Données projet'!$B$11,Paramètres!$A$1:$I$89,5,0)</f>
        <v>345.09298200000052</v>
      </c>
      <c r="BF110" s="13">
        <f t="shared" si="91"/>
        <v>80.551276478373012</v>
      </c>
      <c r="BG110" s="20">
        <f t="shared" si="61"/>
        <v>741.33041684983391</v>
      </c>
      <c r="BH110" s="59">
        <f t="shared" si="62"/>
        <v>1020.5710237427076</v>
      </c>
      <c r="BI110" s="59">
        <f ca="1">AVERAGE(OFFSET($BH$3,0,0,'Données projet'!$E$11+1,1))-AVERAGE(OFFSET($H$3,0,0,'Données projet'!$E$11+1,1))</f>
        <v>711.91538686535682</v>
      </c>
      <c r="BJ110" s="59">
        <f t="shared" si="92"/>
        <v>313.24593837351722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32.799461875946697</v>
      </c>
      <c r="BQ110" s="21">
        <f>EXP(-LN(2)/25)*BQ109+(1-EXP(-LN(2)/25))/(LN(2)/25)*Calculateur!BL110*Calculateur!BN110*VLOOKUP('Données projet'!$B$11,Paramètres!$A$1:$I$89,3,0)*0.475*44/12</f>
        <v>26.153745920859098</v>
      </c>
      <c r="BR110" s="21">
        <f>EXP(-LN(2)/2)*BR109+(1-EXP(-LN(2)/2))/(LN(2)/2)*BL110*BO110*VLOOKUP('Données projet'!$B$11,Paramètres!$A$1:$I$89,3,0)*0.475*44/12</f>
        <v>2.1669033073770141</v>
      </c>
      <c r="BS110" s="22">
        <f t="shared" si="63"/>
        <v>61.120111104182811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8.8449999999999989</v>
      </c>
      <c r="BY110" s="12">
        <f>IF('Données projet'!$A$114&gt;35,BY109+BX110-CG109,IF(A110&lt;'Données projet'!$A$114,$BV$205^A110,IF(A110='Données projet'!$A$114,'Données projet'!$B$114,BY109+BX110-CG109)))</f>
        <v>362.64500000000055</v>
      </c>
      <c r="BZ110" s="13">
        <f>BY110*VLOOKUP('Données projet'!$B$12,Paramètres!$A$1:$I$89,3,0)*VLOOKUP('Données projet'!$B$12,Paramètres!$A$1:$I$89,5,0)</f>
        <v>328.12119600000045</v>
      </c>
      <c r="CA110" s="13">
        <f t="shared" si="93"/>
        <v>77.040653823854953</v>
      </c>
      <c r="CB110" s="20">
        <f t="shared" si="64"/>
        <v>705.65688844321483</v>
      </c>
      <c r="CC110" s="59">
        <f t="shared" si="65"/>
        <v>984.89749533608847</v>
      </c>
      <c r="CD110" s="59">
        <f ca="1">AVERAGE(OFFSET($CC$3,0,0,'Données projet'!$E$12+1,1))-AVERAGE(OFFSET($H$3,0,0,'Données projet'!$E$12+1,1))</f>
        <v>681.47578137804555</v>
      </c>
      <c r="CE110" s="59">
        <f t="shared" si="94"/>
        <v>300.88511065995885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31.186373586965715</v>
      </c>
      <c r="CL110" s="21">
        <f>EXP(-LN(2)/25)*CL109+(1-EXP(-LN(2)/25))/(LN(2)/25)*Calculateur!CG110*Calculateur!CI110*VLOOKUP('Données projet'!$B$12,Paramètres!$A$1:$I$89,3,0)*0.475*44/12</f>
        <v>24.867496121472588</v>
      </c>
      <c r="CM110" s="21">
        <f>EXP(-LN(2)/2)*CM109+(1-EXP(-LN(2)/2))/(LN(2)/2)*CG110*CJ110*VLOOKUP('Données projet'!$B$12,Paramètres!$A$1:$I$89,3,0)*0.475*44/12</f>
        <v>2.0603342922601113</v>
      </c>
      <c r="CN110" s="22">
        <f t="shared" si="66"/>
        <v>58.114204000698408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-8.5265128291212022E-14</v>
      </c>
      <c r="CU110" s="17">
        <f>CT110*VLOOKUP('Données projet'!$B$13,Paramètres!$A$1:$I$89,3,0)*VLOOKUP('Données projet'!$B$13,Paramètres!$A$1:$I$89,5,0)</f>
        <v>-6.9167072069831198E-14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186.54446846714993</v>
      </c>
      <c r="CZ110" s="59">
        <f t="shared" si="96"/>
        <v>154.43773051601286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</v>
      </c>
      <c r="DG110" s="21">
        <f>EXP(-LN(2)/25)*DG109+(1-EXP(-LN(2)/25))/(LN(2)/25)*Calculateur!DB110*Calculateur!DD110*VLOOKUP('Données projet'!$B$13,Paramètres!$A$1:$I$89,3,0)*0.475*44/12</f>
        <v>10.098576586850116</v>
      </c>
      <c r="DH110" s="21">
        <f>EXP(-LN(2)/2)*DH109+(1-EXP(-LN(2)/2))/(LN(2)/2)*DB110*DE110*VLOOKUP('Données projet'!$B$13,Paramètres!$A$1:$I$89,3,0)*0.475*44/12</f>
        <v>6.9177876184116929E-2</v>
      </c>
      <c r="DI110" s="22">
        <f t="shared" si="69"/>
        <v>10.167754463034234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7</v>
      </c>
      <c r="DO110" s="12">
        <f>IF('Données projet'!$A$166&gt;35,DO109+DN110-DW109,IF(A110&lt;'Données projet'!$A$166,$DL$205^A110,IF(A110='Données projet'!$A$166,'Données projet'!$B$166,DO109+DN110-DW109)))</f>
        <v>267.82000000000033</v>
      </c>
      <c r="DP110" s="17">
        <f>DO110*VLOOKUP('Données projet'!$B$14,Paramètres!$A$1:$I$89,3,0)*VLOOKUP('Données projet'!$B$14,Paramètres!$A$1:$I$89,5,0)</f>
        <v>304.99341600000037</v>
      </c>
      <c r="DQ110" s="13">
        <f t="shared" si="97"/>
        <v>72.222267424620483</v>
      </c>
      <c r="DR110" s="20">
        <f t="shared" si="70"/>
        <v>656.98398196454798</v>
      </c>
      <c r="DS110" s="59">
        <f t="shared" si="71"/>
        <v>936.22458885742162</v>
      </c>
      <c r="DT110" s="59">
        <f ca="1">AVERAGE(OFFSET($DS$3,0,0,'Données projet'!$E$14+1,1))-AVERAGE(OFFSET($H$3,0,0,'Données projet'!$E$14+1,1))</f>
        <v>651.35546372812314</v>
      </c>
      <c r="DU110" s="59">
        <f t="shared" si="98"/>
        <v>293.6561676213388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14.740415498265206</v>
      </c>
      <c r="EB110" s="21">
        <f>EXP(-LN(2)/25)*EB109+(1-EXP(-LN(2)/25))/(LN(2)/25)*Calculateur!DW110*Calculateur!DY110*VLOOKUP('Données projet'!$B$14,Paramètres!$A$1:$I$89,3,0)*0.475*44/12</f>
        <v>35.666130885520111</v>
      </c>
      <c r="EC110" s="21">
        <f>EXP(-LN(2)/2)*EC109+(1-EXP(-LN(2)/2))/(LN(2)/2)*DW110*DZ110*VLOOKUP('Données projet'!$B$14,Paramètres!$A$1:$I$89,3,0)*0.475*44/12</f>
        <v>1.3433361451243406</v>
      </c>
      <c r="ED110" s="22">
        <f t="shared" si="72"/>
        <v>51.749882528909659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8.5265128291212022E-14</v>
      </c>
      <c r="EK110" s="17">
        <f>EJ110*VLOOKUP('Données projet'!$B$15,Paramètres!$A$1:$I$89,3,0)*VLOOKUP('Données projet'!$B$15,Paramètres!$A$1:$I$89,5,0)</f>
        <v>8.9119112089974823E-14</v>
      </c>
      <c r="EL110" s="13">
        <f t="shared" si="99"/>
        <v>1.3568952080113142E-12</v>
      </c>
      <c r="EM110" s="20">
        <f t="shared" si="73"/>
        <v>2.5184749408430782E-12</v>
      </c>
      <c r="EN110" s="59">
        <f t="shared" si="74"/>
        <v>279.24060689287614</v>
      </c>
      <c r="EO110" s="59">
        <f ca="1">AVERAGE(OFFSET($EN$3,0,0,'Données projet'!$E$15+1,1))-AVERAGE(OFFSET($H$3,0,0,'Données projet'!$E$15+1,1))</f>
        <v>290.69667785754848</v>
      </c>
      <c r="EP110" s="59">
        <f t="shared" si="100"/>
        <v>256.28124185489082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15.495173550985875</v>
      </c>
      <c r="EW110" s="21">
        <f>EXP(-LN(2)/25)*EW109+(1-EXP(-LN(2)/25))/(LN(2)/25)*Calculateur!ER110*Calculateur!ET110*VLOOKUP('Données projet'!$B$15,Paramètres!$A$1:$I$89,3,0)*0.475*44/12</f>
        <v>37.429520493467734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52.924694044453609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8.8449999999999989</v>
      </c>
      <c r="N111" s="13">
        <f>IF('Données projet'!$A$36&gt;35,N110+M111-V110,IF(A111&lt;'Données projet'!$A$36,$K$205^A111,IF(A111='Données projet'!$A$36,'Données projet'!$B$36,N110+M111-V110)))</f>
        <v>371.49000000000058</v>
      </c>
      <c r="O111" s="13">
        <f>N111*VLOOKUP('Données projet'!$B$9,Paramètres!$A$1:$I$89,3,0)*VLOOKUP('Données projet'!$B$9,Paramètres!$A$1:$I$89,5,0)</f>
        <v>376.69086000000061</v>
      </c>
      <c r="P111" s="13">
        <f t="shared" si="87"/>
        <v>87.034709459862782</v>
      </c>
      <c r="Q111" s="20">
        <f t="shared" si="107"/>
        <v>807.65536680926198</v>
      </c>
      <c r="R111" s="59">
        <f t="shared" si="55"/>
        <v>1087.1404509992612</v>
      </c>
      <c r="S111" s="59">
        <f ca="1">AVERAGE(OFFSET($R$3,0,0,'Données projet'!$E$9+1,1))-AVERAGE(OFFSET($H$3,0,0,'Données projet'!$E$9+1,1))</f>
        <v>752.45542076695506</v>
      </c>
      <c r="T111" s="59">
        <f t="shared" si="88"/>
        <v>329.70629768420724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34.264893249616755</v>
      </c>
      <c r="AA111" s="21">
        <f>EXP(-LN(2)/25)*AA110+(1-EXP(-LN(2)/25))/(LN(2)/25)*Calculateur!V111*Calculateur!X111*VLOOKUP('Données projet'!$B$9,Paramètres!$A$1:$I$89,3,0)*0.475*44/12</f>
        <v>27.106673337929291</v>
      </c>
      <c r="AB111" s="21">
        <f>EXP(-LN(2)/2)*AB110+(1-EXP(-LN(2)/2))/(LN(2)/2)*V111*Y111*VLOOKUP('Données projet'!$B$9,Paramètres!$A$1:$I$89,3,0)*0.475*44/12</f>
        <v>1.6327062538265555</v>
      </c>
      <c r="AC111" s="22">
        <f t="shared" si="57"/>
        <v>63.004272841372597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408.246209980743</v>
      </c>
      <c r="AO111" s="59">
        <f t="shared" si="90"/>
        <v>394.10236303013903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32.782915577502386</v>
      </c>
      <c r="AV111" s="21">
        <f>EXP(-LN(2)/25)*AV110+(1-EXP(-LN(2)/25))/(LN(2)/25)*Calculateur!AQ111*Calculateur!AS111*VLOOKUP('Données projet'!$B$10,Paramètres!$A$1:$I$89,3,0)*0.475*44/12</f>
        <v>25.928811467164866</v>
      </c>
      <c r="AW111" s="21">
        <f>EXP(-LN(2)/2)*AW110+(1-EXP(-LN(2)/2))/(LN(2)/2)*AQ111*AT111*VLOOKUP('Données projet'!$B$10,Paramètres!$A$1:$I$89,3,0)*0.475*44/12</f>
        <v>4.1834142198108899E-3</v>
      </c>
      <c r="AX111" s="21">
        <f t="shared" si="60"/>
        <v>58.715910458887066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8.8449999999999989</v>
      </c>
      <c r="BD111" s="12">
        <f>IF('Données projet'!$A$88&gt;35,BD110+BC111-BL110,IF(A111&lt;'Données projet'!$A$88,$BA$205^A111,IF(A111='Données projet'!$A$88,'Données projet'!$B$88,BD110+BC111-BL110)))</f>
        <v>371.49000000000058</v>
      </c>
      <c r="BE111" s="13">
        <f>BD111*VLOOKUP('Données projet'!$B$11,Paramètres!$A$1:$I$89,3,0)*VLOOKUP('Données projet'!$B$11,Paramètres!$A$1:$I$89,5,0)</f>
        <v>353.50988400000057</v>
      </c>
      <c r="BF111" s="13">
        <f t="shared" si="91"/>
        <v>82.284812559645275</v>
      </c>
      <c r="BG111" s="20">
        <f t="shared" si="61"/>
        <v>759.00909650804977</v>
      </c>
      <c r="BH111" s="59">
        <f t="shared" si="62"/>
        <v>1038.4941806980491</v>
      </c>
      <c r="BI111" s="59">
        <f ca="1">AVERAGE(OFFSET($BH$3,0,0,'Données projet'!$E$11+1,1))-AVERAGE(OFFSET($H$3,0,0,'Données projet'!$E$11+1,1))</f>
        <v>711.91538686535682</v>
      </c>
      <c r="BJ111" s="59">
        <f t="shared" si="92"/>
        <v>313.24593837351722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32.156284434255731</v>
      </c>
      <c r="BQ111" s="21">
        <f>EXP(-LN(2)/25)*BQ110+(1-EXP(-LN(2)/25))/(LN(2)/25)*Calculateur!BL111*Calculateur!BN111*VLOOKUP('Données projet'!$B$11,Paramètres!$A$1:$I$89,3,0)*0.475*44/12</f>
        <v>25.438570363287482</v>
      </c>
      <c r="BR111" s="21">
        <f>EXP(-LN(2)/2)*BR110+(1-EXP(-LN(2)/2))/(LN(2)/2)*BL111*BO111*VLOOKUP('Données projet'!$B$11,Paramètres!$A$1:$I$89,3,0)*0.475*44/12</f>
        <v>1.5322320228218445</v>
      </c>
      <c r="BS111" s="22">
        <f t="shared" si="63"/>
        <v>59.127086820365058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8.8449999999999989</v>
      </c>
      <c r="BY111" s="12">
        <f>IF('Données projet'!$A$114&gt;35,BY110+BX111-CG110,IF(A111&lt;'Données projet'!$A$114,$BV$205^A111,IF(A111='Données projet'!$A$114,'Données projet'!$B$114,BY110+BX111-CG110)))</f>
        <v>371.49000000000058</v>
      </c>
      <c r="BZ111" s="13">
        <f>BY111*VLOOKUP('Données projet'!$B$12,Paramètres!$A$1:$I$89,3,0)*VLOOKUP('Données projet'!$B$12,Paramètres!$A$1:$I$89,5,0)</f>
        <v>336.12415200000049</v>
      </c>
      <c r="CA111" s="13">
        <f t="shared" si="93"/>
        <v>78.698638141016232</v>
      </c>
      <c r="CB111" s="20">
        <f t="shared" si="64"/>
        <v>722.4830261622709</v>
      </c>
      <c r="CC111" s="59">
        <f t="shared" si="65"/>
        <v>1001.9681103522703</v>
      </c>
      <c r="CD111" s="59">
        <f ca="1">AVERAGE(OFFSET($CC$3,0,0,'Données projet'!$E$12+1,1))-AVERAGE(OFFSET($H$3,0,0,'Données projet'!$E$12+1,1))</f>
        <v>681.47578137804555</v>
      </c>
      <c r="CE111" s="59">
        <f t="shared" si="94"/>
        <v>300.88511065995885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30.574827822734957</v>
      </c>
      <c r="CL111" s="21">
        <f>EXP(-LN(2)/25)*CL110+(1-EXP(-LN(2)/25))/(LN(2)/25)*Calculateur!CG111*Calculateur!CI111*VLOOKUP('Données projet'!$B$12,Paramètres!$A$1:$I$89,3,0)*0.475*44/12</f>
        <v>24.187493132306134</v>
      </c>
      <c r="CM111" s="21">
        <f>EXP(-LN(2)/2)*CM110+(1-EXP(-LN(2)/2))/(LN(2)/2)*CG111*CJ111*VLOOKUP('Données projet'!$B$12,Paramètres!$A$1:$I$89,3,0)*0.475*44/12</f>
        <v>1.4568763495683108</v>
      </c>
      <c r="CN111" s="22">
        <f t="shared" si="66"/>
        <v>56.219197304609402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-8.5265128291212022E-14</v>
      </c>
      <c r="CU111" s="17">
        <f>CT111*VLOOKUP('Données projet'!$B$13,Paramètres!$A$1:$I$89,3,0)*VLOOKUP('Données projet'!$B$13,Paramètres!$A$1:$I$89,5,0)</f>
        <v>-6.9167072069831198E-14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186.54446846714993</v>
      </c>
      <c r="CZ111" s="59">
        <f t="shared" si="96"/>
        <v>154.43773051601286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</v>
      </c>
      <c r="DG111" s="21">
        <f>EXP(-LN(2)/25)*DG110+(1-EXP(-LN(2)/25))/(LN(2)/25)*Calculateur!DB111*Calculateur!DD111*VLOOKUP('Données projet'!$B$13,Paramètres!$A$1:$I$89,3,0)*0.475*44/12</f>
        <v>9.8224304790216372</v>
      </c>
      <c r="DH111" s="21">
        <f>EXP(-LN(2)/2)*DH110+(1-EXP(-LN(2)/2))/(LN(2)/2)*DB111*DE111*VLOOKUP('Données projet'!$B$13,Paramètres!$A$1:$I$89,3,0)*0.475*44/12</f>
        <v>4.8916145357872448E-2</v>
      </c>
      <c r="DI111" s="22">
        <f t="shared" si="69"/>
        <v>9.8713466243795089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7</v>
      </c>
      <c r="DO111" s="12">
        <f>IF('Données projet'!$A$166&gt;35,DO110+DN111-DW110,IF(A111&lt;'Données projet'!$A$166,$DL$205^A111,IF(A111='Données projet'!$A$166,'Données projet'!$B$166,DO110+DN111-DW110)))</f>
        <v>274.82000000000033</v>
      </c>
      <c r="DP111" s="17">
        <f>DO111*VLOOKUP('Données projet'!$B$14,Paramètres!$A$1:$I$89,3,0)*VLOOKUP('Données projet'!$B$14,Paramètres!$A$1:$I$89,5,0)</f>
        <v>312.96501600000039</v>
      </c>
      <c r="DQ111" s="13">
        <f t="shared" si="97"/>
        <v>73.887700054180357</v>
      </c>
      <c r="DR111" s="20">
        <f t="shared" si="70"/>
        <v>673.76848046103134</v>
      </c>
      <c r="DS111" s="59">
        <f t="shared" si="71"/>
        <v>953.25356465103073</v>
      </c>
      <c r="DT111" s="59">
        <f ca="1">AVERAGE(OFFSET($DS$3,0,0,'Données projet'!$E$14+1,1))-AVERAGE(OFFSET($H$3,0,0,'Données projet'!$E$14+1,1))</f>
        <v>651.35546372812314</v>
      </c>
      <c r="DU111" s="59">
        <f t="shared" si="98"/>
        <v>293.6561676213388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14.451364941109915</v>
      </c>
      <c r="EB111" s="21">
        <f>EXP(-LN(2)/25)*EB110+(1-EXP(-LN(2)/25))/(LN(2)/25)*Calculateur!DW111*Calculateur!DY111*VLOOKUP('Données projet'!$B$14,Paramètres!$A$1:$I$89,3,0)*0.475*44/12</f>
        <v>34.690838660855256</v>
      </c>
      <c r="EC111" s="21">
        <f>EXP(-LN(2)/2)*EC110+(1-EXP(-LN(2)/2))/(LN(2)/2)*DW111*DZ111*VLOOKUP('Données projet'!$B$14,Paramètres!$A$1:$I$89,3,0)*0.475*44/12</f>
        <v>0.94988209763041742</v>
      </c>
      <c r="ED111" s="22">
        <f t="shared" si="72"/>
        <v>50.092085699595586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8.5265128291212022E-14</v>
      </c>
      <c r="EK111" s="17">
        <f>EJ111*VLOOKUP('Données projet'!$B$15,Paramètres!$A$1:$I$89,3,0)*VLOOKUP('Données projet'!$B$15,Paramètres!$A$1:$I$89,5,0)</f>
        <v>8.9119112089974823E-14</v>
      </c>
      <c r="EL111" s="13">
        <f t="shared" si="99"/>
        <v>1.3568952080113142E-12</v>
      </c>
      <c r="EM111" s="20">
        <f t="shared" si="73"/>
        <v>2.5184749408430782E-12</v>
      </c>
      <c r="EN111" s="59">
        <f t="shared" si="74"/>
        <v>279.48508419000183</v>
      </c>
      <c r="EO111" s="59">
        <f ca="1">AVERAGE(OFFSET($EN$3,0,0,'Données projet'!$E$15+1,1))-AVERAGE(OFFSET($H$3,0,0,'Données projet'!$E$15+1,1))</f>
        <v>290.69667785754848</v>
      </c>
      <c r="EP111" s="59">
        <f t="shared" si="100"/>
        <v>256.28124185489082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15.191322648773687</v>
      </c>
      <c r="EW111" s="21">
        <f>EXP(-LN(2)/25)*EW110+(1-EXP(-LN(2)/25))/(LN(2)/25)*Calculateur!ER111*Calculateur!ET111*VLOOKUP('Données projet'!$B$15,Paramètres!$A$1:$I$89,3,0)*0.475*44/12</f>
        <v>36.406008287240923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51.597330936014608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8.8449999999999989</v>
      </c>
      <c r="N112" s="13">
        <f>IF('Données projet'!$A$36&gt;35,N111+M112-V111,IF(A112&lt;'Données projet'!$A$36,$K$205^A112,IF(A112='Données projet'!$A$36,'Données projet'!$B$36,N111+M112-V111)))</f>
        <v>380.3350000000006</v>
      </c>
      <c r="O112" s="13">
        <f>N112*VLOOKUP('Données projet'!$B$9,Paramètres!$A$1:$I$89,3,0)*VLOOKUP('Données projet'!$B$9,Paramètres!$A$1:$I$89,5,0)</f>
        <v>385.65969000000064</v>
      </c>
      <c r="P112" s="13">
        <f t="shared" si="87"/>
        <v>88.86323886421664</v>
      </c>
      <c r="Q112" s="20">
        <f t="shared" si="107"/>
        <v>826.4607677718451</v>
      </c>
      <c r="R112" s="59">
        <f t="shared" si="55"/>
        <v>1106.1860881244343</v>
      </c>
      <c r="S112" s="59">
        <f ca="1">AVERAGE(OFFSET($R$3,0,0,'Données projet'!$E$9+1,1))-AVERAGE(OFFSET($H$3,0,0,'Données projet'!$E$9+1,1))</f>
        <v>752.45542076695506</v>
      </c>
      <c r="T112" s="59">
        <f t="shared" si="88"/>
        <v>329.70629768420724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33.592979592512997</v>
      </c>
      <c r="AA112" s="21">
        <f>EXP(-LN(2)/25)*AA111+(1-EXP(-LN(2)/25))/(LN(2)/25)*Calculateur!V112*Calculateur!X112*VLOOKUP('Données projet'!$B$9,Paramètres!$A$1:$I$89,3,0)*0.475*44/12</f>
        <v>26.365439930025616</v>
      </c>
      <c r="AB112" s="21">
        <f>EXP(-LN(2)/2)*AB111+(1-EXP(-LN(2)/2))/(LN(2)/2)*V112*Y112*VLOOKUP('Données projet'!$B$9,Paramètres!$A$1:$I$89,3,0)*0.475*44/12</f>
        <v>1.1544976637664419</v>
      </c>
      <c r="AC112" s="22">
        <f t="shared" si="57"/>
        <v>61.112917186305054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408.246209980743</v>
      </c>
      <c r="AO112" s="59">
        <f t="shared" si="90"/>
        <v>394.10236303013903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32.140062598631665</v>
      </c>
      <c r="AV112" s="21">
        <f>EXP(-LN(2)/25)*AV111+(1-EXP(-LN(2)/25))/(LN(2)/25)*Calculateur!AQ112*Calculateur!AS112*VLOOKUP('Données projet'!$B$10,Paramètres!$A$1:$I$89,3,0)*0.475*44/12</f>
        <v>25.219786754058308</v>
      </c>
      <c r="AW112" s="21">
        <f>EXP(-LN(2)/2)*AW111+(1-EXP(-LN(2)/2))/(LN(2)/2)*AQ112*AT112*VLOOKUP('Données projet'!$B$10,Paramètres!$A$1:$I$89,3,0)*0.475*44/12</f>
        <v>2.9581205633405104E-3</v>
      </c>
      <c r="AX112" s="21">
        <f t="shared" si="60"/>
        <v>57.362807473253319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8.8449999999999989</v>
      </c>
      <c r="BD112" s="12">
        <f>IF('Données projet'!$A$88&gt;35,BD111+BC112-BL111,IF(A112&lt;'Données projet'!$A$88,$BA$205^A112,IF(A112='Données projet'!$A$88,'Données projet'!$B$88,BD111+BC112-BL111)))</f>
        <v>380.3350000000006</v>
      </c>
      <c r="BE112" s="13">
        <f>BD112*VLOOKUP('Données projet'!$B$11,Paramètres!$A$1:$I$89,3,0)*VLOOKUP('Données projet'!$B$11,Paramètres!$A$1:$I$89,5,0)</f>
        <v>361.92678600000056</v>
      </c>
      <c r="BF112" s="13">
        <f t="shared" si="91"/>
        <v>84.013550441701824</v>
      </c>
      <c r="BG112" s="20">
        <f t="shared" si="61"/>
        <v>776.67941930263157</v>
      </c>
      <c r="BH112" s="59">
        <f t="shared" si="62"/>
        <v>1056.404739655221</v>
      </c>
      <c r="BI112" s="59">
        <f ca="1">AVERAGE(OFFSET($BH$3,0,0,'Données projet'!$E$11+1,1))-AVERAGE(OFFSET($H$3,0,0,'Données projet'!$E$11+1,1))</f>
        <v>711.91538686535682</v>
      </c>
      <c r="BJ112" s="59">
        <f t="shared" si="92"/>
        <v>313.24593837351722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31.525719309896818</v>
      </c>
      <c r="BQ112" s="21">
        <f>EXP(-LN(2)/25)*BQ111+(1-EXP(-LN(2)/25))/(LN(2)/25)*Calculateur!BL112*Calculateur!BN112*VLOOKUP('Données projet'!$B$11,Paramètres!$A$1:$I$89,3,0)*0.475*44/12</f>
        <v>24.74295131894711</v>
      </c>
      <c r="BR112" s="21">
        <f>EXP(-LN(2)/2)*BR111+(1-EXP(-LN(2)/2))/(LN(2)/2)*BL112*BO112*VLOOKUP('Données projet'!$B$11,Paramètres!$A$1:$I$89,3,0)*0.475*44/12</f>
        <v>1.083451653688507</v>
      </c>
      <c r="BS112" s="22">
        <f t="shared" si="63"/>
        <v>57.352122282532434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8.8449999999999989</v>
      </c>
      <c r="BY112" s="12">
        <f>IF('Données projet'!$A$114&gt;35,BY111+BX112-CG111,IF(A112&lt;'Données projet'!$A$114,$BV$205^A112,IF(A112='Données projet'!$A$114,'Données projet'!$B$114,BY111+BX112-CG111)))</f>
        <v>380.3350000000006</v>
      </c>
      <c r="BZ112" s="13">
        <f>BY112*VLOOKUP('Données projet'!$B$12,Paramètres!$A$1:$I$89,3,0)*VLOOKUP('Données projet'!$B$12,Paramètres!$A$1:$I$89,5,0)</f>
        <v>344.12710800000053</v>
      </c>
      <c r="CA112" s="13">
        <f t="shared" si="93"/>
        <v>80.352033376279337</v>
      </c>
      <c r="CB112" s="20">
        <f t="shared" si="64"/>
        <v>739.30117123035416</v>
      </c>
      <c r="CC112" s="59">
        <f t="shared" si="65"/>
        <v>1019.0264915829434</v>
      </c>
      <c r="CD112" s="59">
        <f ca="1">AVERAGE(OFFSET($CC$3,0,0,'Données projet'!$E$12+1,1))-AVERAGE(OFFSET($H$3,0,0,'Données projet'!$E$12+1,1))</f>
        <v>681.47578137804555</v>
      </c>
      <c r="CE112" s="59">
        <f t="shared" si="94"/>
        <v>300.88511065995885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29.97527409793468</v>
      </c>
      <c r="CL112" s="21">
        <f>EXP(-LN(2)/25)*CL111+(1-EXP(-LN(2)/25))/(LN(2)/25)*Calculateur!CG112*Calculateur!CI112*VLOOKUP('Données projet'!$B$12,Paramètres!$A$1:$I$89,3,0)*0.475*44/12</f>
        <v>23.526084860638239</v>
      </c>
      <c r="CM112" s="21">
        <f>EXP(-LN(2)/2)*CM111+(1-EXP(-LN(2)/2))/(LN(2)/2)*CG112*CJ112*VLOOKUP('Données projet'!$B$12,Paramètres!$A$1:$I$89,3,0)*0.475*44/12</f>
        <v>1.0301671461300557</v>
      </c>
      <c r="CN112" s="22">
        <f t="shared" si="66"/>
        <v>54.531526104702976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-8.5265128291212022E-14</v>
      </c>
      <c r="CU112" s="17">
        <f>CT112*VLOOKUP('Données projet'!$B$13,Paramètres!$A$1:$I$89,3,0)*VLOOKUP('Données projet'!$B$13,Paramètres!$A$1:$I$89,5,0)</f>
        <v>-6.9167072069831198E-14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186.54446846714993</v>
      </c>
      <c r="CZ112" s="59">
        <f t="shared" si="96"/>
        <v>154.43773051601286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</v>
      </c>
      <c r="DG112" s="21">
        <f>EXP(-LN(2)/25)*DG111+(1-EXP(-LN(2)/25))/(LN(2)/25)*Calculateur!DB112*Calculateur!DD112*VLOOKUP('Données projet'!$B$13,Paramètres!$A$1:$I$89,3,0)*0.475*44/12</f>
        <v>9.5538356010336205</v>
      </c>
      <c r="DH112" s="21">
        <f>EXP(-LN(2)/2)*DH111+(1-EXP(-LN(2)/2))/(LN(2)/2)*DB112*DE112*VLOOKUP('Données projet'!$B$13,Paramètres!$A$1:$I$89,3,0)*0.475*44/12</f>
        <v>3.4588938092058465E-2</v>
      </c>
      <c r="DI112" s="22">
        <f t="shared" si="69"/>
        <v>9.588424539125679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7</v>
      </c>
      <c r="DO112" s="12">
        <f>IF('Données projet'!$A$166&gt;35,DO111+DN112-DW111,IF(A112&lt;'Données projet'!$A$166,$DL$205^A112,IF(A112='Données projet'!$A$166,'Données projet'!$B$166,DO111+DN112-DW111)))</f>
        <v>281.82000000000033</v>
      </c>
      <c r="DP112" s="17">
        <f>DO112*VLOOKUP('Données projet'!$B$14,Paramètres!$A$1:$I$89,3,0)*VLOOKUP('Données projet'!$B$14,Paramètres!$A$1:$I$89,5,0)</f>
        <v>320.93661600000036</v>
      </c>
      <c r="DQ112" s="13">
        <f t="shared" si="97"/>
        <v>75.548201675424068</v>
      </c>
      <c r="DR112" s="20">
        <f t="shared" si="70"/>
        <v>690.5443907846975</v>
      </c>
      <c r="DS112" s="59">
        <f t="shared" si="71"/>
        <v>970.26971113728678</v>
      </c>
      <c r="DT112" s="59">
        <f ca="1">AVERAGE(OFFSET($DS$3,0,0,'Données projet'!$E$14+1,1))-AVERAGE(OFFSET($H$3,0,0,'Données projet'!$E$14+1,1))</f>
        <v>651.35546372812314</v>
      </c>
      <c r="DU112" s="59">
        <f t="shared" si="98"/>
        <v>293.6561676213388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14.167982489077009</v>
      </c>
      <c r="EB112" s="21">
        <f>EXP(-LN(2)/25)*EB111+(1-EXP(-LN(2)/25))/(LN(2)/25)*Calculateur!DW112*Calculateur!DY112*VLOOKUP('Données projet'!$B$14,Paramètres!$A$1:$I$89,3,0)*0.475*44/12</f>
        <v>33.742215853362254</v>
      </c>
      <c r="EC112" s="21">
        <f>EXP(-LN(2)/2)*EC111+(1-EXP(-LN(2)/2))/(LN(2)/2)*DW112*DZ112*VLOOKUP('Données projet'!$B$14,Paramètres!$A$1:$I$89,3,0)*0.475*44/12</f>
        <v>0.67166807256217043</v>
      </c>
      <c r="ED112" s="22">
        <f t="shared" si="72"/>
        <v>48.581866415001429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8.5265128291212022E-14</v>
      </c>
      <c r="EK112" s="17">
        <f>EJ112*VLOOKUP('Données projet'!$B$15,Paramètres!$A$1:$I$89,3,0)*VLOOKUP('Données projet'!$B$15,Paramètres!$A$1:$I$89,5,0)</f>
        <v>8.9119112089974823E-14</v>
      </c>
      <c r="EL112" s="13">
        <f t="shared" si="99"/>
        <v>1.3568952080113142E-12</v>
      </c>
      <c r="EM112" s="20">
        <f t="shared" si="73"/>
        <v>2.5184749408430782E-12</v>
      </c>
      <c r="EN112" s="59">
        <f t="shared" si="74"/>
        <v>279.72532035259178</v>
      </c>
      <c r="EO112" s="59">
        <f ca="1">AVERAGE(OFFSET($EN$3,0,0,'Données projet'!$E$15+1,1))-AVERAGE(OFFSET($H$3,0,0,'Données projet'!$E$15+1,1))</f>
        <v>290.69667785754848</v>
      </c>
      <c r="EP112" s="59">
        <f t="shared" si="100"/>
        <v>256.28124185489082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14.89343007742313</v>
      </c>
      <c r="EW112" s="21">
        <f>EXP(-LN(2)/25)*EW111+(1-EXP(-LN(2)/25))/(LN(2)/25)*Calculateur!ER112*Calculateur!ET112*VLOOKUP('Données projet'!$B$15,Paramètres!$A$1:$I$89,3,0)*0.475*44/12</f>
        <v>35.410484076117548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50.303914153540674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8.8449999999999989</v>
      </c>
      <c r="N113" s="13">
        <f>IF('Données projet'!$A$36&gt;35,N112+M113-V112,IF(A113&lt;'Données projet'!$A$36,$K$205^A113,IF(A113='Données projet'!$A$36,'Données projet'!$B$36,N112+M113-V112)))</f>
        <v>389.18000000000063</v>
      </c>
      <c r="O113" s="13">
        <f>N113*VLOOKUP('Données projet'!$B$9,Paramètres!$A$1:$I$89,3,0)*VLOOKUP('Données projet'!$B$9,Paramètres!$A$1:$I$89,5,0)</f>
        <v>394.62852000000066</v>
      </c>
      <c r="P113" s="13">
        <f t="shared" si="87"/>
        <v>90.686824704469188</v>
      </c>
      <c r="Q113" s="20">
        <f t="shared" si="107"/>
        <v>845.25755869361831</v>
      </c>
      <c r="R113" s="59">
        <f t="shared" si="55"/>
        <v>1125.2189476484641</v>
      </c>
      <c r="S113" s="59">
        <f ca="1">AVERAGE(OFFSET($R$3,0,0,'Données projet'!$E$9+1,1))-AVERAGE(OFFSET($H$3,0,0,'Données projet'!$E$9+1,1))</f>
        <v>752.45542076695506</v>
      </c>
      <c r="T113" s="59">
        <f t="shared" si="88"/>
        <v>329.70629768420724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32.934241752398179</v>
      </c>
      <c r="AA113" s="21">
        <f>EXP(-LN(2)/25)*AA112+(1-EXP(-LN(2)/25))/(LN(2)/25)*Calculateur!V113*Calculateur!X113*VLOOKUP('Données projet'!$B$9,Paramètres!$A$1:$I$89,3,0)*0.475*44/12</f>
        <v>25.644475588640837</v>
      </c>
      <c r="AB113" s="21">
        <f>EXP(-LN(2)/2)*AB112+(1-EXP(-LN(2)/2))/(LN(2)/2)*V113*Y113*VLOOKUP('Données projet'!$B$9,Paramètres!$A$1:$I$89,3,0)*0.475*44/12</f>
        <v>0.81635312691327777</v>
      </c>
      <c r="AC113" s="22">
        <f t="shared" si="57"/>
        <v>59.395070467952294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408.246209980743</v>
      </c>
      <c r="AO113" s="59">
        <f t="shared" si="90"/>
        <v>394.10236303013903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31.509815574574997</v>
      </c>
      <c r="AV113" s="21">
        <f>EXP(-LN(2)/25)*AV112+(1-EXP(-LN(2)/25))/(LN(2)/25)*Calculateur!AQ113*Calculateur!AS113*VLOOKUP('Données projet'!$B$10,Paramètres!$A$1:$I$89,3,0)*0.475*44/12</f>
        <v>24.53015035901764</v>
      </c>
      <c r="AW113" s="21">
        <f>EXP(-LN(2)/2)*AW112+(1-EXP(-LN(2)/2))/(LN(2)/2)*AQ113*AT113*VLOOKUP('Données projet'!$B$10,Paramètres!$A$1:$I$89,3,0)*0.475*44/12</f>
        <v>2.0917071099054449E-3</v>
      </c>
      <c r="AX113" s="21">
        <f t="shared" si="60"/>
        <v>56.042057640702545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8.8449999999999989</v>
      </c>
      <c r="BD113" s="12">
        <f>IF('Données projet'!$A$88&gt;35,BD112+BC113-BL112,IF(A113&lt;'Données projet'!$A$88,$BA$205^A113,IF(A113='Données projet'!$A$88,'Données projet'!$B$88,BD112+BC113-BL112)))</f>
        <v>389.18000000000063</v>
      </c>
      <c r="BE113" s="13">
        <f>BD113*VLOOKUP('Données projet'!$B$11,Paramètres!$A$1:$I$89,3,0)*VLOOKUP('Données projet'!$B$11,Paramètres!$A$1:$I$89,5,0)</f>
        <v>370.34368800000061</v>
      </c>
      <c r="BF113" s="13">
        <f t="shared" si="91"/>
        <v>85.737614553397449</v>
      </c>
      <c r="BG113" s="20">
        <f t="shared" si="61"/>
        <v>794.34160194716833</v>
      </c>
      <c r="BH113" s="59">
        <f t="shared" si="62"/>
        <v>1074.3029909020142</v>
      </c>
      <c r="BI113" s="59">
        <f ca="1">AVERAGE(OFFSET($BH$3,0,0,'Données projet'!$E$11+1,1))-AVERAGE(OFFSET($H$3,0,0,'Données projet'!$E$11+1,1))</f>
        <v>711.91538686535682</v>
      </c>
      <c r="BJ113" s="59">
        <f t="shared" si="92"/>
        <v>313.24593837351722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30.907519183019836</v>
      </c>
      <c r="BQ113" s="21">
        <f>EXP(-LN(2)/25)*BQ112+(1-EXP(-LN(2)/25))/(LN(2)/25)*Calculateur!BL113*Calculateur!BN113*VLOOKUP('Données projet'!$B$11,Paramètres!$A$1:$I$89,3,0)*0.475*44/12</f>
        <v>24.066354013955241</v>
      </c>
      <c r="BR113" s="21">
        <f>EXP(-LN(2)/2)*BR112+(1-EXP(-LN(2)/2))/(LN(2)/2)*BL113*BO113*VLOOKUP('Données projet'!$B$11,Paramètres!$A$1:$I$89,3,0)*0.475*44/12</f>
        <v>0.76611601141092223</v>
      </c>
      <c r="BS113" s="22">
        <f t="shared" si="63"/>
        <v>55.739989208386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8.8449999999999989</v>
      </c>
      <c r="BY113" s="12">
        <f>IF('Données projet'!$A$114&gt;35,BY112+BX113-CG112,IF(A113&lt;'Données projet'!$A$114,$BV$205^A113,IF(A113='Données projet'!$A$114,'Données projet'!$B$114,BY112+BX113-CG112)))</f>
        <v>389.18000000000063</v>
      </c>
      <c r="BZ113" s="13">
        <f>BY113*VLOOKUP('Données projet'!$B$12,Paramètres!$A$1:$I$89,3,0)*VLOOKUP('Données projet'!$B$12,Paramètres!$A$1:$I$89,5,0)</f>
        <v>352.13006400000057</v>
      </c>
      <c r="CA113" s="13">
        <f t="shared" si="93"/>
        <v>82.000958535583734</v>
      </c>
      <c r="CB113" s="20">
        <f t="shared" si="64"/>
        <v>756.11153091614267</v>
      </c>
      <c r="CC113" s="59">
        <f t="shared" si="65"/>
        <v>1036.0729198709885</v>
      </c>
      <c r="CD113" s="59">
        <f ca="1">AVERAGE(OFFSET($CC$3,0,0,'Données projet'!$E$12+1,1))-AVERAGE(OFFSET($H$3,0,0,'Données projet'!$E$12+1,1))</f>
        <v>681.47578137804555</v>
      </c>
      <c r="CE113" s="59">
        <f t="shared" si="94"/>
        <v>300.88511065995885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29.387477255986074</v>
      </c>
      <c r="CL113" s="21">
        <f>EXP(-LN(2)/25)*CL112+(1-EXP(-LN(2)/25))/(LN(2)/25)*Calculateur!CG113*Calculateur!CI113*VLOOKUP('Données projet'!$B$12,Paramètres!$A$1:$I$89,3,0)*0.475*44/12</f>
        <v>22.882762832941054</v>
      </c>
      <c r="CM113" s="21">
        <f>EXP(-LN(2)/2)*CM112+(1-EXP(-LN(2)/2))/(LN(2)/2)*CG113*CJ113*VLOOKUP('Données projet'!$B$12,Paramètres!$A$1:$I$89,3,0)*0.475*44/12</f>
        <v>0.7284381747841554</v>
      </c>
      <c r="CN113" s="22">
        <f t="shared" si="66"/>
        <v>52.998678263711277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-8.5265128291212022E-14</v>
      </c>
      <c r="CU113" s="17">
        <f>CT113*VLOOKUP('Données projet'!$B$13,Paramètres!$A$1:$I$89,3,0)*VLOOKUP('Données projet'!$B$13,Paramètres!$A$1:$I$89,5,0)</f>
        <v>-6.9167072069831198E-14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186.54446846714993</v>
      </c>
      <c r="CZ113" s="59">
        <f t="shared" si="96"/>
        <v>154.43773051601286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</v>
      </c>
      <c r="DG113" s="21">
        <f>EXP(-LN(2)/25)*DG112+(1-EXP(-LN(2)/25))/(LN(2)/25)*Calculateur!DB113*Calculateur!DD113*VLOOKUP('Données projet'!$B$13,Paramètres!$A$1:$I$89,3,0)*0.475*44/12</f>
        <v>9.2925854641089778</v>
      </c>
      <c r="DH113" s="21">
        <f>EXP(-LN(2)/2)*DH112+(1-EXP(-LN(2)/2))/(LN(2)/2)*DB113*DE113*VLOOKUP('Données projet'!$B$13,Paramètres!$A$1:$I$89,3,0)*0.475*44/12</f>
        <v>2.4458072678936224E-2</v>
      </c>
      <c r="DI113" s="22">
        <f t="shared" si="69"/>
        <v>9.3170435367879136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7</v>
      </c>
      <c r="DO113" s="12">
        <f>IF('Données projet'!$A$166&gt;35,DO112+DN113-DW112,IF(A113&lt;'Données projet'!$A$166,$DL$205^A113,IF(A113='Données projet'!$A$166,'Données projet'!$B$166,DO112+DN113-DW112)))</f>
        <v>288.82000000000033</v>
      </c>
      <c r="DP113" s="17">
        <f>DO113*VLOOKUP('Données projet'!$B$14,Paramètres!$A$1:$I$89,3,0)*VLOOKUP('Données projet'!$B$14,Paramètres!$A$1:$I$89,5,0)</f>
        <v>328.90821600000038</v>
      </c>
      <c r="DQ113" s="13">
        <f t="shared" si="97"/>
        <v>77.20390885494281</v>
      </c>
      <c r="DR113" s="20">
        <f t="shared" si="70"/>
        <v>707.31195078902601</v>
      </c>
      <c r="DS113" s="59">
        <f t="shared" si="71"/>
        <v>987.27333974387193</v>
      </c>
      <c r="DT113" s="59">
        <f ca="1">AVERAGE(OFFSET($DS$3,0,0,'Données projet'!$E$14+1,1))-AVERAGE(OFFSET($H$3,0,0,'Données projet'!$E$14+1,1))</f>
        <v>651.35546372812314</v>
      </c>
      <c r="DU113" s="59">
        <f t="shared" si="98"/>
        <v>293.6561676213388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13.890156994082238</v>
      </c>
      <c r="EB113" s="21">
        <f>EXP(-LN(2)/25)*EB112+(1-EXP(-LN(2)/25))/(LN(2)/25)*Calculateur!DW113*Calculateur!DY113*VLOOKUP('Données projet'!$B$14,Paramètres!$A$1:$I$89,3,0)*0.475*44/12</f>
        <v>32.81953318642605</v>
      </c>
      <c r="EC113" s="21">
        <f>EXP(-LN(2)/2)*EC112+(1-EXP(-LN(2)/2))/(LN(2)/2)*DW113*DZ113*VLOOKUP('Données projet'!$B$14,Paramètres!$A$1:$I$89,3,0)*0.475*44/12</f>
        <v>0.47494104881520882</v>
      </c>
      <c r="ED113" s="22">
        <f t="shared" si="72"/>
        <v>47.1846312293235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8.5265128291212022E-14</v>
      </c>
      <c r="EK113" s="17">
        <f>EJ113*VLOOKUP('Données projet'!$B$15,Paramètres!$A$1:$I$89,3,0)*VLOOKUP('Données projet'!$B$15,Paramètres!$A$1:$I$89,5,0)</f>
        <v>8.9119112089974823E-14</v>
      </c>
      <c r="EL113" s="13">
        <f t="shared" si="99"/>
        <v>1.3568952080113142E-12</v>
      </c>
      <c r="EM113" s="20">
        <f t="shared" si="73"/>
        <v>2.5184749408430782E-12</v>
      </c>
      <c r="EN113" s="59">
        <f t="shared" si="74"/>
        <v>279.96138895484836</v>
      </c>
      <c r="EO113" s="59">
        <f ca="1">AVERAGE(OFFSET($EN$3,0,0,'Données projet'!$E$15+1,1))-AVERAGE(OFFSET($H$3,0,0,'Données projet'!$E$15+1,1))</f>
        <v>290.69667785754848</v>
      </c>
      <c r="EP113" s="59">
        <f t="shared" si="100"/>
        <v>256.28124185489082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14.601378997700229</v>
      </c>
      <c r="EW113" s="21">
        <f>EXP(-LN(2)/25)*EW112+(1-EXP(-LN(2)/25))/(LN(2)/25)*Calculateur!ER113*Calculateur!ET113*VLOOKUP('Données projet'!$B$15,Paramètres!$A$1:$I$89,3,0)*0.475*44/12</f>
        <v>34.442182526899686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49.043561524599916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8.8449999999999989</v>
      </c>
      <c r="N114" s="13">
        <f>IF('Données projet'!$A$36&gt;35,N113+M114-V113,IF(A114&lt;'Données projet'!$A$36,$K$205^A114,IF(A114='Données projet'!$A$36,'Données projet'!$B$36,N113+M114-V113)))</f>
        <v>398.02500000000066</v>
      </c>
      <c r="O114" s="13">
        <f>N114*VLOOKUP('Données projet'!$B$9,Paramètres!$A$1:$I$89,3,0)*VLOOKUP('Données projet'!$B$9,Paramètres!$A$1:$I$89,5,0)</f>
        <v>403.59735000000074</v>
      </c>
      <c r="P114" s="13">
        <f t="shared" si="87"/>
        <v>92.505592268354718</v>
      </c>
      <c r="Q114" s="20">
        <f t="shared" si="107"/>
        <v>864.04595778405246</v>
      </c>
      <c r="R114" s="59">
        <f t="shared" si="55"/>
        <v>1144.239320078676</v>
      </c>
      <c r="S114" s="59">
        <f ca="1">AVERAGE(OFFSET($R$3,0,0,'Données projet'!$E$9+1,1))-AVERAGE(OFFSET($H$3,0,0,'Données projet'!$E$9+1,1))</f>
        <v>752.45542076695506</v>
      </c>
      <c r="T114" s="59">
        <f t="shared" si="88"/>
        <v>329.70629768420724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32.288421359537601</v>
      </c>
      <c r="AA114" s="21">
        <f>EXP(-LN(2)/25)*AA113+(1-EXP(-LN(2)/25))/(LN(2)/25)*Calculateur!V114*Calculateur!X114*VLOOKUP('Données projet'!$B$9,Paramètres!$A$1:$I$89,3,0)*0.475*44/12</f>
        <v>24.943226055085095</v>
      </c>
      <c r="AB114" s="21">
        <f>EXP(-LN(2)/2)*AB113+(1-EXP(-LN(2)/2))/(LN(2)/2)*V114*Y114*VLOOKUP('Données projet'!$B$9,Paramètres!$A$1:$I$89,3,0)*0.475*44/12</f>
        <v>0.57724883188322096</v>
      </c>
      <c r="AC114" s="22">
        <f t="shared" si="57"/>
        <v>57.808896246505924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408.246209980743</v>
      </c>
      <c r="AO114" s="59">
        <f t="shared" si="90"/>
        <v>394.10236303013903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30.891927310247354</v>
      </c>
      <c r="AV114" s="21">
        <f>EXP(-LN(2)/25)*AV113+(1-EXP(-LN(2)/25))/(LN(2)/25)*Calculateur!AQ114*Calculateur!AS114*VLOOKUP('Données projet'!$B$10,Paramètres!$A$1:$I$89,3,0)*0.475*44/12</f>
        <v>23.859372107465759</v>
      </c>
      <c r="AW114" s="21">
        <f>EXP(-LN(2)/2)*AW113+(1-EXP(-LN(2)/2))/(LN(2)/2)*AQ114*AT114*VLOOKUP('Données projet'!$B$10,Paramètres!$A$1:$I$89,3,0)*0.475*44/12</f>
        <v>1.4790602816702552E-3</v>
      </c>
      <c r="AX114" s="21">
        <f t="shared" si="60"/>
        <v>54.752778477994781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8.8449999999999989</v>
      </c>
      <c r="BD114" s="12">
        <f>IF('Données projet'!$A$88&gt;35,BD113+BC114-BL113,IF(A114&lt;'Données projet'!$A$88,$BA$205^A114,IF(A114='Données projet'!$A$88,'Données projet'!$B$88,BD113+BC114-BL113)))</f>
        <v>398.02500000000066</v>
      </c>
      <c r="BE114" s="13">
        <f>BD114*VLOOKUP('Données projet'!$B$11,Paramètres!$A$1:$I$89,3,0)*VLOOKUP('Données projet'!$B$11,Paramètres!$A$1:$I$89,5,0)</f>
        <v>378.76059000000066</v>
      </c>
      <c r="BF114" s="13">
        <f t="shared" si="91"/>
        <v>87.457123344920589</v>
      </c>
      <c r="BG114" s="20">
        <f t="shared" si="61"/>
        <v>811.9958507424044</v>
      </c>
      <c r="BH114" s="59">
        <f t="shared" si="62"/>
        <v>1092.1892130370279</v>
      </c>
      <c r="BI114" s="59">
        <f ca="1">AVERAGE(OFFSET($BH$3,0,0,'Données projet'!$E$11+1,1))-AVERAGE(OFFSET($H$3,0,0,'Données projet'!$E$11+1,1))</f>
        <v>711.91538686535682</v>
      </c>
      <c r="BJ114" s="59">
        <f t="shared" si="92"/>
        <v>313.24593837351722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30.301441583566067</v>
      </c>
      <c r="BQ114" s="21">
        <f>EXP(-LN(2)/25)*BQ113+(1-EXP(-LN(2)/25))/(LN(2)/25)*Calculateur!BL114*Calculateur!BN114*VLOOKUP('Données projet'!$B$11,Paramètres!$A$1:$I$89,3,0)*0.475*44/12</f>
        <v>23.408258297849081</v>
      </c>
      <c r="BR114" s="21">
        <f>EXP(-LN(2)/2)*BR113+(1-EXP(-LN(2)/2))/(LN(2)/2)*BL114*BO114*VLOOKUP('Données projet'!$B$11,Paramètres!$A$1:$I$89,3,0)*0.475*44/12</f>
        <v>0.54172582684425352</v>
      </c>
      <c r="BS114" s="22">
        <f t="shared" si="63"/>
        <v>54.251425708259404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8.8449999999999989</v>
      </c>
      <c r="BY114" s="12">
        <f>IF('Données projet'!$A$114&gt;35,BY113+BX114-CG113,IF(A114&lt;'Données projet'!$A$114,$BV$205^A114,IF(A114='Données projet'!$A$114,'Données projet'!$B$114,BY113+BX114-CG113)))</f>
        <v>398.02500000000066</v>
      </c>
      <c r="BZ114" s="13">
        <f>BY114*VLOOKUP('Données projet'!$B$12,Paramètres!$A$1:$I$89,3,0)*VLOOKUP('Données projet'!$B$12,Paramètres!$A$1:$I$89,5,0)</f>
        <v>360.13302000000061</v>
      </c>
      <c r="CA114" s="13">
        <f t="shared" si="93"/>
        <v>83.645526906767415</v>
      </c>
      <c r="CB114" s="20">
        <f t="shared" si="64"/>
        <v>772.91430252928774</v>
      </c>
      <c r="CC114" s="59">
        <f t="shared" si="65"/>
        <v>1053.1076648239114</v>
      </c>
      <c r="CD114" s="59">
        <f ca="1">AVERAGE(OFFSET($CC$3,0,0,'Données projet'!$E$12+1,1))-AVERAGE(OFFSET($H$3,0,0,'Données projet'!$E$12+1,1))</f>
        <v>681.47578137804555</v>
      </c>
      <c r="CE114" s="59">
        <f t="shared" si="94"/>
        <v>300.88511065995885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28.811206751587406</v>
      </c>
      <c r="CL114" s="21">
        <f>EXP(-LN(2)/25)*CL113+(1-EXP(-LN(2)/25))/(LN(2)/25)*Calculateur!CG114*Calculateur!CI114*VLOOKUP('Données projet'!$B$12,Paramètres!$A$1:$I$89,3,0)*0.475*44/12</f>
        <v>22.257032479922085</v>
      </c>
      <c r="CM114" s="21">
        <f>EXP(-LN(2)/2)*CM113+(1-EXP(-LN(2)/2))/(LN(2)/2)*CG114*CJ114*VLOOKUP('Données projet'!$B$12,Paramètres!$A$1:$I$89,3,0)*0.475*44/12</f>
        <v>0.51508357306502783</v>
      </c>
      <c r="CN114" s="22">
        <f t="shared" si="66"/>
        <v>51.583322804574522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-8.5265128291212022E-14</v>
      </c>
      <c r="CU114" s="17">
        <f>CT114*VLOOKUP('Données projet'!$B$13,Paramètres!$A$1:$I$89,3,0)*VLOOKUP('Données projet'!$B$13,Paramètres!$A$1:$I$89,5,0)</f>
        <v>-6.9167072069831198E-14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186.54446846714993</v>
      </c>
      <c r="CZ114" s="59">
        <f t="shared" si="96"/>
        <v>154.43773051601286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</v>
      </c>
      <c r="DG114" s="21">
        <f>EXP(-LN(2)/25)*DG113+(1-EXP(-LN(2)/25))/(LN(2)/25)*Calculateur!DB114*Calculateur!DD114*VLOOKUP('Données projet'!$B$13,Paramètres!$A$1:$I$89,3,0)*0.475*44/12</f>
        <v>9.0384792259170865</v>
      </c>
      <c r="DH114" s="21">
        <f>EXP(-LN(2)/2)*DH113+(1-EXP(-LN(2)/2))/(LN(2)/2)*DB114*DE114*VLOOKUP('Données projet'!$B$13,Paramètres!$A$1:$I$89,3,0)*0.475*44/12</f>
        <v>1.7294469046029232E-2</v>
      </c>
      <c r="DI114" s="22">
        <f t="shared" si="69"/>
        <v>9.0557736949631149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7</v>
      </c>
      <c r="DO114" s="12">
        <f>IF('Données projet'!$A$166&gt;35,DO113+DN114-DW113,IF(A114&lt;'Données projet'!$A$166,$DL$205^A114,IF(A114='Données projet'!$A$166,'Données projet'!$B$166,DO113+DN114-DW113)))</f>
        <v>295.82000000000033</v>
      </c>
      <c r="DP114" s="17">
        <f>DO114*VLOOKUP('Données projet'!$B$14,Paramètres!$A$1:$I$89,3,0)*VLOOKUP('Données projet'!$B$14,Paramètres!$A$1:$I$89,5,0)</f>
        <v>336.87981600000035</v>
      </c>
      <c r="DQ114" s="13">
        <f t="shared" si="97"/>
        <v>78.854951162057745</v>
      </c>
      <c r="DR114" s="20">
        <f t="shared" si="70"/>
        <v>724.07138614058442</v>
      </c>
      <c r="DS114" s="59">
        <f t="shared" si="71"/>
        <v>1004.264748435208</v>
      </c>
      <c r="DT114" s="59">
        <f ca="1">AVERAGE(OFFSET($DS$3,0,0,'Données projet'!$E$14+1,1))-AVERAGE(OFFSET($H$3,0,0,'Données projet'!$E$14+1,1))</f>
        <v>651.35546372812314</v>
      </c>
      <c r="DU114" s="59">
        <f t="shared" si="98"/>
        <v>293.6561676213388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13.617779487587496</v>
      </c>
      <c r="EB114" s="21">
        <f>EXP(-LN(2)/25)*EB113+(1-EXP(-LN(2)/25))/(LN(2)/25)*Calculateur!DW114*Calculateur!DY114*VLOOKUP('Données projet'!$B$14,Paramètres!$A$1:$I$89,3,0)*0.475*44/12</f>
        <v>31.92208132553899</v>
      </c>
      <c r="EC114" s="21">
        <f>EXP(-LN(2)/2)*EC113+(1-EXP(-LN(2)/2))/(LN(2)/2)*DW114*DZ114*VLOOKUP('Données projet'!$B$14,Paramètres!$A$1:$I$89,3,0)*0.475*44/12</f>
        <v>0.33583403628108527</v>
      </c>
      <c r="ED114" s="22">
        <f t="shared" si="72"/>
        <v>45.875694849407573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8.5265128291212022E-14</v>
      </c>
      <c r="EK114" s="17">
        <f>EJ114*VLOOKUP('Données projet'!$B$15,Paramètres!$A$1:$I$89,3,0)*VLOOKUP('Données projet'!$B$15,Paramètres!$A$1:$I$89,5,0)</f>
        <v>8.9119112089974823E-14</v>
      </c>
      <c r="EL114" s="13">
        <f t="shared" si="99"/>
        <v>1.3568952080113142E-12</v>
      </c>
      <c r="EM114" s="20">
        <f t="shared" si="73"/>
        <v>2.5184749408430782E-12</v>
      </c>
      <c r="EN114" s="59">
        <f t="shared" si="74"/>
        <v>280.19336229462607</v>
      </c>
      <c r="EO114" s="59">
        <f ca="1">AVERAGE(OFFSET($EN$3,0,0,'Données projet'!$E$15+1,1))-AVERAGE(OFFSET($H$3,0,0,'Données projet'!$E$15+1,1))</f>
        <v>290.69667785754848</v>
      </c>
      <c r="EP114" s="59">
        <f t="shared" si="100"/>
        <v>256.28124185489082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14.315054861517124</v>
      </c>
      <c r="EW114" s="21">
        <f>EXP(-LN(2)/25)*EW113+(1-EXP(-LN(2)/25))/(LN(2)/25)*Calculateur!ER114*Calculateur!ET114*VLOOKUP('Données projet'!$B$15,Paramètres!$A$1:$I$89,3,0)*0.475*44/12</f>
        <v>33.500359234465954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47.81541409598308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8.8449999999999989</v>
      </c>
      <c r="N115" s="13">
        <f>IF('Données projet'!$A$36&gt;35,N114+M115-V114,IF(A115&lt;'Données projet'!$A$36,$K$205^A115,IF(A115='Données projet'!$A$36,'Données projet'!$B$36,N114+M115-V114)))</f>
        <v>406.87000000000069</v>
      </c>
      <c r="O115" s="13">
        <f>N115*VLOOKUP('Données projet'!$B$9,Paramètres!$A$1:$I$89,3,0)*VLOOKUP('Données projet'!$B$9,Paramètres!$A$1:$I$89,5,0)</f>
        <v>412.56618000000077</v>
      </c>
      <c r="P115" s="13">
        <f t="shared" si="87"/>
        <v>94.319660957344354</v>
      </c>
      <c r="Q115" s="20">
        <f t="shared" si="107"/>
        <v>882.82617300070933</v>
      </c>
      <c r="R115" s="59">
        <f t="shared" si="55"/>
        <v>1163.2474844162803</v>
      </c>
      <c r="S115" s="59">
        <f ca="1">AVERAGE(OFFSET($R$3,0,0,'Données projet'!$E$9+1,1))-AVERAGE(OFFSET($H$3,0,0,'Données projet'!$E$9+1,1))</f>
        <v>752.45542076695506</v>
      </c>
      <c r="T115" s="59">
        <f t="shared" si="88"/>
        <v>329.70629768420724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31.655265110669479</v>
      </c>
      <c r="AA115" s="21">
        <f>EXP(-LN(2)/25)*AA114+(1-EXP(-LN(2)/25))/(LN(2)/25)*Calculateur!V115*Calculateur!X115*VLOOKUP('Données projet'!$B$9,Paramètres!$A$1:$I$89,3,0)*0.475*44/12</f>
        <v>24.261152226901544</v>
      </c>
      <c r="AB115" s="21">
        <f>EXP(-LN(2)/2)*AB114+(1-EXP(-LN(2)/2))/(LN(2)/2)*V115*Y115*VLOOKUP('Données projet'!$B$9,Paramètres!$A$1:$I$89,3,0)*0.475*44/12</f>
        <v>0.40817656345663889</v>
      </c>
      <c r="AC115" s="22">
        <f t="shared" si="57"/>
        <v>56.324593901027662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408.246209980743</v>
      </c>
      <c r="AO115" s="59">
        <f t="shared" si="90"/>
        <v>394.10236303013903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30.286155457908549</v>
      </c>
      <c r="AV115" s="21">
        <f>EXP(-LN(2)/25)*AV114+(1-EXP(-LN(2)/25))/(LN(2)/25)*Calculateur!AQ115*Calculateur!AS115*VLOOKUP('Données projet'!$B$10,Paramètres!$A$1:$I$89,3,0)*0.475*44/12</f>
        <v>23.206936322477262</v>
      </c>
      <c r="AW115" s="21">
        <f>EXP(-LN(2)/2)*AW114+(1-EXP(-LN(2)/2))/(LN(2)/2)*AQ115*AT115*VLOOKUP('Données projet'!$B$10,Paramètres!$A$1:$I$89,3,0)*0.475*44/12</f>
        <v>1.0458535549527225E-3</v>
      </c>
      <c r="AX115" s="21">
        <f t="shared" si="60"/>
        <v>53.494137633940767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8.8449999999999989</v>
      </c>
      <c r="BD115" s="12">
        <f>IF('Données projet'!$A$88&gt;35,BD114+BC115-BL114,IF(A115&lt;'Données projet'!$A$88,$BA$205^A115,IF(A115='Données projet'!$A$88,'Données projet'!$B$88,BD114+BC115-BL114)))</f>
        <v>406.87000000000069</v>
      </c>
      <c r="BE115" s="13">
        <f>BD115*VLOOKUP('Données projet'!$B$11,Paramètres!$A$1:$I$89,3,0)*VLOOKUP('Données projet'!$B$11,Paramètres!$A$1:$I$89,5,0)</f>
        <v>387.17749200000065</v>
      </c>
      <c r="BF115" s="13">
        <f t="shared" si="91"/>
        <v>89.172189701437333</v>
      </c>
      <c r="BG115" s="20">
        <f t="shared" si="61"/>
        <v>829.64236229667119</v>
      </c>
      <c r="BH115" s="59">
        <f t="shared" si="62"/>
        <v>1110.063673712242</v>
      </c>
      <c r="BI115" s="59">
        <f ca="1">AVERAGE(OFFSET($BH$3,0,0,'Données projet'!$E$11+1,1))-AVERAGE(OFFSET($H$3,0,0,'Données projet'!$E$11+1,1))</f>
        <v>711.91538686535682</v>
      </c>
      <c r="BJ115" s="59">
        <f t="shared" si="92"/>
        <v>313.24593837351722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29.707248796166752</v>
      </c>
      <c r="BQ115" s="21">
        <f>EXP(-LN(2)/25)*BQ114+(1-EXP(-LN(2)/25))/(LN(2)/25)*Calculateur!BL115*Calculateur!BN115*VLOOKUP('Données projet'!$B$11,Paramètres!$A$1:$I$89,3,0)*0.475*44/12</f>
        <v>22.768158243707592</v>
      </c>
      <c r="BR115" s="21">
        <f>EXP(-LN(2)/2)*BR114+(1-EXP(-LN(2)/2))/(LN(2)/2)*BL115*BO115*VLOOKUP('Données projet'!$B$11,Paramètres!$A$1:$I$89,3,0)*0.475*44/12</f>
        <v>0.38305800570546111</v>
      </c>
      <c r="BS115" s="22">
        <f t="shared" si="63"/>
        <v>52.858465045579806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8.8449999999999989</v>
      </c>
      <c r="BY115" s="12">
        <f>IF('Données projet'!$A$114&gt;35,BY114+BX115-CG114,IF(A115&lt;'Données projet'!$A$114,$BV$205^A115,IF(A115='Données projet'!$A$114,'Données projet'!$B$114,BY114+BX115-CG114)))</f>
        <v>406.87000000000069</v>
      </c>
      <c r="BZ115" s="13">
        <f>BY115*VLOOKUP('Données projet'!$B$12,Paramètres!$A$1:$I$89,3,0)*VLOOKUP('Données projet'!$B$12,Paramètres!$A$1:$I$89,5,0)</f>
        <v>368.1359760000006</v>
      </c>
      <c r="CA115" s="13">
        <f t="shared" si="93"/>
        <v>85.285846455183602</v>
      </c>
      <c r="CB115" s="20">
        <f t="shared" si="64"/>
        <v>789.70967410944593</v>
      </c>
      <c r="CC115" s="59">
        <f t="shared" si="65"/>
        <v>1070.1309855250167</v>
      </c>
      <c r="CD115" s="59">
        <f ca="1">AVERAGE(OFFSET($CC$3,0,0,'Données projet'!$E$12+1,1))-AVERAGE(OFFSET($H$3,0,0,'Données projet'!$E$12+1,1))</f>
        <v>681.47578137804555</v>
      </c>
      <c r="CE115" s="59">
        <f t="shared" si="94"/>
        <v>300.88511065995885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28.246236560289695</v>
      </c>
      <c r="CL115" s="21">
        <f>EXP(-LN(2)/25)*CL114+(1-EXP(-LN(2)/25))/(LN(2)/25)*Calculateur!CG115*Calculateur!CI115*VLOOKUP('Données projet'!$B$12,Paramètres!$A$1:$I$89,3,0)*0.475*44/12</f>
        <v>21.648412756312148</v>
      </c>
      <c r="CM115" s="21">
        <f>EXP(-LN(2)/2)*CM114+(1-EXP(-LN(2)/2))/(LN(2)/2)*CG115*CJ115*VLOOKUP('Données projet'!$B$12,Paramètres!$A$1:$I$89,3,0)*0.475*44/12</f>
        <v>0.3642190873920777</v>
      </c>
      <c r="CN115" s="22">
        <f t="shared" si="66"/>
        <v>50.258868403993922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-8.5265128291212022E-14</v>
      </c>
      <c r="CU115" s="17">
        <f>CT115*VLOOKUP('Données projet'!$B$13,Paramètres!$A$1:$I$89,3,0)*VLOOKUP('Données projet'!$B$13,Paramètres!$A$1:$I$89,5,0)</f>
        <v>-6.9167072069831198E-14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186.54446846714993</v>
      </c>
      <c r="CZ115" s="59">
        <f t="shared" si="96"/>
        <v>154.43773051601286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</v>
      </c>
      <c r="DG115" s="21">
        <f>EXP(-LN(2)/25)*DG114+(1-EXP(-LN(2)/25))/(LN(2)/25)*Calculateur!DB115*Calculateur!DD115*VLOOKUP('Données projet'!$B$13,Paramètres!$A$1:$I$89,3,0)*0.475*44/12</f>
        <v>8.7913215361714183</v>
      </c>
      <c r="DH115" s="21">
        <f>EXP(-LN(2)/2)*DH114+(1-EXP(-LN(2)/2))/(LN(2)/2)*DB115*DE115*VLOOKUP('Données projet'!$B$13,Paramètres!$A$1:$I$89,3,0)*0.475*44/12</f>
        <v>1.2229036339468112E-2</v>
      </c>
      <c r="DI115" s="22">
        <f t="shared" si="69"/>
        <v>8.8035505725108862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7</v>
      </c>
      <c r="DO115" s="12">
        <f>IF('Données projet'!$A$166&gt;35,DO114+DN115-DW114,IF(A115&lt;'Données projet'!$A$166,$DL$205^A115,IF(A115='Données projet'!$A$166,'Données projet'!$B$166,DO114+DN115-DW114)))</f>
        <v>302.82000000000033</v>
      </c>
      <c r="DP115" s="17">
        <f>DO115*VLOOKUP('Données projet'!$B$14,Paramètres!$A$1:$I$89,3,0)*VLOOKUP('Données projet'!$B$14,Paramètres!$A$1:$I$89,5,0)</f>
        <v>344.85141600000037</v>
      </c>
      <c r="DQ115" s="13">
        <f t="shared" si="97"/>
        <v>80.501451684306645</v>
      </c>
      <c r="DR115" s="20">
        <f t="shared" si="70"/>
        <v>740.82291121683465</v>
      </c>
      <c r="DS115" s="59">
        <f t="shared" si="71"/>
        <v>1021.2442226324056</v>
      </c>
      <c r="DT115" s="59">
        <f ca="1">AVERAGE(OFFSET($DS$3,0,0,'Données projet'!$E$14+1,1))-AVERAGE(OFFSET($H$3,0,0,'Données projet'!$E$14+1,1))</f>
        <v>651.35546372812314</v>
      </c>
      <c r="DU115" s="59">
        <f t="shared" si="98"/>
        <v>293.6561676213388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13.35074313786124</v>
      </c>
      <c r="EB115" s="21">
        <f>EXP(-LN(2)/25)*EB114+(1-EXP(-LN(2)/25))/(LN(2)/25)*Calculateur!DW115*Calculateur!DY115*VLOOKUP('Données projet'!$B$14,Paramètres!$A$1:$I$89,3,0)*0.475*44/12</f>
        <v>31.049170332982829</v>
      </c>
      <c r="EC115" s="21">
        <f>EXP(-LN(2)/2)*EC114+(1-EXP(-LN(2)/2))/(LN(2)/2)*DW115*DZ115*VLOOKUP('Données projet'!$B$14,Paramètres!$A$1:$I$89,3,0)*0.475*44/12</f>
        <v>0.23747052440760444</v>
      </c>
      <c r="ED115" s="22">
        <f t="shared" si="72"/>
        <v>44.637383995251675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8.5265128291212022E-14</v>
      </c>
      <c r="EK115" s="17">
        <f>EJ115*VLOOKUP('Données projet'!$B$15,Paramètres!$A$1:$I$89,3,0)*VLOOKUP('Données projet'!$B$15,Paramètres!$A$1:$I$89,5,0)</f>
        <v>8.9119112089974823E-14</v>
      </c>
      <c r="EL115" s="13">
        <f t="shared" si="99"/>
        <v>1.3568952080113142E-12</v>
      </c>
      <c r="EM115" s="20">
        <f t="shared" si="73"/>
        <v>2.5184749408430782E-12</v>
      </c>
      <c r="EN115" s="59">
        <f t="shared" si="74"/>
        <v>280.42131141557337</v>
      </c>
      <c r="EO115" s="59">
        <f ca="1">AVERAGE(OFFSET($EN$3,0,0,'Données projet'!$E$15+1,1))-AVERAGE(OFFSET($H$3,0,0,'Données projet'!$E$15+1,1))</f>
        <v>290.69667785754848</v>
      </c>
      <c r="EP115" s="59">
        <f t="shared" si="100"/>
        <v>256.28124185489082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14.034345367004093</v>
      </c>
      <c r="EW115" s="21">
        <f>EXP(-LN(2)/25)*EW114+(1-EXP(-LN(2)/25))/(LN(2)/25)*Calculateur!ER115*Calculateur!ET115*VLOOKUP('Données projet'!$B$15,Paramètres!$A$1:$I$89,3,0)*0.475*44/12</f>
        <v>32.584290149492155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46.618635516496248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8.8449999999999989</v>
      </c>
      <c r="N116" s="13">
        <f>IF('Données projet'!$A$36&gt;35,N115+M116-V115,IF(A116&lt;'Données projet'!$A$36,$K$205^A116,IF(A116='Données projet'!$A$36,'Données projet'!$B$36,N115+M116-V115)))</f>
        <v>415.71500000000071</v>
      </c>
      <c r="O116" s="13">
        <f>N116*VLOOKUP('Données projet'!$B$9,Paramètres!$A$1:$I$89,3,0)*VLOOKUP('Données projet'!$B$9,Paramètres!$A$1:$I$89,5,0)</f>
        <v>421.5350100000008</v>
      </c>
      <c r="P116" s="13">
        <f t="shared" si="87"/>
        <v>96.129144685048502</v>
      </c>
      <c r="Q116" s="20">
        <f t="shared" si="107"/>
        <v>901.59840274312739</v>
      </c>
      <c r="R116" s="59">
        <f t="shared" si="55"/>
        <v>1182.2437088720151</v>
      </c>
      <c r="S116" s="59">
        <f ca="1">AVERAGE(OFFSET($R$3,0,0,'Données projet'!$E$9+1,1))-AVERAGE(OFFSET($H$3,0,0,'Données projet'!$E$9+1,1))</f>
        <v>752.45542076695506</v>
      </c>
      <c r="T116" s="59">
        <f t="shared" si="88"/>
        <v>329.70629768420724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31.034524669654481</v>
      </c>
      <c r="AA116" s="21">
        <f>EXP(-LN(2)/25)*AA115+(1-EXP(-LN(2)/25))/(LN(2)/25)*Calculateur!V116*Calculateur!X116*VLOOKUP('Données projet'!$B$9,Paramètres!$A$1:$I$89,3,0)*0.475*44/12</f>
        <v>23.597729743418377</v>
      </c>
      <c r="AB116" s="21">
        <f>EXP(-LN(2)/2)*AB115+(1-EXP(-LN(2)/2))/(LN(2)/2)*V116*Y116*VLOOKUP('Données projet'!$B$9,Paramètres!$A$1:$I$89,3,0)*0.475*44/12</f>
        <v>0.28862441594161048</v>
      </c>
      <c r="AC116" s="22">
        <f t="shared" si="57"/>
        <v>54.92087882901447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408.246209980743</v>
      </c>
      <c r="AO116" s="59">
        <f t="shared" si="90"/>
        <v>394.10236303013903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29.69226242210976</v>
      </c>
      <c r="AV116" s="21">
        <f>EXP(-LN(2)/25)*AV115+(1-EXP(-LN(2)/25))/(LN(2)/25)*Calculateur!AQ116*Calculateur!AS116*VLOOKUP('Données projet'!$B$10,Paramètres!$A$1:$I$89,3,0)*0.475*44/12</f>
        <v>22.572341428339382</v>
      </c>
      <c r="AW116" s="21">
        <f>EXP(-LN(2)/2)*AW115+(1-EXP(-LN(2)/2))/(LN(2)/2)*AQ116*AT116*VLOOKUP('Données projet'!$B$10,Paramètres!$A$1:$I$89,3,0)*0.475*44/12</f>
        <v>7.3953014083512759E-4</v>
      </c>
      <c r="AX116" s="21">
        <f t="shared" si="60"/>
        <v>52.265343380589975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8.8449999999999989</v>
      </c>
      <c r="BD116" s="12">
        <f>IF('Données projet'!$A$88&gt;35,BD115+BC116-BL115,IF(A116&lt;'Données projet'!$A$88,$BA$205^A116,IF(A116='Données projet'!$A$88,'Données projet'!$B$88,BD115+BC116-BL115)))</f>
        <v>415.71500000000071</v>
      </c>
      <c r="BE116" s="13">
        <f>BD116*VLOOKUP('Données projet'!$B$11,Paramètres!$A$1:$I$89,3,0)*VLOOKUP('Données projet'!$B$11,Paramètres!$A$1:$I$89,5,0)</f>
        <v>395.5943940000007</v>
      </c>
      <c r="BF116" s="13">
        <f t="shared" si="91"/>
        <v>90.882921319752683</v>
      </c>
      <c r="BG116" s="20">
        <f t="shared" si="61"/>
        <v>847.28132418190387</v>
      </c>
      <c r="BH116" s="59">
        <f t="shared" si="62"/>
        <v>1127.9266303107916</v>
      </c>
      <c r="BI116" s="59">
        <f ca="1">AVERAGE(OFFSET($BH$3,0,0,'Données projet'!$E$11+1,1))-AVERAGE(OFFSET($H$3,0,0,'Données projet'!$E$11+1,1))</f>
        <v>711.91538686535682</v>
      </c>
      <c r="BJ116" s="59">
        <f t="shared" si="92"/>
        <v>313.24593837351722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29.124707766906521</v>
      </c>
      <c r="BQ116" s="21">
        <f>EXP(-LN(2)/25)*BQ115+(1-EXP(-LN(2)/25))/(LN(2)/25)*Calculateur!BL116*Calculateur!BN116*VLOOKUP('Données projet'!$B$11,Paramètres!$A$1:$I$89,3,0)*0.475*44/12</f>
        <v>22.145561759208004</v>
      </c>
      <c r="BR116" s="21">
        <f>EXP(-LN(2)/2)*BR115+(1-EXP(-LN(2)/2))/(LN(2)/2)*BL116*BO116*VLOOKUP('Données projet'!$B$11,Paramètres!$A$1:$I$89,3,0)*0.475*44/12</f>
        <v>0.27086291342212676</v>
      </c>
      <c r="BS116" s="22">
        <f t="shared" si="63"/>
        <v>51.541132439536653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8.8449999999999989</v>
      </c>
      <c r="BY116" s="12">
        <f>IF('Données projet'!$A$114&gt;35,BY115+BX116-CG115,IF(A116&lt;'Données projet'!$A$114,$BV$205^A116,IF(A116='Données projet'!$A$114,'Données projet'!$B$114,BY115+BX116-CG115)))</f>
        <v>415.71500000000071</v>
      </c>
      <c r="BZ116" s="13">
        <f>BY116*VLOOKUP('Données projet'!$B$12,Paramètres!$A$1:$I$89,3,0)*VLOOKUP('Données projet'!$B$12,Paramètres!$A$1:$I$89,5,0)</f>
        <v>376.13893200000064</v>
      </c>
      <c r="CA116" s="13">
        <f t="shared" si="93"/>
        <v>86.922020183945492</v>
      </c>
      <c r="CB116" s="20">
        <f t="shared" si="64"/>
        <v>806.49782505370615</v>
      </c>
      <c r="CC116" s="59">
        <f t="shared" si="65"/>
        <v>1087.1431311825938</v>
      </c>
      <c r="CD116" s="59">
        <f ca="1">AVERAGE(OFFSET($CC$3,0,0,'Données projet'!$E$12+1,1))-AVERAGE(OFFSET($H$3,0,0,'Données projet'!$E$12+1,1))</f>
        <v>681.47578137804555</v>
      </c>
      <c r="CE116" s="59">
        <f t="shared" si="94"/>
        <v>300.88511065995885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27.692345089845542</v>
      </c>
      <c r="CL116" s="21">
        <f>EXP(-LN(2)/25)*CL115+(1-EXP(-LN(2)/25))/(LN(2)/25)*Calculateur!CG116*Calculateur!CI116*VLOOKUP('Données projet'!$B$12,Paramètres!$A$1:$I$89,3,0)*0.475*44/12</f>
        <v>21.056435771050243</v>
      </c>
      <c r="CM116" s="21">
        <f>EXP(-LN(2)/2)*CM115+(1-EXP(-LN(2)/2))/(LN(2)/2)*CG116*CJ116*VLOOKUP('Données projet'!$B$12,Paramètres!$A$1:$I$89,3,0)*0.475*44/12</f>
        <v>0.25754178653251392</v>
      </c>
      <c r="CN116" s="22">
        <f t="shared" si="66"/>
        <v>49.006322647428298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-8.5265128291212022E-14</v>
      </c>
      <c r="CU116" s="17">
        <f>CT116*VLOOKUP('Données projet'!$B$13,Paramètres!$A$1:$I$89,3,0)*VLOOKUP('Données projet'!$B$13,Paramètres!$A$1:$I$89,5,0)</f>
        <v>-6.9167072069831198E-14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186.54446846714993</v>
      </c>
      <c r="CZ116" s="59">
        <f t="shared" si="96"/>
        <v>154.43773051601286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</v>
      </c>
      <c r="DG116" s="21">
        <f>EXP(-LN(2)/25)*DG115+(1-EXP(-LN(2)/25))/(LN(2)/25)*Calculateur!DB116*Calculateur!DD116*VLOOKUP('Données projet'!$B$13,Paramètres!$A$1:$I$89,3,0)*0.475*44/12</f>
        <v>8.5509223864493045</v>
      </c>
      <c r="DH116" s="21">
        <f>EXP(-LN(2)/2)*DH115+(1-EXP(-LN(2)/2))/(LN(2)/2)*DB116*DE116*VLOOKUP('Données projet'!$B$13,Paramètres!$A$1:$I$89,3,0)*0.475*44/12</f>
        <v>8.6472345230146162E-3</v>
      </c>
      <c r="DI116" s="22">
        <f t="shared" si="69"/>
        <v>8.5595696209723187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>
        <f>VLOOKUP(A116,'Données projet'!$A$165:$I$185,2,0)</f>
        <v>309.82</v>
      </c>
      <c r="DM116" s="12">
        <f>VLOOKUP(A116,'Données projet'!$A$165:$I$185,9,0)</f>
        <v>7</v>
      </c>
      <c r="DN116" s="12">
        <f t="array" ref="DN116">INDEX(DM:DM,MIN(IF(ISNUMBER(DM116:DM312),ROW(DM116:DM312),"")))</f>
        <v>7</v>
      </c>
      <c r="DO116" s="12">
        <f>IF('Données projet'!$A$166&gt;35,DO115+DN116-DW115,IF(A116&lt;'Données projet'!$A$166,$DL$205^A116,IF(A116='Données projet'!$A$166,'Données projet'!$B$166,DO115+DN116-DW115)))</f>
        <v>309.82000000000033</v>
      </c>
      <c r="DP116" s="17">
        <f>DO116*VLOOKUP('Données projet'!$B$14,Paramètres!$A$1:$I$89,3,0)*VLOOKUP('Données projet'!$B$14,Paramètres!$A$1:$I$89,5,0)</f>
        <v>352.82301600000034</v>
      </c>
      <c r="DQ116" s="13">
        <f t="shared" si="97"/>
        <v>82.143527493923386</v>
      </c>
      <c r="DR116" s="20">
        <f t="shared" si="70"/>
        <v>757.56672991858375</v>
      </c>
      <c r="DS116" s="59">
        <f t="shared" si="71"/>
        <v>1038.2120360474714</v>
      </c>
      <c r="DT116" s="59">
        <f ca="1">AVERAGE(OFFSET($DS$3,0,0,'Données projet'!$E$14+1,1))-AVERAGE(OFFSET($H$3,0,0,'Données projet'!$E$14+1,1))</f>
        <v>651.35546372812314</v>
      </c>
      <c r="DU116" s="59">
        <f t="shared" si="98"/>
        <v>293.6561676213388</v>
      </c>
      <c r="DV116" s="15">
        <f>IF(ISNA(VLOOKUP(A116,'Données projet'!$A$165:$I$185,3,0)),0,VLOOKUP(A116,'Données projet'!$A$165:$I$185,3,0))</f>
        <v>8</v>
      </c>
      <c r="DW116" s="15">
        <f>IF(ISNA(VLOOKUP(A116,'Données projet'!$A$165:$I$185,4,0)),0,VLOOKUP(A116,'Données projet'!$A$165:$I$185,4,0))</f>
        <v>47.019999999999982</v>
      </c>
      <c r="DX116" s="16">
        <f>IF(ISNA(VLOOKUP(A116,'Données projet'!$A$165:$I$185,5,0)),0%,VLOOKUP(A116,'Données projet'!$A$165:$I$185,5,0)*VLOOKUP('Données projet'!$B$14,Paramètres!$A$1:$I$89,7,0))</f>
        <v>0.15049999999999999</v>
      </c>
      <c r="DY116" s="16">
        <f>IF(ISNA(VLOOKUP(A116,'Données projet'!$A$165:$I$185,6,0)),0%,VLOOKUP(A116,'Données projet'!$A$165:$I$185,6,0)*VLOOKUP('Données projet'!$B$14,Paramètres!$A$1:$I$89,7,0))</f>
        <v>8.6000000000000007E-2</v>
      </c>
      <c r="DZ116" s="16">
        <f>IF(ISNA(VLOOKUP(A116,'Données projet'!$A$165:$I$185,7,0)),0%,VLOOKUP(A116,'Données projet'!$A$165:$I$185,7,0))</f>
        <v>0.1</v>
      </c>
      <c r="EA116" s="21">
        <f>EXP(-LN(2)/35)*EA115+(1-EXP(-LN(2)/35))/(LN(2)/35)*DW116*DX116*VLOOKUP('Données projet'!$B$14,Paramètres!$A$1:$I$89,3,0)*0.475*44/12</f>
        <v>21.997630064276798</v>
      </c>
      <c r="EB116" s="21">
        <f>EXP(-LN(2)/25)*EB115+(1-EXP(-LN(2)/25))/(LN(2)/25)*Calculateur!DW116*Calculateur!DY116*VLOOKUP('Données projet'!$B$14,Paramètres!$A$1:$I$89,3,0)*0.475*44/12</f>
        <v>35.270763401177426</v>
      </c>
      <c r="EC116" s="21">
        <f>EXP(-LN(2)/2)*EC115+(1-EXP(-LN(2)/2))/(LN(2)/2)*DW116*DZ116*VLOOKUP('Données projet'!$B$14,Paramètres!$A$1:$I$89,3,0)*0.475*44/12</f>
        <v>5.2201617116985419</v>
      </c>
      <c r="ED116" s="22">
        <f t="shared" si="72"/>
        <v>62.488555177152769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8.5265128291212022E-14</v>
      </c>
      <c r="EK116" s="17">
        <f>EJ116*VLOOKUP('Données projet'!$B$15,Paramètres!$A$1:$I$89,3,0)*VLOOKUP('Données projet'!$B$15,Paramètres!$A$1:$I$89,5,0)</f>
        <v>8.9119112089974823E-14</v>
      </c>
      <c r="EL116" s="13">
        <f t="shared" si="99"/>
        <v>1.3568952080113142E-12</v>
      </c>
      <c r="EM116" s="20">
        <f t="shared" si="73"/>
        <v>2.5184749408430782E-12</v>
      </c>
      <c r="EN116" s="59">
        <f t="shared" si="74"/>
        <v>280.64530612889013</v>
      </c>
      <c r="EO116" s="59">
        <f ca="1">AVERAGE(OFFSET($EN$3,0,0,'Données projet'!$E$15+1,1))-AVERAGE(OFFSET($H$3,0,0,'Données projet'!$E$15+1,1))</f>
        <v>290.69667785754848</v>
      </c>
      <c r="EP116" s="59">
        <f t="shared" si="100"/>
        <v>256.28124185489082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13.759140414462577</v>
      </c>
      <c r="EW116" s="21">
        <f>EXP(-LN(2)/25)*EW115+(1-EXP(-LN(2)/25))/(LN(2)/25)*Calculateur!ER116*Calculateur!ET116*VLOOKUP('Données projet'!$B$15,Paramètres!$A$1:$I$89,3,0)*0.475*44/12</f>
        <v>31.693271021820944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45.452411436283519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>
        <f>VLOOKUP(A117,'Données projet'!$A$35:$I$55,2,0)</f>
        <v>424.56</v>
      </c>
      <c r="L117" s="12">
        <f>VLOOKUP(A117,'Données projet'!$A$35:$I$55,9,0)</f>
        <v>8.8449999999999989</v>
      </c>
      <c r="M117" s="12">
        <f t="array" ref="M117">INDEX(L:L,MIN(IF(ISNUMBER(L117:L313),ROW(L117:L313),"")))</f>
        <v>8.8449999999999989</v>
      </c>
      <c r="N117" s="13">
        <f>IF('Données projet'!$A$36&gt;35,N116+M117-V116,IF(A117&lt;'Données projet'!$A$36,$K$205^A117,IF(A117='Données projet'!$A$36,'Données projet'!$B$36,N116+M117-V116)))</f>
        <v>424.56000000000074</v>
      </c>
      <c r="O117" s="13">
        <f>N117*VLOOKUP('Données projet'!$B$9,Paramètres!$A$1:$I$89,3,0)*VLOOKUP('Données projet'!$B$9,Paramètres!$A$1:$I$89,5,0)</f>
        <v>430.50384000000082</v>
      </c>
      <c r="P117" s="13">
        <f t="shared" si="87"/>
        <v>97.934152240758081</v>
      </c>
      <c r="Q117" s="20">
        <f t="shared" si="107"/>
        <v>920.3628364859884</v>
      </c>
      <c r="R117" s="59">
        <f t="shared" si="55"/>
        <v>1201.2282515206939</v>
      </c>
      <c r="S117" s="59">
        <f ca="1">AVERAGE(OFFSET($R$3,0,0,'Données projet'!$E$9+1,1))-AVERAGE(OFFSET($H$3,0,0,'Données projet'!$E$9+1,1))</f>
        <v>752.45542076695506</v>
      </c>
      <c r="T117" s="59">
        <f t="shared" si="88"/>
        <v>329.70629768420724</v>
      </c>
      <c r="U117" s="15">
        <f>IF(ISNA(VLOOKUP(A117,'Données projet'!$A$35:$I$55,3,0)),0,VLOOKUP(A117,'Données projet'!$A$35:$I$55,3,0))</f>
        <v>9</v>
      </c>
      <c r="V117" s="15">
        <f>IF(ISNA(VLOOKUP(A117,'Données projet'!$A$35:$I$55,4,0)),0,VLOOKUP(A117,'Données projet'!$A$35:$I$55,4,0))</f>
        <v>61.860000000000014</v>
      </c>
      <c r="W117" s="16">
        <f>IF(ISNA(VLOOKUP(A117,'Données projet'!$A$35:$I$55,5,0)),0%,VLOOKUP(A117,'Données projet'!$A$35:$I$55,5,0)*VLOOKUP('Données projet'!$B$9,Paramètres!$A$1:$I$89,7,0))</f>
        <v>0.15049999999999999</v>
      </c>
      <c r="X117" s="16">
        <f>IF(ISNA(VLOOKUP(A117,'Données projet'!$A$35:$I$55,6,0)),0%,VLOOKUP(A117,'Données projet'!$A$35:$I$55,6,0)*VLOOKUP('Données projet'!$B$9,Paramètres!$A$1:$I$89,7,0))</f>
        <v>8.6000000000000007E-2</v>
      </c>
      <c r="Y117" s="16">
        <f>IF(ISNA(VLOOKUP(A117,'Données projet'!$A$35:$I$55,7,0)),0%,VLOOKUP(A117,'Données projet'!$A$35:$I$55,7,0))</f>
        <v>0.1</v>
      </c>
      <c r="Z117" s="21">
        <f>EXP(-LN(2)/35)*Z116+(1-EXP(-LN(2)/35))/(LN(2)/35)*V117*W117*VLOOKUP('Données projet'!$B$9,Paramètres!$A$1:$I$89,3,0)*0.475*44/12</f>
        <v>40.861894346506055</v>
      </c>
      <c r="AA117" s="21">
        <f>EXP(-LN(2)/25)*AA116+(1-EXP(-LN(2)/25))/(LN(2)/25)*Calculateur!V117*Calculateur!X117*VLOOKUP('Données projet'!$B$9,Paramètres!$A$1:$I$89,3,0)*0.475*44/12</f>
        <v>28.892361447206902</v>
      </c>
      <c r="AB117" s="21">
        <f>EXP(-LN(2)/2)*AB116+(1-EXP(-LN(2)/2))/(LN(2)/2)*V117*Y117*VLOOKUP('Données projet'!$B$9,Paramètres!$A$1:$I$89,3,0)*0.475*44/12</f>
        <v>6.1224589803897382</v>
      </c>
      <c r="AC117" s="22">
        <f t="shared" si="57"/>
        <v>75.876714774102695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408.246209980743</v>
      </c>
      <c r="AO117" s="59">
        <f t="shared" si="90"/>
        <v>394.10236303013903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29.110015266504004</v>
      </c>
      <c r="AV117" s="21">
        <f>EXP(-LN(2)/25)*AV116+(1-EXP(-LN(2)/25))/(LN(2)/25)*Calculateur!AQ117*Calculateur!AS117*VLOOKUP('Données projet'!$B$10,Paramètres!$A$1:$I$89,3,0)*0.475*44/12</f>
        <v>21.955099564953596</v>
      </c>
      <c r="AW117" s="21">
        <f>EXP(-LN(2)/2)*AW116+(1-EXP(-LN(2)/2))/(LN(2)/2)*AQ117*AT117*VLOOKUP('Données projet'!$B$10,Paramètres!$A$1:$I$89,3,0)*0.475*44/12</f>
        <v>5.2292677747636123E-4</v>
      </c>
      <c r="AX117" s="21">
        <f t="shared" si="60"/>
        <v>51.065637758235077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>
        <f>VLOOKUP(A117,'Données projet'!$A$87:$I$107,2,0)</f>
        <v>424.56</v>
      </c>
      <c r="BB117" s="12">
        <f>VLOOKUP(A117,'Données projet'!$A$87:$I$107,9,0)</f>
        <v>8.8449999999999989</v>
      </c>
      <c r="BC117" s="12">
        <f t="array" ref="BC117">INDEX(BB:BB,MIN(IF(ISNUMBER(BB117:BB313),ROW(BB117:BB313),"")))</f>
        <v>8.8449999999999989</v>
      </c>
      <c r="BD117" s="12">
        <f>IF('Données projet'!$A$88&gt;35,BD116+BC117-BL116,IF(A117&lt;'Données projet'!$A$88,$BA$205^A117,IF(A117='Données projet'!$A$88,'Données projet'!$B$88,BD116+BC117-BL116)))</f>
        <v>424.56000000000074</v>
      </c>
      <c r="BE117" s="13">
        <f>BD117*VLOOKUP('Données projet'!$B$11,Paramètres!$A$1:$I$89,3,0)*VLOOKUP('Données projet'!$B$11,Paramètres!$A$1:$I$89,5,0)</f>
        <v>404.01129600000075</v>
      </c>
      <c r="BF117" s="13">
        <f t="shared" si="91"/>
        <v>92.589421052009357</v>
      </c>
      <c r="BG117" s="20">
        <f t="shared" si="61"/>
        <v>864.91291553225085</v>
      </c>
      <c r="BH117" s="59">
        <f t="shared" si="62"/>
        <v>1145.7783305669564</v>
      </c>
      <c r="BI117" s="59">
        <f ca="1">AVERAGE(OFFSET($BH$3,0,0,'Données projet'!$E$11+1,1))-AVERAGE(OFFSET($H$3,0,0,'Données projet'!$E$11+1,1))</f>
        <v>711.91538686535682</v>
      </c>
      <c r="BJ117" s="59">
        <f t="shared" si="92"/>
        <v>313.24593837351722</v>
      </c>
      <c r="BK117" s="15">
        <f>IF(ISNA(VLOOKUP(A117,'Données projet'!$A$87:$I$107,3,0)),0,VLOOKUP(A117,'Données projet'!$A$87:$I$107,3,0))</f>
        <v>9</v>
      </c>
      <c r="BL117" s="15">
        <f>IF(ISNA(VLOOKUP(A117,'Données projet'!$A$87:$I$107,4,0)),0,VLOOKUP(A117,'Données projet'!$A$87:$I$107,4,0))</f>
        <v>61.860000000000014</v>
      </c>
      <c r="BM117" s="16">
        <f>IF(ISNA(VLOOKUP(A117,'Données projet'!$A$87:$I$107,5,0)),0%,VLOOKUP(A117,'Données projet'!$A$87:$I$107,5,0)*VLOOKUP('Données projet'!$B$11,Paramètres!$A$1:$I$89,7,0))</f>
        <v>0.15049999999999999</v>
      </c>
      <c r="BN117" s="16">
        <f>IF(ISNA(VLOOKUP(A117,'Données projet'!$A$87:$I$107,6,0)),0%,VLOOKUP(A117,'Données projet'!$A$87:$I$107,6,0)*VLOOKUP('Données projet'!$B$11,Paramètres!$A$1:$I$89,7,0))</f>
        <v>8.6000000000000007E-2</v>
      </c>
      <c r="BO117" s="16">
        <f>IF(ISNA(VLOOKUP(A117,'Données projet'!$A$87:$I$107,7,0)),0%,VLOOKUP(A117,'Données projet'!$A$87:$I$107,7,0))</f>
        <v>0.1</v>
      </c>
      <c r="BP117" s="21">
        <f>EXP(-LN(2)/35)*BP116+(1-EXP(-LN(2)/35))/(LN(2)/35)*BL117*BM117*VLOOKUP('Données projet'!$B$11,Paramètres!$A$1:$I$89,3,0)*0.475*44/12</f>
        <v>38.347316232874924</v>
      </c>
      <c r="BQ117" s="21">
        <f>EXP(-LN(2)/25)*BQ116+(1-EXP(-LN(2)/25))/(LN(2)/25)*Calculateur!BL117*Calculateur!BN117*VLOOKUP('Données projet'!$B$11,Paramètres!$A$1:$I$89,3,0)*0.475*44/12</f>
        <v>27.114369973532618</v>
      </c>
      <c r="BR117" s="21">
        <f>EXP(-LN(2)/2)*BR116+(1-EXP(-LN(2)/2))/(LN(2)/2)*BL117*BO117*VLOOKUP('Données projet'!$B$11,Paramètres!$A$1:$I$89,3,0)*0.475*44/12</f>
        <v>5.745692273904214</v>
      </c>
      <c r="BS117" s="22">
        <f t="shared" si="63"/>
        <v>71.207378480311746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>
        <f>VLOOKUP(A117,'Données projet'!$A$113:$I$133,2,0)</f>
        <v>424.56</v>
      </c>
      <c r="BW117" s="12">
        <f>VLOOKUP(A117,'Données projet'!$A$113:$I$133,9,0)</f>
        <v>8.8449999999999989</v>
      </c>
      <c r="BX117" s="12">
        <f t="array" ref="BX117">INDEX(BW:BW,MIN(IF(ISNUMBER(BW117:BW313),ROW(BW117:BW313),"")))</f>
        <v>8.8449999999999989</v>
      </c>
      <c r="BY117" s="12">
        <f>IF('Données projet'!$A$114&gt;35,BY116+BX117-CG116,IF(A117&lt;'Données projet'!$A$114,$BV$205^A117,IF(A117='Données projet'!$A$114,'Données projet'!$B$114,BY116+BX117-CG116)))</f>
        <v>424.56000000000074</v>
      </c>
      <c r="BZ117" s="13">
        <f>BY117*VLOOKUP('Données projet'!$B$12,Paramètres!$A$1:$I$89,3,0)*VLOOKUP('Données projet'!$B$12,Paramètres!$A$1:$I$89,5,0)</f>
        <v>384.14188800000068</v>
      </c>
      <c r="CA117" s="13">
        <f t="shared" si="93"/>
        <v>88.554146462646884</v>
      </c>
      <c r="CB117" s="20">
        <f t="shared" si="64"/>
        <v>823.27892668911102</v>
      </c>
      <c r="CC117" s="59">
        <f t="shared" si="65"/>
        <v>1104.1443417238165</v>
      </c>
      <c r="CD117" s="59">
        <f ca="1">AVERAGE(OFFSET($CC$3,0,0,'Données projet'!$E$12+1,1))-AVERAGE(OFFSET($H$3,0,0,'Données projet'!$E$12+1,1))</f>
        <v>681.47578137804555</v>
      </c>
      <c r="CE117" s="59">
        <f t="shared" si="94"/>
        <v>300.88511065995885</v>
      </c>
      <c r="CF117" s="15">
        <f>IF(ISNA(VLOOKUP(A117,'Données projet'!$A$113:$I$133,3,0)),0,VLOOKUP(A117,'Données projet'!$A$113:$I$133,3,0))</f>
        <v>9</v>
      </c>
      <c r="CG117" s="15">
        <f>IF(ISNA(VLOOKUP(A117,'Données projet'!$A$113:$I$133,4,0)),0,VLOOKUP(A117,'Données projet'!$A$113:$I$133,4,0))</f>
        <v>61.860000000000014</v>
      </c>
      <c r="CH117" s="16">
        <f>IF(ISNA(VLOOKUP(A117,'Données projet'!$A$113:$I$133,5,0)),0%,VLOOKUP(A117,'Données projet'!$A$113:$I$133,5,0)*VLOOKUP('Données projet'!$B$12,Paramètres!$A$1:$I$89,7,0))</f>
        <v>0.15049999999999999</v>
      </c>
      <c r="CI117" s="16">
        <f>IF(ISNA(VLOOKUP(A117,'Données projet'!$A$113:$I$133,6,0)),0%,VLOOKUP(A117,'Données projet'!$A$113:$I$133,6,0)*VLOOKUP('Données projet'!$B$12,Paramètres!$A$1:$I$89,7,0))</f>
        <v>8.6000000000000007E-2</v>
      </c>
      <c r="CJ117" s="16">
        <f>IF(ISNA(VLOOKUP(A117,'Données projet'!$A$113:$I$133,7,0)),0%,VLOOKUP(A117,'Données projet'!$A$113:$I$133,7,0))</f>
        <v>0.1</v>
      </c>
      <c r="CK117" s="21">
        <f>EXP(-LN(2)/35)*CK116+(1-EXP(-LN(2)/35))/(LN(2)/35)*CG117*CH117*VLOOKUP('Données projet'!$B$12,Paramètres!$A$1:$I$89,3,0)*0.475*44/12</f>
        <v>36.461382647651561</v>
      </c>
      <c r="CL117" s="21">
        <f>EXP(-LN(2)/25)*CL116+(1-EXP(-LN(2)/25))/(LN(2)/25)*Calculateur!CG117*Calculateur!CI117*VLOOKUP('Données projet'!$B$12,Paramètres!$A$1:$I$89,3,0)*0.475*44/12</f>
        <v>25.780876368276925</v>
      </c>
      <c r="CM117" s="21">
        <f>EXP(-LN(2)/2)*CM116+(1-EXP(-LN(2)/2))/(LN(2)/2)*CG117*CJ117*VLOOKUP('Données projet'!$B$12,Paramètres!$A$1:$I$89,3,0)*0.475*44/12</f>
        <v>5.4631172440400739</v>
      </c>
      <c r="CN117" s="22">
        <f t="shared" si="66"/>
        <v>67.70537625996856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-8.5265128291212022E-14</v>
      </c>
      <c r="CU117" s="17">
        <f>CT117*VLOOKUP('Données projet'!$B$13,Paramètres!$A$1:$I$89,3,0)*VLOOKUP('Données projet'!$B$13,Paramètres!$A$1:$I$89,5,0)</f>
        <v>-6.9167072069831198E-14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186.54446846714993</v>
      </c>
      <c r="CZ117" s="59">
        <f t="shared" si="96"/>
        <v>154.43773051601286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</v>
      </c>
      <c r="DG117" s="21">
        <f>EXP(-LN(2)/25)*DG116+(1-EXP(-LN(2)/25))/(LN(2)/25)*Calculateur!DB117*Calculateur!DD117*VLOOKUP('Données projet'!$B$13,Paramètres!$A$1:$I$89,3,0)*0.475*44/12</f>
        <v>8.3170969641183827</v>
      </c>
      <c r="DH117" s="21">
        <f>EXP(-LN(2)/2)*DH116+(1-EXP(-LN(2)/2))/(LN(2)/2)*DB117*DE117*VLOOKUP('Données projet'!$B$13,Paramètres!$A$1:$I$89,3,0)*0.475*44/12</f>
        <v>6.114518169734056E-3</v>
      </c>
      <c r="DI117" s="22">
        <f t="shared" si="69"/>
        <v>8.3232114822881176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7.2033333333333331</v>
      </c>
      <c r="DO117" s="12">
        <f>IF('Données projet'!$A$166&gt;35,DO116+DN117-DW116,IF(A117&lt;'Données projet'!$A$166,$DL$205^A117,IF(A117='Données projet'!$A$166,'Données projet'!$B$166,DO116+DN117-DW116)))</f>
        <v>270.00333333333367</v>
      </c>
      <c r="DP117" s="17">
        <f>DO117*VLOOKUP('Données projet'!$B$14,Paramètres!$A$1:$I$89,3,0)*VLOOKUP('Données projet'!$B$14,Paramètres!$A$1:$I$89,5,0)</f>
        <v>307.47979600000042</v>
      </c>
      <c r="DQ117" s="13">
        <f t="shared" si="97"/>
        <v>72.742261486330847</v>
      </c>
      <c r="DR117" s="20">
        <f t="shared" si="70"/>
        <v>662.22008345536028</v>
      </c>
      <c r="DS117" s="59">
        <f t="shared" si="71"/>
        <v>943.08549849006567</v>
      </c>
      <c r="DT117" s="59">
        <f ca="1">AVERAGE(OFFSET($DS$3,0,0,'Données projet'!$E$14+1,1))-AVERAGE(OFFSET($H$3,0,0,'Données projet'!$E$14+1,1))</f>
        <v>651.35546372812314</v>
      </c>
      <c r="DU117" s="59">
        <f t="shared" si="98"/>
        <v>293.6561676213388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21.566269955945828</v>
      </c>
      <c r="EB117" s="21">
        <f>EXP(-LN(2)/25)*EB116+(1-EXP(-LN(2)/25))/(LN(2)/25)*Calculateur!DW117*Calculateur!DY117*VLOOKUP('Données projet'!$B$14,Paramètres!$A$1:$I$89,3,0)*0.475*44/12</f>
        <v>34.306282521163396</v>
      </c>
      <c r="EC117" s="21">
        <f>EXP(-LN(2)/2)*EC116+(1-EXP(-LN(2)/2))/(LN(2)/2)*DW117*DZ117*VLOOKUP('Données projet'!$B$14,Paramètres!$A$1:$I$89,3,0)*0.475*44/12</f>
        <v>3.6912117452324145</v>
      </c>
      <c r="ED117" s="22">
        <f t="shared" si="72"/>
        <v>59.563764222341639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8.5265128291212022E-14</v>
      </c>
      <c r="EK117" s="17">
        <f>EJ117*VLOOKUP('Données projet'!$B$15,Paramètres!$A$1:$I$89,3,0)*VLOOKUP('Données projet'!$B$15,Paramètres!$A$1:$I$89,5,0)</f>
        <v>8.9119112089974823E-14</v>
      </c>
      <c r="EL117" s="13">
        <f t="shared" si="99"/>
        <v>1.3568952080113142E-12</v>
      </c>
      <c r="EM117" s="20">
        <f t="shared" si="73"/>
        <v>2.5184749408430782E-12</v>
      </c>
      <c r="EN117" s="59">
        <f t="shared" si="74"/>
        <v>280.86541503470795</v>
      </c>
      <c r="EO117" s="59">
        <f ca="1">AVERAGE(OFFSET($EN$3,0,0,'Données projet'!$E$15+1,1))-AVERAGE(OFFSET($H$3,0,0,'Données projet'!$E$15+1,1))</f>
        <v>290.69667785754848</v>
      </c>
      <c r="EP117" s="59">
        <f t="shared" si="100"/>
        <v>256.28124185489082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13.489332063181953</v>
      </c>
      <c r="EW117" s="21">
        <f>EXP(-LN(2)/25)*EW116+(1-EXP(-LN(2)/25))/(LN(2)/25)*Calculateur!ER117*Calculateur!ET117*VLOOKUP('Données projet'!$B$15,Paramètres!$A$1:$I$89,3,0)*0.475*44/12</f>
        <v>30.826616859052564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44.315948922234519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8.9160000000000021</v>
      </c>
      <c r="N118" s="13">
        <f>IF('Données projet'!$A$36&gt;35,N117+M118-V117,IF(A118&lt;'Données projet'!$A$36,$K$205^A118,IF(A118='Données projet'!$A$36,'Données projet'!$B$36,N117+M118-V117)))</f>
        <v>371.61600000000072</v>
      </c>
      <c r="O118" s="13">
        <f>N118*VLOOKUP('Données projet'!$B$9,Paramètres!$A$1:$I$89,3,0)*VLOOKUP('Données projet'!$B$9,Paramètres!$A$1:$I$89,5,0)</f>
        <v>376.81862400000074</v>
      </c>
      <c r="P118" s="13">
        <f t="shared" si="87"/>
        <v>87.06079278989921</v>
      </c>
      <c r="Q118" s="20">
        <f t="shared" si="107"/>
        <v>807.92331757574232</v>
      </c>
      <c r="R118" s="59">
        <f t="shared" si="55"/>
        <v>1089.0050231188395</v>
      </c>
      <c r="S118" s="59">
        <f ca="1">AVERAGE(OFFSET($R$3,0,0,'Données projet'!$E$9+1,1))-AVERAGE(OFFSET($H$3,0,0,'Données projet'!$E$9+1,1))</f>
        <v>752.45542076695506</v>
      </c>
      <c r="T118" s="59">
        <f t="shared" si="88"/>
        <v>329.70629768420724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40.060617521665655</v>
      </c>
      <c r="AA118" s="21">
        <f>EXP(-LN(2)/25)*AA117+(1-EXP(-LN(2)/25))/(LN(2)/25)*Calculateur!V118*Calculateur!X118*VLOOKUP('Données projet'!$B$9,Paramètres!$A$1:$I$89,3,0)*0.475*44/12</f>
        <v>28.102298304049775</v>
      </c>
      <c r="AB118" s="21">
        <f>EXP(-LN(2)/2)*AB117+(1-EXP(-LN(2)/2))/(LN(2)/2)*V118*Y118*VLOOKUP('Données projet'!$B$9,Paramètres!$A$1:$I$89,3,0)*0.475*44/12</f>
        <v>4.3292322625700601</v>
      </c>
      <c r="AC118" s="22">
        <f t="shared" si="57"/>
        <v>72.492148088285489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408.246209980743</v>
      </c>
      <c r="AO118" s="59">
        <f t="shared" si="90"/>
        <v>394.10236303013903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28.539185622483977</v>
      </c>
      <c r="AV118" s="21">
        <f>EXP(-LN(2)/25)*AV117+(1-EXP(-LN(2)/25))/(LN(2)/25)*Calculateur!AQ118*Calculateur!AS118*VLOOKUP('Données projet'!$B$10,Paramètres!$A$1:$I$89,3,0)*0.475*44/12</f>
        <v>21.354736212781432</v>
      </c>
      <c r="AW118" s="21">
        <f>EXP(-LN(2)/2)*AW117+(1-EXP(-LN(2)/2))/(LN(2)/2)*AQ118*AT118*VLOOKUP('Données projet'!$B$10,Paramètres!$A$1:$I$89,3,0)*0.475*44/12</f>
        <v>3.697650704175638E-4</v>
      </c>
      <c r="AX118" s="21">
        <f t="shared" si="60"/>
        <v>49.894291600335826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8.9160000000000021</v>
      </c>
      <c r="BD118" s="12">
        <f>IF('Données projet'!$A$88&gt;35,BD117+BC118-BL117,IF(A118&lt;'Données projet'!$A$88,$BA$205^A118,IF(A118='Données projet'!$A$88,'Données projet'!$B$88,BD117+BC118-BL117)))</f>
        <v>371.61600000000072</v>
      </c>
      <c r="BE118" s="13">
        <f>BD118*VLOOKUP('Données projet'!$B$11,Paramètres!$A$1:$I$89,3,0)*VLOOKUP('Données projet'!$B$11,Paramètres!$A$1:$I$89,5,0)</f>
        <v>353.62978560000073</v>
      </c>
      <c r="BF118" s="13">
        <f t="shared" si="91"/>
        <v>82.309472398648566</v>
      </c>
      <c r="BG118" s="20">
        <f t="shared" si="61"/>
        <v>759.26087434764747</v>
      </c>
      <c r="BH118" s="59">
        <f t="shared" si="62"/>
        <v>1040.3425798907447</v>
      </c>
      <c r="BI118" s="59">
        <f ca="1">AVERAGE(OFFSET($BH$3,0,0,'Données projet'!$E$11+1,1))-AVERAGE(OFFSET($H$3,0,0,'Données projet'!$E$11+1,1))</f>
        <v>711.91538686535682</v>
      </c>
      <c r="BJ118" s="59">
        <f t="shared" si="92"/>
        <v>313.24593837351722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37.595348751101625</v>
      </c>
      <c r="BQ118" s="21">
        <f>EXP(-LN(2)/25)*BQ117+(1-EXP(-LN(2)/25))/(LN(2)/25)*Calculateur!BL118*Calculateur!BN118*VLOOKUP('Données projet'!$B$11,Paramètres!$A$1:$I$89,3,0)*0.475*44/12</f>
        <v>26.372926100723621</v>
      </c>
      <c r="BR118" s="21">
        <f>EXP(-LN(2)/2)*BR117+(1-EXP(-LN(2)/2))/(LN(2)/2)*BL118*BO118*VLOOKUP('Données projet'!$B$11,Paramètres!$A$1:$I$89,3,0)*0.475*44/12</f>
        <v>4.0628179694888242</v>
      </c>
      <c r="BS118" s="22">
        <f t="shared" si="63"/>
        <v>68.031092821314061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8.9160000000000021</v>
      </c>
      <c r="BY118" s="12">
        <f>IF('Données projet'!$A$114&gt;35,BY117+BX118-CG117,IF(A118&lt;'Données projet'!$A$114,$BV$205^A118,IF(A118='Données projet'!$A$114,'Données projet'!$B$114,BY117+BX118-CG117)))</f>
        <v>371.61600000000072</v>
      </c>
      <c r="BZ118" s="13">
        <f>BY118*VLOOKUP('Données projet'!$B$12,Paramètres!$A$1:$I$89,3,0)*VLOOKUP('Données projet'!$B$12,Paramètres!$A$1:$I$89,5,0)</f>
        <v>336.23815680000064</v>
      </c>
      <c r="CA118" s="13">
        <f t="shared" si="93"/>
        <v>78.722223243612518</v>
      </c>
      <c r="CB118" s="20">
        <f t="shared" si="64"/>
        <v>722.72266190929292</v>
      </c>
      <c r="CC118" s="59">
        <f t="shared" si="65"/>
        <v>1003.8043674523901</v>
      </c>
      <c r="CD118" s="59">
        <f ca="1">AVERAGE(OFFSET($CC$3,0,0,'Données projet'!$E$12+1,1))-AVERAGE(OFFSET($H$3,0,0,'Données projet'!$E$12+1,1))</f>
        <v>681.47578137804555</v>
      </c>
      <c r="CE118" s="59">
        <f t="shared" si="94"/>
        <v>300.88511065995885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35.746397173178586</v>
      </c>
      <c r="CL118" s="21">
        <f>EXP(-LN(2)/25)*CL117+(1-EXP(-LN(2)/25))/(LN(2)/25)*Calculateur!CG118*Calculateur!CI118*VLOOKUP('Données projet'!$B$12,Paramètres!$A$1:$I$89,3,0)*0.475*44/12</f>
        <v>25.075896948229026</v>
      </c>
      <c r="CM118" s="21">
        <f>EXP(-LN(2)/2)*CM117+(1-EXP(-LN(2)/2))/(LN(2)/2)*CG118*CJ118*VLOOKUP('Données projet'!$B$12,Paramètres!$A$1:$I$89,3,0)*0.475*44/12</f>
        <v>3.8630072496778993</v>
      </c>
      <c r="CN118" s="22">
        <f t="shared" si="66"/>
        <v>64.685301371085501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-8.5265128291212022E-14</v>
      </c>
      <c r="CU118" s="17">
        <f>CT118*VLOOKUP('Données projet'!$B$13,Paramètres!$A$1:$I$89,3,0)*VLOOKUP('Données projet'!$B$13,Paramètres!$A$1:$I$89,5,0)</f>
        <v>-6.9167072069831198E-14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186.54446846714993</v>
      </c>
      <c r="CZ118" s="59">
        <f t="shared" si="96"/>
        <v>154.43773051601286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</v>
      </c>
      <c r="DG118" s="21">
        <f>EXP(-LN(2)/25)*DG117+(1-EXP(-LN(2)/25))/(LN(2)/25)*Calculateur!DB118*Calculateur!DD118*VLOOKUP('Données projet'!$B$13,Paramètres!$A$1:$I$89,3,0)*0.475*44/12</f>
        <v>8.0896655102574453</v>
      </c>
      <c r="DH118" s="21">
        <f>EXP(-LN(2)/2)*DH117+(1-EXP(-LN(2)/2))/(LN(2)/2)*DB118*DE118*VLOOKUP('Données projet'!$B$13,Paramètres!$A$1:$I$89,3,0)*0.475*44/12</f>
        <v>4.3236172615073081E-3</v>
      </c>
      <c r="DI118" s="22">
        <f t="shared" si="69"/>
        <v>8.0939891275189524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7.2033333333333331</v>
      </c>
      <c r="DO118" s="12">
        <f>IF('Données projet'!$A$166&gt;35,DO117+DN118-DW117,IF(A118&lt;'Données projet'!$A$166,$DL$205^A118,IF(A118='Données projet'!$A$166,'Données projet'!$B$166,DO117+DN118-DW117)))</f>
        <v>277.20666666666699</v>
      </c>
      <c r="DP118" s="17">
        <f>DO118*VLOOKUP('Données projet'!$B$14,Paramètres!$A$1:$I$89,3,0)*VLOOKUP('Données projet'!$B$14,Paramètres!$A$1:$I$89,5,0)</f>
        <v>315.6829520000004</v>
      </c>
      <c r="DQ118" s="13">
        <f t="shared" si="97"/>
        <v>74.4543990336809</v>
      </c>
      <c r="DR118" s="20">
        <f t="shared" si="70"/>
        <v>679.48921971699485</v>
      </c>
      <c r="DS118" s="59">
        <f t="shared" si="71"/>
        <v>960.57092526009205</v>
      </c>
      <c r="DT118" s="59">
        <f ca="1">AVERAGE(OFFSET($DS$3,0,0,'Données projet'!$E$14+1,1))-AVERAGE(OFFSET($H$3,0,0,'Données projet'!$E$14+1,1))</f>
        <v>651.35546372812314</v>
      </c>
      <c r="DU118" s="59">
        <f t="shared" si="98"/>
        <v>293.6561676213388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21.14336855623554</v>
      </c>
      <c r="EB118" s="21">
        <f>EXP(-LN(2)/25)*EB117+(1-EXP(-LN(2)/25))/(LN(2)/25)*Calculateur!DW118*Calculateur!DY118*VLOOKUP('Données projet'!$B$14,Paramètres!$A$1:$I$89,3,0)*0.475*44/12</f>
        <v>33.368175421533195</v>
      </c>
      <c r="EC118" s="21">
        <f>EXP(-LN(2)/2)*EC117+(1-EXP(-LN(2)/2))/(LN(2)/2)*DW118*DZ118*VLOOKUP('Données projet'!$B$14,Paramètres!$A$1:$I$89,3,0)*0.475*44/12</f>
        <v>2.6100808558492714</v>
      </c>
      <c r="ED118" s="22">
        <f t="shared" si="72"/>
        <v>57.121624833618007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8.5265128291212022E-14</v>
      </c>
      <c r="EK118" s="17">
        <f>EJ118*VLOOKUP('Données projet'!$B$15,Paramètres!$A$1:$I$89,3,0)*VLOOKUP('Données projet'!$B$15,Paramètres!$A$1:$I$89,5,0)</f>
        <v>8.9119112089974823E-14</v>
      </c>
      <c r="EL118" s="13">
        <f t="shared" si="99"/>
        <v>1.3568952080113142E-12</v>
      </c>
      <c r="EM118" s="20">
        <f t="shared" si="73"/>
        <v>2.5184749408430782E-12</v>
      </c>
      <c r="EN118" s="59">
        <f t="shared" si="74"/>
        <v>281.08170554309976</v>
      </c>
      <c r="EO118" s="59">
        <f ca="1">AVERAGE(OFFSET($EN$3,0,0,'Données projet'!$E$15+1,1))-AVERAGE(OFFSET($H$3,0,0,'Données projet'!$E$15+1,1))</f>
        <v>290.69667785754848</v>
      </c>
      <c r="EP118" s="59">
        <f t="shared" si="100"/>
        <v>256.28124185489082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13.224814489103098</v>
      </c>
      <c r="EW118" s="21">
        <f>EXP(-LN(2)/25)*EW117+(1-EXP(-LN(2)/25))/(LN(2)/25)*Calculateur!ER118*Calculateur!ET118*VLOOKUP('Données projet'!$B$15,Paramètres!$A$1:$I$89,3,0)*0.475*44/12</f>
        <v>29.983661399940445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43.208475889043541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8.9160000000000021</v>
      </c>
      <c r="N119" s="13">
        <f>IF('Données projet'!$A$36&gt;35,N118+M119-V118,IF(A119&lt;'Données projet'!$A$36,$K$205^A119,IF(A119='Données projet'!$A$36,'Données projet'!$B$36,N118+M119-V118)))</f>
        <v>380.53200000000072</v>
      </c>
      <c r="O119" s="13">
        <f>N119*VLOOKUP('Données projet'!$B$9,Paramètres!$A$1:$I$89,3,0)*VLOOKUP('Données projet'!$B$9,Paramètres!$A$1:$I$89,5,0)</f>
        <v>385.85944800000078</v>
      </c>
      <c r="P119" s="13">
        <f t="shared" si="87"/>
        <v>88.903907976148645</v>
      </c>
      <c r="Q119" s="20">
        <f t="shared" si="107"/>
        <v>826.87951165846027</v>
      </c>
      <c r="R119" s="59">
        <f t="shared" si="55"/>
        <v>1108.1737555531818</v>
      </c>
      <c r="S119" s="59">
        <f ca="1">AVERAGE(OFFSET($R$3,0,0,'Données projet'!$E$9+1,1))-AVERAGE(OFFSET($H$3,0,0,'Données projet'!$E$9+1,1))</f>
        <v>752.45542076695506</v>
      </c>
      <c r="T119" s="59">
        <f t="shared" si="88"/>
        <v>329.70629768420724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39.275053246629767</v>
      </c>
      <c r="AA119" s="21">
        <f>EXP(-LN(2)/25)*AA118+(1-EXP(-LN(2)/25))/(LN(2)/25)*Calculateur!V119*Calculateur!X119*VLOOKUP('Données projet'!$B$9,Paramètres!$A$1:$I$89,3,0)*0.475*44/12</f>
        <v>27.333839479089896</v>
      </c>
      <c r="AB119" s="21">
        <f>EXP(-LN(2)/2)*AB118+(1-EXP(-LN(2)/2))/(LN(2)/2)*V119*Y119*VLOOKUP('Données projet'!$B$9,Paramètres!$A$1:$I$89,3,0)*0.475*44/12</f>
        <v>3.0612294901948696</v>
      </c>
      <c r="AC119" s="22">
        <f t="shared" si="57"/>
        <v>69.670122215914546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408.246209980743</v>
      </c>
      <c r="AO119" s="59">
        <f t="shared" si="90"/>
        <v>394.10236303013903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27.979549599611481</v>
      </c>
      <c r="AV119" s="21">
        <f>EXP(-LN(2)/25)*AV118+(1-EXP(-LN(2)/25))/(LN(2)/25)*Calculateur!AQ119*Calculateur!AS119*VLOOKUP('Données projet'!$B$10,Paramètres!$A$1:$I$89,3,0)*0.475*44/12</f>
        <v>20.770789828046155</v>
      </c>
      <c r="AW119" s="21">
        <f>EXP(-LN(2)/2)*AW118+(1-EXP(-LN(2)/2))/(LN(2)/2)*AQ119*AT119*VLOOKUP('Données projet'!$B$10,Paramètres!$A$1:$I$89,3,0)*0.475*44/12</f>
        <v>2.6146338873818062E-4</v>
      </c>
      <c r="AX119" s="21">
        <f t="shared" si="60"/>
        <v>48.750600891046375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8.9160000000000021</v>
      </c>
      <c r="BD119" s="12">
        <f>IF('Données projet'!$A$88&gt;35,BD118+BC119-BL118,IF(A119&lt;'Données projet'!$A$88,$BA$205^A119,IF(A119='Données projet'!$A$88,'Données projet'!$B$88,BD118+BC119-BL118)))</f>
        <v>380.53200000000072</v>
      </c>
      <c r="BE119" s="13">
        <f>BD119*VLOOKUP('Données projet'!$B$11,Paramètres!$A$1:$I$89,3,0)*VLOOKUP('Données projet'!$B$11,Paramètres!$A$1:$I$89,5,0)</f>
        <v>362.11425120000069</v>
      </c>
      <c r="BF119" s="13">
        <f t="shared" si="91"/>
        <v>84.052000047302485</v>
      </c>
      <c r="BG119" s="20">
        <f t="shared" si="61"/>
        <v>777.07288758905304</v>
      </c>
      <c r="BH119" s="59">
        <f t="shared" si="62"/>
        <v>1058.3671314837745</v>
      </c>
      <c r="BI119" s="59">
        <f ca="1">AVERAGE(OFFSET($BH$3,0,0,'Données projet'!$E$11+1,1))-AVERAGE(OFFSET($H$3,0,0,'Données projet'!$E$11+1,1))</f>
        <v>711.91538686535682</v>
      </c>
      <c r="BJ119" s="59">
        <f t="shared" si="92"/>
        <v>313.24593837351722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36.858126892991024</v>
      </c>
      <c r="BQ119" s="21">
        <f>EXP(-LN(2)/25)*BQ118+(1-EXP(-LN(2)/25))/(LN(2)/25)*Calculateur!BL119*Calculateur!BN119*VLOOKUP('Données projet'!$B$11,Paramètres!$A$1:$I$89,3,0)*0.475*44/12</f>
        <v>25.651757049607426</v>
      </c>
      <c r="BR119" s="21">
        <f>EXP(-LN(2)/2)*BR118+(1-EXP(-LN(2)/2))/(LN(2)/2)*BL119*BO119*VLOOKUP('Données projet'!$B$11,Paramètres!$A$1:$I$89,3,0)*0.475*44/12</f>
        <v>2.8728461369521074</v>
      </c>
      <c r="BS119" s="22">
        <f t="shared" si="63"/>
        <v>65.382730079550555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8.9160000000000021</v>
      </c>
      <c r="BY119" s="12">
        <f>IF('Données projet'!$A$114&gt;35,BY118+BX119-CG118,IF(A119&lt;'Données projet'!$A$114,$BV$205^A119,IF(A119='Données projet'!$A$114,'Données projet'!$B$114,BY118+BX119-CG118)))</f>
        <v>380.53200000000072</v>
      </c>
      <c r="BZ119" s="13">
        <f>BY119*VLOOKUP('Données projet'!$B$12,Paramètres!$A$1:$I$89,3,0)*VLOOKUP('Données projet'!$B$12,Paramètres!$A$1:$I$89,5,0)</f>
        <v>344.30535360000061</v>
      </c>
      <c r="CA119" s="13">
        <f t="shared" si="93"/>
        <v>80.388807253544201</v>
      </c>
      <c r="CB119" s="20">
        <f t="shared" si="64"/>
        <v>739.67566348659057</v>
      </c>
      <c r="CC119" s="59">
        <f t="shared" si="65"/>
        <v>1020.9699073813121</v>
      </c>
      <c r="CD119" s="59">
        <f ca="1">AVERAGE(OFFSET($CC$3,0,0,'Données projet'!$E$12+1,1))-AVERAGE(OFFSET($H$3,0,0,'Données projet'!$E$12+1,1))</f>
        <v>681.47578137804555</v>
      </c>
      <c r="CE119" s="59">
        <f t="shared" si="94"/>
        <v>300.88511065995885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35.045432127761948</v>
      </c>
      <c r="CL119" s="21">
        <f>EXP(-LN(2)/25)*CL118+(1-EXP(-LN(2)/25))/(LN(2)/25)*Calculateur!CG119*Calculateur!CI119*VLOOKUP('Données projet'!$B$12,Paramètres!$A$1:$I$89,3,0)*0.475*44/12</f>
        <v>24.390195227495596</v>
      </c>
      <c r="CM119" s="21">
        <f>EXP(-LN(2)/2)*CM118+(1-EXP(-LN(2)/2))/(LN(2)/2)*CG119*CJ119*VLOOKUP('Données projet'!$B$12,Paramètres!$A$1:$I$89,3,0)*0.475*44/12</f>
        <v>2.7315586220200374</v>
      </c>
      <c r="CN119" s="22">
        <f t="shared" si="66"/>
        <v>62.167185977277583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-8.5265128291212022E-14</v>
      </c>
      <c r="CU119" s="17">
        <f>CT119*VLOOKUP('Données projet'!$B$13,Paramètres!$A$1:$I$89,3,0)*VLOOKUP('Données projet'!$B$13,Paramètres!$A$1:$I$89,5,0)</f>
        <v>-6.9167072069831198E-14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186.54446846714993</v>
      </c>
      <c r="CZ119" s="59">
        <f t="shared" si="96"/>
        <v>154.43773051601286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</v>
      </c>
      <c r="DG119" s="21">
        <f>EXP(-LN(2)/25)*DG118+(1-EXP(-LN(2)/25))/(LN(2)/25)*Calculateur!DB119*Calculateur!DD119*VLOOKUP('Données projet'!$B$13,Paramètres!$A$1:$I$89,3,0)*0.475*44/12</f>
        <v>7.8684531814624359</v>
      </c>
      <c r="DH119" s="21">
        <f>EXP(-LN(2)/2)*DH118+(1-EXP(-LN(2)/2))/(LN(2)/2)*DB119*DE119*VLOOKUP('Données projet'!$B$13,Paramètres!$A$1:$I$89,3,0)*0.475*44/12</f>
        <v>3.057259084867028E-3</v>
      </c>
      <c r="DI119" s="22">
        <f t="shared" si="69"/>
        <v>7.8715104405473033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7.2033333333333331</v>
      </c>
      <c r="DO119" s="12">
        <f>IF('Données projet'!$A$166&gt;35,DO118+DN119-DW118,IF(A119&lt;'Données projet'!$A$166,$DL$205^A119,IF(A119='Données projet'!$A$166,'Données projet'!$B$166,DO118+DN119-DW118)))</f>
        <v>284.41000000000031</v>
      </c>
      <c r="DP119" s="17">
        <f>DO119*VLOOKUP('Données projet'!$B$14,Paramètres!$A$1:$I$89,3,0)*VLOOKUP('Données projet'!$B$14,Paramètres!$A$1:$I$89,5,0)</f>
        <v>323.88610800000032</v>
      </c>
      <c r="DQ119" s="13">
        <f t="shared" si="97"/>
        <v>76.161365081537738</v>
      </c>
      <c r="DR119" s="20">
        <f t="shared" si="70"/>
        <v>696.74934895034539</v>
      </c>
      <c r="DS119" s="59">
        <f t="shared" si="71"/>
        <v>978.04359284506688</v>
      </c>
      <c r="DT119" s="59">
        <f ca="1">AVERAGE(OFFSET($DS$3,0,0,'Données projet'!$E$14+1,1))-AVERAGE(OFFSET($H$3,0,0,'Données projet'!$E$14+1,1))</f>
        <v>651.35546372812314</v>
      </c>
      <c r="DU119" s="59">
        <f t="shared" si="98"/>
        <v>293.6561676213388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20.72875999502919</v>
      </c>
      <c r="EB119" s="21">
        <f>EXP(-LN(2)/25)*EB118+(1-EXP(-LN(2)/25))/(LN(2)/25)*Calculateur!DW119*Calculateur!DY119*VLOOKUP('Données projet'!$B$14,Paramètres!$A$1:$I$89,3,0)*0.475*44/12</f>
        <v>32.455720909875289</v>
      </c>
      <c r="EC119" s="21">
        <f>EXP(-LN(2)/2)*EC118+(1-EXP(-LN(2)/2))/(LN(2)/2)*DW119*DZ119*VLOOKUP('Données projet'!$B$14,Paramètres!$A$1:$I$89,3,0)*0.475*44/12</f>
        <v>1.8456058726162077</v>
      </c>
      <c r="ED119" s="22">
        <f t="shared" si="72"/>
        <v>55.03008677752068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8.5265128291212022E-14</v>
      </c>
      <c r="EK119" s="17">
        <f>EJ119*VLOOKUP('Données projet'!$B$15,Paramètres!$A$1:$I$89,3,0)*VLOOKUP('Données projet'!$B$15,Paramètres!$A$1:$I$89,5,0)</f>
        <v>8.9119112089974823E-14</v>
      </c>
      <c r="EL119" s="13">
        <f t="shared" si="99"/>
        <v>1.3568952080113142E-12</v>
      </c>
      <c r="EM119" s="20">
        <f t="shared" si="73"/>
        <v>2.5184749408430782E-12</v>
      </c>
      <c r="EN119" s="59">
        <f t="shared" si="74"/>
        <v>281.29424389472399</v>
      </c>
      <c r="EO119" s="59">
        <f ca="1">AVERAGE(OFFSET($EN$3,0,0,'Données projet'!$E$15+1,1))-AVERAGE(OFFSET($H$3,0,0,'Données projet'!$E$15+1,1))</f>
        <v>290.69667785754848</v>
      </c>
      <c r="EP119" s="59">
        <f t="shared" si="100"/>
        <v>256.28124185489082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12.96548394331214</v>
      </c>
      <c r="EW119" s="21">
        <f>EXP(-LN(2)/25)*EW118+(1-EXP(-LN(2)/25))/(LN(2)/25)*Calculateur!ER119*Calculateur!ET119*VLOOKUP('Données projet'!$B$15,Paramètres!$A$1:$I$89,3,0)*0.475*44/12</f>
        <v>29.163756602186847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42.129240545498988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8.9160000000000021</v>
      </c>
      <c r="N120" s="13">
        <f>IF('Données projet'!$A$36&gt;35,N119+M120-V119,IF(A120&lt;'Données projet'!$A$36,$K$205^A120,IF(A120='Données projet'!$A$36,'Données projet'!$B$36,N119+M120-V119)))</f>
        <v>389.44800000000072</v>
      </c>
      <c r="O120" s="13">
        <f>N120*VLOOKUP('Données projet'!$B$9,Paramètres!$A$1:$I$89,3,0)*VLOOKUP('Données projet'!$B$9,Paramètres!$A$1:$I$89,5,0)</f>
        <v>394.90027200000077</v>
      </c>
      <c r="P120" s="13">
        <f t="shared" si="87"/>
        <v>90.742002809527918</v>
      </c>
      <c r="Q120" s="20">
        <f t="shared" si="107"/>
        <v>845.82696195992901</v>
      </c>
      <c r="R120" s="59">
        <f t="shared" si="55"/>
        <v>1127.3300571410387</v>
      </c>
      <c r="S120" s="59">
        <f ca="1">AVERAGE(OFFSET($R$3,0,0,'Données projet'!$E$9+1,1))-AVERAGE(OFFSET($H$3,0,0,'Données projet'!$E$9+1,1))</f>
        <v>752.45542076695506</v>
      </c>
      <c r="T120" s="59">
        <f t="shared" si="88"/>
        <v>329.70629768420724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38.504893407880438</v>
      </c>
      <c r="AA120" s="21">
        <f>EXP(-LN(2)/25)*AA119+(1-EXP(-LN(2)/25))/(LN(2)/25)*Calculateur!V120*Calculateur!X120*VLOOKUP('Données projet'!$B$9,Paramètres!$A$1:$I$89,3,0)*0.475*44/12</f>
        <v>26.586394201110036</v>
      </c>
      <c r="AB120" s="21">
        <f>EXP(-LN(2)/2)*AB119+(1-EXP(-LN(2)/2))/(LN(2)/2)*V120*Y120*VLOOKUP('Données projet'!$B$9,Paramètres!$A$1:$I$89,3,0)*0.475*44/12</f>
        <v>2.1646161312850301</v>
      </c>
      <c r="AC120" s="22">
        <f t="shared" si="57"/>
        <v>67.2559037402755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408.246209980743</v>
      </c>
      <c r="AO120" s="59">
        <f t="shared" si="90"/>
        <v>394.10236303013903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27.430887697803243</v>
      </c>
      <c r="AV120" s="21">
        <f>EXP(-LN(2)/25)*AV119+(1-EXP(-LN(2)/25))/(LN(2)/25)*Calculateur!AQ120*Calculateur!AS120*VLOOKUP('Données projet'!$B$10,Paramètres!$A$1:$I$89,3,0)*0.475*44/12</f>
        <v>20.202811487909869</v>
      </c>
      <c r="AW120" s="21">
        <f>EXP(-LN(2)/2)*AW119+(1-EXP(-LN(2)/2))/(LN(2)/2)*AQ120*AT120*VLOOKUP('Données projet'!$B$10,Paramètres!$A$1:$I$89,3,0)*0.475*44/12</f>
        <v>1.848825352087819E-4</v>
      </c>
      <c r="AX120" s="21">
        <f t="shared" si="60"/>
        <v>47.633884068248321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8.9160000000000021</v>
      </c>
      <c r="BD120" s="12">
        <f>IF('Données projet'!$A$88&gt;35,BD119+BC120-BL119,IF(A120&lt;'Données projet'!$A$88,$BA$205^A120,IF(A120='Données projet'!$A$88,'Données projet'!$B$88,BD119+BC120-BL119)))</f>
        <v>389.44800000000072</v>
      </c>
      <c r="BE120" s="13">
        <f>BD120*VLOOKUP('Données projet'!$B$11,Paramètres!$A$1:$I$89,3,0)*VLOOKUP('Données projet'!$B$11,Paramètres!$A$1:$I$89,5,0)</f>
        <v>370.59871680000072</v>
      </c>
      <c r="BF120" s="13">
        <f t="shared" si="91"/>
        <v>85.78978132755384</v>
      </c>
      <c r="BG120" s="20">
        <f t="shared" si="61"/>
        <v>794.87663423882407</v>
      </c>
      <c r="BH120" s="59">
        <f t="shared" si="62"/>
        <v>1076.3797294199337</v>
      </c>
      <c r="BI120" s="59">
        <f ca="1">AVERAGE(OFFSET($BH$3,0,0,'Données projet'!$E$11+1,1))-AVERAGE(OFFSET($H$3,0,0,'Données projet'!$E$11+1,1))</f>
        <v>711.91538686535682</v>
      </c>
      <c r="BJ120" s="59">
        <f t="shared" si="92"/>
        <v>313.24593837351722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36.135361505857034</v>
      </c>
      <c r="BQ120" s="21">
        <f>EXP(-LN(2)/25)*BQ119+(1-EXP(-LN(2)/25))/(LN(2)/25)*Calculateur!BL120*Calculateur!BN120*VLOOKUP('Données projet'!$B$11,Paramètres!$A$1:$I$89,3,0)*0.475*44/12</f>
        <v>24.950308404118637</v>
      </c>
      <c r="BR120" s="21">
        <f>EXP(-LN(2)/2)*BR119+(1-EXP(-LN(2)/2))/(LN(2)/2)*BL120*BO120*VLOOKUP('Données projet'!$B$11,Paramètres!$A$1:$I$89,3,0)*0.475*44/12</f>
        <v>2.0314089847444121</v>
      </c>
      <c r="BS120" s="22">
        <f t="shared" si="63"/>
        <v>63.11707889472008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8.9160000000000021</v>
      </c>
      <c r="BY120" s="12">
        <f>IF('Données projet'!$A$114&gt;35,BY119+BX120-CG119,IF(A120&lt;'Données projet'!$A$114,$BV$205^A120,IF(A120='Données projet'!$A$114,'Données projet'!$B$114,BY119+BX120-CG119)))</f>
        <v>389.44800000000072</v>
      </c>
      <c r="BZ120" s="13">
        <f>BY120*VLOOKUP('Données projet'!$B$12,Paramètres!$A$1:$I$89,3,0)*VLOOKUP('Données projet'!$B$12,Paramètres!$A$1:$I$89,5,0)</f>
        <v>352.37255040000065</v>
      </c>
      <c r="CA120" s="13">
        <f t="shared" si="93"/>
        <v>82.050851753476593</v>
      </c>
      <c r="CB120" s="20">
        <f t="shared" si="64"/>
        <v>756.62075875063954</v>
      </c>
      <c r="CC120" s="59">
        <f t="shared" si="65"/>
        <v>1038.1238539317492</v>
      </c>
      <c r="CD120" s="59">
        <f ca="1">AVERAGE(OFFSET($CC$3,0,0,'Données projet'!$E$12+1,1))-AVERAGE(OFFSET($H$3,0,0,'Données projet'!$E$12+1,1))</f>
        <v>681.47578137804555</v>
      </c>
      <c r="CE120" s="59">
        <f t="shared" si="94"/>
        <v>300.88511065995885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34.358212579339472</v>
      </c>
      <c r="CL120" s="21">
        <f>EXP(-LN(2)/25)*CL119+(1-EXP(-LN(2)/25))/(LN(2)/25)*Calculateur!CG120*Calculateur!CI120*VLOOKUP('Données projet'!$B$12,Paramètres!$A$1:$I$89,3,0)*0.475*44/12</f>
        <v>23.723244056375105</v>
      </c>
      <c r="CM120" s="21">
        <f>EXP(-LN(2)/2)*CM119+(1-EXP(-LN(2)/2))/(LN(2)/2)*CG120*CJ120*VLOOKUP('Données projet'!$B$12,Paramètres!$A$1:$I$89,3,0)*0.475*44/12</f>
        <v>1.9315036248389501</v>
      </c>
      <c r="CN120" s="22">
        <f t="shared" si="66"/>
        <v>60.012960260553527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-8.5265128291212022E-14</v>
      </c>
      <c r="CU120" s="17">
        <f>CT120*VLOOKUP('Données projet'!$B$13,Paramètres!$A$1:$I$89,3,0)*VLOOKUP('Données projet'!$B$13,Paramètres!$A$1:$I$89,5,0)</f>
        <v>-6.9167072069831198E-14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186.54446846714993</v>
      </c>
      <c r="CZ120" s="59">
        <f t="shared" si="96"/>
        <v>154.43773051601286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</v>
      </c>
      <c r="DG120" s="21">
        <f>EXP(-LN(2)/25)*DG119+(1-EXP(-LN(2)/25))/(LN(2)/25)*Calculateur!DB120*Calculateur!DD120*VLOOKUP('Données projet'!$B$13,Paramètres!$A$1:$I$89,3,0)*0.475*44/12</f>
        <v>7.653289915431376</v>
      </c>
      <c r="DH120" s="21">
        <f>EXP(-LN(2)/2)*DH119+(1-EXP(-LN(2)/2))/(LN(2)/2)*DB120*DE120*VLOOKUP('Données projet'!$B$13,Paramètres!$A$1:$I$89,3,0)*0.475*44/12</f>
        <v>2.161808630753654E-3</v>
      </c>
      <c r="DI120" s="22">
        <f t="shared" si="69"/>
        <v>7.6554517240621296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7.2033333333333331</v>
      </c>
      <c r="DO120" s="12">
        <f>IF('Données projet'!$A$166&gt;35,DO119+DN120-DW119,IF(A120&lt;'Données projet'!$A$166,$DL$205^A120,IF(A120='Données projet'!$A$166,'Données projet'!$B$166,DO119+DN120-DW119)))</f>
        <v>291.61333333333363</v>
      </c>
      <c r="DP120" s="17">
        <f>DO120*VLOOKUP('Données projet'!$B$14,Paramètres!$A$1:$I$89,3,0)*VLOOKUP('Données projet'!$B$14,Paramètres!$A$1:$I$89,5,0)</f>
        <v>332.08926400000036</v>
      </c>
      <c r="DQ120" s="13">
        <f t="shared" si="97"/>
        <v>77.863305672282934</v>
      </c>
      <c r="DR120" s="20">
        <f t="shared" si="70"/>
        <v>714.00072551256005</v>
      </c>
      <c r="DS120" s="59">
        <f t="shared" si="71"/>
        <v>995.5038206936697</v>
      </c>
      <c r="DT120" s="59">
        <f ca="1">AVERAGE(OFFSET($DS$3,0,0,'Données projet'!$E$14+1,1))-AVERAGE(OFFSET($H$3,0,0,'Données projet'!$E$14+1,1))</f>
        <v>651.35546372812314</v>
      </c>
      <c r="DU120" s="59">
        <f t="shared" si="98"/>
        <v>293.6561676213388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20.322281654821843</v>
      </c>
      <c r="EB120" s="21">
        <f>EXP(-LN(2)/25)*EB119+(1-EXP(-LN(2)/25))/(LN(2)/25)*Calculateur!DW120*Calculateur!DY120*VLOOKUP('Données projet'!$B$14,Paramètres!$A$1:$I$89,3,0)*0.475*44/12</f>
        <v>31.568217514822564</v>
      </c>
      <c r="EC120" s="21">
        <f>EXP(-LN(2)/2)*EC119+(1-EXP(-LN(2)/2))/(LN(2)/2)*DW120*DZ120*VLOOKUP('Données projet'!$B$14,Paramètres!$A$1:$I$89,3,0)*0.475*44/12</f>
        <v>1.3050404279246359</v>
      </c>
      <c r="ED120" s="22">
        <f t="shared" si="72"/>
        <v>53.195539597569045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8.5265128291212022E-14</v>
      </c>
      <c r="EK120" s="17">
        <f>EJ120*VLOOKUP('Données projet'!$B$15,Paramètres!$A$1:$I$89,3,0)*VLOOKUP('Données projet'!$B$15,Paramètres!$A$1:$I$89,5,0)</f>
        <v>8.9119112089974823E-14</v>
      </c>
      <c r="EL120" s="13">
        <f t="shared" si="99"/>
        <v>1.3568952080113142E-12</v>
      </c>
      <c r="EM120" s="20">
        <f t="shared" si="73"/>
        <v>2.5184749408430782E-12</v>
      </c>
      <c r="EN120" s="59">
        <f t="shared" si="74"/>
        <v>281.50309518111214</v>
      </c>
      <c r="EO120" s="59">
        <f ca="1">AVERAGE(OFFSET($EN$3,0,0,'Données projet'!$E$15+1,1))-AVERAGE(OFFSET($H$3,0,0,'Données projet'!$E$15+1,1))</f>
        <v>290.69667785754848</v>
      </c>
      <c r="EP120" s="59">
        <f t="shared" si="100"/>
        <v>256.28124185489082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12.711238711348129</v>
      </c>
      <c r="EW120" s="21">
        <f>EXP(-LN(2)/25)*EW119+(1-EXP(-LN(2)/25))/(LN(2)/25)*Calculateur!ER120*Calculateur!ET120*VLOOKUP('Données projet'!$B$15,Paramètres!$A$1:$I$89,3,0)*0.475*44/12</f>
        <v>28.366272144244743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41.07751085559287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8.9160000000000021</v>
      </c>
      <c r="N121" s="13">
        <f>IF('Données projet'!$A$36&gt;35,N120+M121-V120,IF(A121&lt;'Données projet'!$A$36,$K$205^A121,IF(A121='Données projet'!$A$36,'Données projet'!$B$36,N120+M121-V120)))</f>
        <v>398.36400000000071</v>
      </c>
      <c r="O121" s="13">
        <f>N121*VLOOKUP('Données projet'!$B$9,Paramètres!$A$1:$I$89,3,0)*VLOOKUP('Données projet'!$B$9,Paramètres!$A$1:$I$89,5,0)</f>
        <v>403.9410960000007</v>
      </c>
      <c r="P121" s="13">
        <f t="shared" si="87"/>
        <v>92.575205456026652</v>
      </c>
      <c r="Q121" s="20">
        <f t="shared" si="107"/>
        <v>864.76589170258092</v>
      </c>
      <c r="R121" s="59">
        <f t="shared" si="55"/>
        <v>1146.4742150671814</v>
      </c>
      <c r="S121" s="59">
        <f ca="1">AVERAGE(OFFSET($R$3,0,0,'Données projet'!$E$9+1,1))-AVERAGE(OFFSET($H$3,0,0,'Données projet'!$E$9+1,1))</f>
        <v>752.45542076695506</v>
      </c>
      <c r="T121" s="59">
        <f t="shared" si="88"/>
        <v>329.70629768420724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37.749835933817863</v>
      </c>
      <c r="AA121" s="21">
        <f>EXP(-LN(2)/25)*AA120+(1-EXP(-LN(2)/25))/(LN(2)/25)*Calculateur!V121*Calculateur!X121*VLOOKUP('Données projet'!$B$9,Paramètres!$A$1:$I$89,3,0)*0.475*44/12</f>
        <v>25.859387853562975</v>
      </c>
      <c r="AB121" s="21">
        <f>EXP(-LN(2)/2)*AB120+(1-EXP(-LN(2)/2))/(LN(2)/2)*V121*Y121*VLOOKUP('Données projet'!$B$9,Paramètres!$A$1:$I$89,3,0)*0.475*44/12</f>
        <v>1.5306147450974348</v>
      </c>
      <c r="AC121" s="22">
        <f t="shared" si="57"/>
        <v>65.139838532478279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408.246209980743</v>
      </c>
      <c r="AO121" s="59">
        <f t="shared" si="90"/>
        <v>394.10236303013903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26.892984721238751</v>
      </c>
      <c r="AV121" s="21">
        <f>EXP(-LN(2)/25)*AV120+(1-EXP(-LN(2)/25))/(LN(2)/25)*Calculateur!AQ121*Calculateur!AS121*VLOOKUP('Données projet'!$B$10,Paramètres!$A$1:$I$89,3,0)*0.475*44/12</f>
        <v>19.650364545353291</v>
      </c>
      <c r="AW121" s="21">
        <f>EXP(-LN(2)/2)*AW120+(1-EXP(-LN(2)/2))/(LN(2)/2)*AQ121*AT121*VLOOKUP('Données projet'!$B$10,Paramètres!$A$1:$I$89,3,0)*0.475*44/12</f>
        <v>1.3073169436909031E-4</v>
      </c>
      <c r="AX121" s="21">
        <f t="shared" si="60"/>
        <v>46.543479998286415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8.9160000000000021</v>
      </c>
      <c r="BD121" s="12">
        <f>IF('Données projet'!$A$88&gt;35,BD120+BC121-BL120,IF(A121&lt;'Données projet'!$A$88,$BA$205^A121,IF(A121='Données projet'!$A$88,'Données projet'!$B$88,BD120+BC121-BL120)))</f>
        <v>398.36400000000071</v>
      </c>
      <c r="BE121" s="13">
        <f>BD121*VLOOKUP('Données projet'!$B$11,Paramètres!$A$1:$I$89,3,0)*VLOOKUP('Données projet'!$B$11,Paramètres!$A$1:$I$89,5,0)</f>
        <v>379.08318240000068</v>
      </c>
      <c r="BF121" s="13">
        <f t="shared" si="91"/>
        <v>87.522937410766346</v>
      </c>
      <c r="BG121" s="20">
        <f t="shared" si="61"/>
        <v>812.67232533708591</v>
      </c>
      <c r="BH121" s="59">
        <f t="shared" si="62"/>
        <v>1094.3806487016864</v>
      </c>
      <c r="BI121" s="59">
        <f ca="1">AVERAGE(OFFSET($BH$3,0,0,'Données projet'!$E$11+1,1))-AVERAGE(OFFSET($H$3,0,0,'Données projet'!$E$11+1,1))</f>
        <v>711.91538686535682</v>
      </c>
      <c r="BJ121" s="59">
        <f t="shared" si="92"/>
        <v>313.24593837351722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35.426769107121387</v>
      </c>
      <c r="BQ121" s="21">
        <f>EXP(-LN(2)/25)*BQ120+(1-EXP(-LN(2)/25))/(LN(2)/25)*Calculateur!BL121*Calculateur!BN121*VLOOKUP('Données projet'!$B$11,Paramètres!$A$1:$I$89,3,0)*0.475*44/12</f>
        <v>24.26804090872832</v>
      </c>
      <c r="BR121" s="21">
        <f>EXP(-LN(2)/2)*BR120+(1-EXP(-LN(2)/2))/(LN(2)/2)*BL121*BO121*VLOOKUP('Données projet'!$B$11,Paramètres!$A$1:$I$89,3,0)*0.475*44/12</f>
        <v>1.4364230684760537</v>
      </c>
      <c r="BS121" s="22">
        <f t="shared" si="63"/>
        <v>61.131233084325764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8.9160000000000021</v>
      </c>
      <c r="BY121" s="12">
        <f>IF('Données projet'!$A$114&gt;35,BY120+BX121-CG120,IF(A121&lt;'Données projet'!$A$114,$BV$205^A121,IF(A121='Données projet'!$A$114,'Données projet'!$B$114,BY120+BX121-CG120)))</f>
        <v>398.36400000000071</v>
      </c>
      <c r="BZ121" s="13">
        <f>BY121*VLOOKUP('Données projet'!$B$12,Paramètres!$A$1:$I$89,3,0)*VLOOKUP('Données projet'!$B$12,Paramètres!$A$1:$I$89,5,0)</f>
        <v>360.43974720000062</v>
      </c>
      <c r="CA121" s="13">
        <f t="shared" si="93"/>
        <v>83.708472633827739</v>
      </c>
      <c r="CB121" s="20">
        <f t="shared" si="64"/>
        <v>773.55814954391769</v>
      </c>
      <c r="CC121" s="59">
        <f t="shared" si="65"/>
        <v>1055.2664729085182</v>
      </c>
      <c r="CD121" s="59">
        <f ca="1">AVERAGE(OFFSET($CC$3,0,0,'Données projet'!$E$12+1,1))-AVERAGE(OFFSET($H$3,0,0,'Données projet'!$E$12+1,1))</f>
        <v>681.47578137804555</v>
      </c>
      <c r="CE121" s="59">
        <f t="shared" si="94"/>
        <v>300.88511065995885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33.684468987099024</v>
      </c>
      <c r="CL121" s="21">
        <f>EXP(-LN(2)/25)*CL120+(1-EXP(-LN(2)/25))/(LN(2)/25)*Calculateur!CG121*Calculateur!CI121*VLOOKUP('Données projet'!$B$12,Paramètres!$A$1:$I$89,3,0)*0.475*44/12</f>
        <v>23.074530700102343</v>
      </c>
      <c r="CM121" s="21">
        <f>EXP(-LN(2)/2)*CM120+(1-EXP(-LN(2)/2))/(LN(2)/2)*CG121*CJ121*VLOOKUP('Données projet'!$B$12,Paramètres!$A$1:$I$89,3,0)*0.475*44/12</f>
        <v>1.3657793110100189</v>
      </c>
      <c r="CN121" s="22">
        <f t="shared" si="66"/>
        <v>58.124778998211383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-8.5265128291212022E-14</v>
      </c>
      <c r="CU121" s="17">
        <f>CT121*VLOOKUP('Données projet'!$B$13,Paramètres!$A$1:$I$89,3,0)*VLOOKUP('Données projet'!$B$13,Paramètres!$A$1:$I$89,5,0)</f>
        <v>-6.9167072069831198E-14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186.54446846714993</v>
      </c>
      <c r="CZ121" s="59">
        <f t="shared" si="96"/>
        <v>154.43773051601286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</v>
      </c>
      <c r="DG121" s="21">
        <f>EXP(-LN(2)/25)*DG120+(1-EXP(-LN(2)/25))/(LN(2)/25)*Calculateur!DB121*Calculateur!DD121*VLOOKUP('Données projet'!$B$13,Paramètres!$A$1:$I$89,3,0)*0.475*44/12</f>
        <v>7.4440103002248801</v>
      </c>
      <c r="DH121" s="21">
        <f>EXP(-LN(2)/2)*DH120+(1-EXP(-LN(2)/2))/(LN(2)/2)*DB121*DE121*VLOOKUP('Données projet'!$B$13,Paramètres!$A$1:$I$89,3,0)*0.475*44/12</f>
        <v>1.528629542433514E-3</v>
      </c>
      <c r="DI121" s="22">
        <f t="shared" si="69"/>
        <v>7.4455389297673138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7.2033333333333331</v>
      </c>
      <c r="DO121" s="12">
        <f>IF('Données projet'!$A$166&gt;35,DO120+DN121-DW120,IF(A121&lt;'Données projet'!$A$166,$DL$205^A121,IF(A121='Données projet'!$A$166,'Données projet'!$B$166,DO120+DN121-DW120)))</f>
        <v>298.81666666666695</v>
      </c>
      <c r="DP121" s="17">
        <f>DO121*VLOOKUP('Données projet'!$B$14,Paramètres!$A$1:$I$89,3,0)*VLOOKUP('Données projet'!$B$14,Paramètres!$A$1:$I$89,5,0)</f>
        <v>340.29242000000033</v>
      </c>
      <c r="DQ121" s="13">
        <f t="shared" si="97"/>
        <v>79.560359222036141</v>
      </c>
      <c r="DR121" s="20">
        <f t="shared" si="70"/>
        <v>731.24359047838016</v>
      </c>
      <c r="DS121" s="59">
        <f t="shared" si="71"/>
        <v>1012.9519138429805</v>
      </c>
      <c r="DT121" s="59">
        <f ca="1">AVERAGE(OFFSET($DS$3,0,0,'Données projet'!$E$14+1,1))-AVERAGE(OFFSET($H$3,0,0,'Données projet'!$E$14+1,1))</f>
        <v>651.35546372812314</v>
      </c>
      <c r="DU121" s="59">
        <f t="shared" si="98"/>
        <v>293.6561676213388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19.923774106938655</v>
      </c>
      <c r="EB121" s="21">
        <f>EXP(-LN(2)/25)*EB120+(1-EXP(-LN(2)/25))/(LN(2)/25)*Calculateur!DW121*Calculateur!DY121*VLOOKUP('Données projet'!$B$14,Paramètres!$A$1:$I$89,3,0)*0.475*44/12</f>
        <v>30.704982946779332</v>
      </c>
      <c r="EC121" s="21">
        <f>EXP(-LN(2)/2)*EC120+(1-EXP(-LN(2)/2))/(LN(2)/2)*DW121*DZ121*VLOOKUP('Données projet'!$B$14,Paramètres!$A$1:$I$89,3,0)*0.475*44/12</f>
        <v>0.92280293630810395</v>
      </c>
      <c r="ED121" s="22">
        <f t="shared" si="72"/>
        <v>51.551559990026092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8.5265128291212022E-14</v>
      </c>
      <c r="EK121" s="17">
        <f>EJ121*VLOOKUP('Données projet'!$B$15,Paramètres!$A$1:$I$89,3,0)*VLOOKUP('Données projet'!$B$15,Paramètres!$A$1:$I$89,5,0)</f>
        <v>8.9119112089974823E-14</v>
      </c>
      <c r="EL121" s="13">
        <f t="shared" si="99"/>
        <v>1.3568952080113142E-12</v>
      </c>
      <c r="EM121" s="20">
        <f t="shared" si="73"/>
        <v>2.5184749408430782E-12</v>
      </c>
      <c r="EN121" s="59">
        <f t="shared" si="74"/>
        <v>281.7083233646029</v>
      </c>
      <c r="EO121" s="59">
        <f ca="1">AVERAGE(OFFSET($EN$3,0,0,'Données projet'!$E$15+1,1))-AVERAGE(OFFSET($H$3,0,0,'Données projet'!$E$15+1,1))</f>
        <v>290.69667785754848</v>
      </c>
      <c r="EP121" s="59">
        <f t="shared" si="100"/>
        <v>256.28124185489082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12.461979073308651</v>
      </c>
      <c r="EW121" s="21">
        <f>EXP(-LN(2)/25)*EW120+(1-EXP(-LN(2)/25))/(LN(2)/25)*Calculateur!ER121*Calculateur!ET121*VLOOKUP('Données projet'!$B$15,Paramètres!$A$1:$I$89,3,0)*0.475*44/12</f>
        <v>27.59059494074295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40.052574014051601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8.9160000000000021</v>
      </c>
      <c r="N122" s="13">
        <f>IF('Données projet'!$A$36&gt;35,N121+M122-V121,IF(A122&lt;'Données projet'!$A$36,$K$205^A122,IF(A122='Données projet'!$A$36,'Données projet'!$B$36,N121+M122-V121)))</f>
        <v>407.28000000000071</v>
      </c>
      <c r="O122" s="13">
        <f>N122*VLOOKUP('Données projet'!$B$9,Paramètres!$A$1:$I$89,3,0)*VLOOKUP('Données projet'!$B$9,Paramètres!$A$1:$I$89,5,0)</f>
        <v>412.98192000000074</v>
      </c>
      <c r="P122" s="13">
        <f t="shared" si="87"/>
        <v>94.403638017009513</v>
      </c>
      <c r="Q122" s="20">
        <f t="shared" si="107"/>
        <v>883.69651354629275</v>
      </c>
      <c r="R122" s="59">
        <f t="shared" si="55"/>
        <v>1165.6065048442219</v>
      </c>
      <c r="S122" s="59">
        <f ca="1">AVERAGE(OFFSET($R$3,0,0,'Données projet'!$E$9+1,1))-AVERAGE(OFFSET($H$3,0,0,'Données projet'!$E$9+1,1))</f>
        <v>752.45542076695506</v>
      </c>
      <c r="T122" s="59">
        <f t="shared" si="88"/>
        <v>329.70629768420724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37.009584676282074</v>
      </c>
      <c r="AA122" s="21">
        <f>EXP(-LN(2)/25)*AA121+(1-EXP(-LN(2)/25))/(LN(2)/25)*Calculateur!V122*Calculateur!X122*VLOOKUP('Données projet'!$B$9,Paramètres!$A$1:$I$89,3,0)*0.475*44/12</f>
        <v>25.152261532821189</v>
      </c>
      <c r="AB122" s="21">
        <f>EXP(-LN(2)/2)*AB121+(1-EXP(-LN(2)/2))/(LN(2)/2)*V122*Y122*VLOOKUP('Données projet'!$B$9,Paramètres!$A$1:$I$89,3,0)*0.475*44/12</f>
        <v>1.082308065642515</v>
      </c>
      <c r="AC122" s="22">
        <f t="shared" si="57"/>
        <v>63.244154274745775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408.246209980743</v>
      </c>
      <c r="AO122" s="59">
        <f t="shared" si="90"/>
        <v>394.10236303013903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26.365629693956269</v>
      </c>
      <c r="AV122" s="21">
        <f>EXP(-LN(2)/25)*AV121+(1-EXP(-LN(2)/25))/(LN(2)/25)*Calculateur!AQ122*Calculateur!AS122*VLOOKUP('Données projet'!$B$10,Paramètres!$A$1:$I$89,3,0)*0.475*44/12</f>
        <v>19.113024293492845</v>
      </c>
      <c r="AW122" s="21">
        <f>EXP(-LN(2)/2)*AW121+(1-EXP(-LN(2)/2))/(LN(2)/2)*AQ122*AT122*VLOOKUP('Données projet'!$B$10,Paramètres!$A$1:$I$89,3,0)*0.475*44/12</f>
        <v>9.2441267604390949E-5</v>
      </c>
      <c r="AX122" s="21">
        <f t="shared" si="60"/>
        <v>45.478746428716718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8.9160000000000021</v>
      </c>
      <c r="BD122" s="12">
        <f>IF('Données projet'!$A$88&gt;35,BD121+BC122-BL121,IF(A122&lt;'Données projet'!$A$88,$BA$205^A122,IF(A122='Données projet'!$A$88,'Données projet'!$B$88,BD121+BC122-BL121)))</f>
        <v>407.28000000000071</v>
      </c>
      <c r="BE122" s="13">
        <f>BD122*VLOOKUP('Données projet'!$B$11,Paramètres!$A$1:$I$89,3,0)*VLOOKUP('Données projet'!$B$11,Paramètres!$A$1:$I$89,5,0)</f>
        <v>387.56764800000064</v>
      </c>
      <c r="BF122" s="13">
        <f t="shared" si="91"/>
        <v>89.251583734654062</v>
      </c>
      <c r="BG122" s="20">
        <f t="shared" si="61"/>
        <v>830.46016193785681</v>
      </c>
      <c r="BH122" s="59">
        <f t="shared" si="62"/>
        <v>1112.3701532357859</v>
      </c>
      <c r="BI122" s="59">
        <f ca="1">AVERAGE(OFFSET($BH$3,0,0,'Données projet'!$E$11+1,1))-AVERAGE(OFFSET($H$3,0,0,'Données projet'!$E$11+1,1))</f>
        <v>711.91538686535682</v>
      </c>
      <c r="BJ122" s="59">
        <f t="shared" si="92"/>
        <v>313.24593837351722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34.732071773126258</v>
      </c>
      <c r="BQ122" s="21">
        <f>EXP(-LN(2)/25)*BQ121+(1-EXP(-LN(2)/25))/(LN(2)/25)*Calculateur!BL122*Calculateur!BN122*VLOOKUP('Données projet'!$B$11,Paramètres!$A$1:$I$89,3,0)*0.475*44/12</f>
        <v>23.604430053878339</v>
      </c>
      <c r="BR122" s="21">
        <f>EXP(-LN(2)/2)*BR121+(1-EXP(-LN(2)/2))/(LN(2)/2)*BL122*BO122*VLOOKUP('Données projet'!$B$11,Paramètres!$A$1:$I$89,3,0)*0.475*44/12</f>
        <v>1.0157044923722061</v>
      </c>
      <c r="BS122" s="22">
        <f t="shared" si="63"/>
        <v>59.352206319376805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8.9160000000000021</v>
      </c>
      <c r="BY122" s="12">
        <f>IF('Données projet'!$A$114&gt;35,BY121+BX122-CG121,IF(A122&lt;'Données projet'!$A$114,$BV$205^A122,IF(A122='Données projet'!$A$114,'Données projet'!$B$114,BY121+BX122-CG121)))</f>
        <v>407.28000000000071</v>
      </c>
      <c r="BZ122" s="13">
        <f>BY122*VLOOKUP('Données projet'!$B$12,Paramètres!$A$1:$I$89,3,0)*VLOOKUP('Données projet'!$B$12,Paramètres!$A$1:$I$89,5,0)</f>
        <v>368.5069440000006</v>
      </c>
      <c r="CA122" s="13">
        <f t="shared" si="93"/>
        <v>85.361780301252097</v>
      </c>
      <c r="CB122" s="20">
        <f t="shared" si="64"/>
        <v>790.48802815801503</v>
      </c>
      <c r="CC122" s="59">
        <f t="shared" si="65"/>
        <v>1072.3980194559442</v>
      </c>
      <c r="CD122" s="59">
        <f ca="1">AVERAGE(OFFSET($CC$3,0,0,'Données projet'!$E$12+1,1))-AVERAGE(OFFSET($H$3,0,0,'Données projet'!$E$12+1,1))</f>
        <v>681.47578137804555</v>
      </c>
      <c r="CE122" s="59">
        <f t="shared" si="94"/>
        <v>300.88511065995885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33.023937095759393</v>
      </c>
      <c r="CL122" s="21">
        <f>EXP(-LN(2)/25)*CL121+(1-EXP(-LN(2)/25))/(LN(2)/25)*Calculateur!CG122*Calculateur!CI122*VLOOKUP('Données projet'!$B$12,Paramètres!$A$1:$I$89,3,0)*0.475*44/12</f>
        <v>22.443556444671213</v>
      </c>
      <c r="CM122" s="21">
        <f>EXP(-LN(2)/2)*CM121+(1-EXP(-LN(2)/2))/(LN(2)/2)*CG122*CJ122*VLOOKUP('Données projet'!$B$12,Paramètres!$A$1:$I$89,3,0)*0.475*44/12</f>
        <v>0.96575181241947516</v>
      </c>
      <c r="CN122" s="22">
        <f t="shared" si="66"/>
        <v>56.433245352850086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-8.5265128291212022E-14</v>
      </c>
      <c r="CU122" s="17">
        <f>CT122*VLOOKUP('Données projet'!$B$13,Paramètres!$A$1:$I$89,3,0)*VLOOKUP('Données projet'!$B$13,Paramètres!$A$1:$I$89,5,0)</f>
        <v>-6.9167072069831198E-14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186.54446846714993</v>
      </c>
      <c r="CZ122" s="59">
        <f t="shared" si="96"/>
        <v>154.43773051601286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</v>
      </c>
      <c r="DG122" s="21">
        <f>EXP(-LN(2)/25)*DG121+(1-EXP(-LN(2)/25))/(LN(2)/25)*Calculateur!DB122*Calculateur!DD122*VLOOKUP('Données projet'!$B$13,Paramètres!$A$1:$I$89,3,0)*0.475*44/12</f>
        <v>7.2404534471017428</v>
      </c>
      <c r="DH122" s="21">
        <f>EXP(-LN(2)/2)*DH121+(1-EXP(-LN(2)/2))/(LN(2)/2)*DB122*DE122*VLOOKUP('Données projet'!$B$13,Paramètres!$A$1:$I$89,3,0)*0.475*44/12</f>
        <v>1.080904315376827E-3</v>
      </c>
      <c r="DI122" s="22">
        <f t="shared" si="69"/>
        <v>7.24153435141712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7.2033333333333331</v>
      </c>
      <c r="DO122" s="12">
        <f>IF('Données projet'!$A$166&gt;35,DO121+DN122-DW121,IF(A122&lt;'Données projet'!$A$166,$DL$205^A122,IF(A122='Données projet'!$A$166,'Données projet'!$B$166,DO121+DN122-DW121)))</f>
        <v>306.02000000000027</v>
      </c>
      <c r="DP122" s="17">
        <f>DO122*VLOOKUP('Données projet'!$B$14,Paramètres!$A$1:$I$89,3,0)*VLOOKUP('Données projet'!$B$14,Paramètres!$A$1:$I$89,5,0)</f>
        <v>348.49557600000031</v>
      </c>
      <c r="DQ122" s="13">
        <f t="shared" si="97"/>
        <v>81.252657092994895</v>
      </c>
      <c r="DR122" s="20">
        <f t="shared" si="70"/>
        <v>748.47817263696652</v>
      </c>
      <c r="DS122" s="59">
        <f t="shared" si="71"/>
        <v>1030.3881639348956</v>
      </c>
      <c r="DT122" s="59">
        <f ca="1">AVERAGE(OFFSET($DS$3,0,0,'Données projet'!$E$14+1,1))-AVERAGE(OFFSET($H$3,0,0,'Données projet'!$E$14+1,1))</f>
        <v>651.35546372812314</v>
      </c>
      <c r="DU122" s="59">
        <f t="shared" si="98"/>
        <v>293.6561676213388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19.533081049003854</v>
      </c>
      <c r="EB122" s="21">
        <f>EXP(-LN(2)/25)*EB121+(1-EXP(-LN(2)/25))/(LN(2)/25)*Calculateur!DW122*Calculateur!DY122*VLOOKUP('Données projet'!$B$14,Paramètres!$A$1:$I$89,3,0)*0.475*44/12</f>
        <v>29.865353573394774</v>
      </c>
      <c r="EC122" s="21">
        <f>EXP(-LN(2)/2)*EC121+(1-EXP(-LN(2)/2))/(LN(2)/2)*DW122*DZ122*VLOOKUP('Données projet'!$B$14,Paramètres!$A$1:$I$89,3,0)*0.475*44/12</f>
        <v>0.65252021396231807</v>
      </c>
      <c r="ED122" s="22">
        <f t="shared" si="72"/>
        <v>50.050954836360944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8.5265128291212022E-14</v>
      </c>
      <c r="EK122" s="17">
        <f>EJ122*VLOOKUP('Données projet'!$B$15,Paramètres!$A$1:$I$89,3,0)*VLOOKUP('Données projet'!$B$15,Paramètres!$A$1:$I$89,5,0)</f>
        <v>8.9119112089974823E-14</v>
      </c>
      <c r="EL122" s="13">
        <f t="shared" si="99"/>
        <v>1.3568952080113142E-12</v>
      </c>
      <c r="EM122" s="20">
        <f t="shared" si="73"/>
        <v>2.5184749408430782E-12</v>
      </c>
      <c r="EN122" s="59">
        <f t="shared" si="74"/>
        <v>281.90999129793164</v>
      </c>
      <c r="EO122" s="59">
        <f ca="1">AVERAGE(OFFSET($EN$3,0,0,'Données projet'!$E$15+1,1))-AVERAGE(OFFSET($H$3,0,0,'Données projet'!$E$15+1,1))</f>
        <v>290.69667785754848</v>
      </c>
      <c r="EP122" s="59">
        <f t="shared" si="100"/>
        <v>256.28124185489082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12.217607264737762</v>
      </c>
      <c r="EW122" s="21">
        <f>EXP(-LN(2)/25)*EW121+(1-EXP(-LN(2)/25))/(LN(2)/25)*Calculateur!ER122*Calculateur!ET122*VLOOKUP('Données projet'!$B$15,Paramètres!$A$1:$I$89,3,0)*0.475*44/12</f>
        <v>26.836128671162005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39.053735935899766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8.9160000000000021</v>
      </c>
      <c r="N123" s="13">
        <f>IF('Données projet'!$A$36&gt;35,N122+M123-V122,IF(A123&lt;'Données projet'!$A$36,$K$205^A123,IF(A123='Données projet'!$A$36,'Données projet'!$B$36,N122+M123-V122)))</f>
        <v>416.19600000000071</v>
      </c>
      <c r="O123" s="13">
        <f>N123*VLOOKUP('Données projet'!$B$9,Paramètres!$A$1:$I$89,3,0)*VLOOKUP('Données projet'!$B$9,Paramètres!$A$1:$I$89,5,0)</f>
        <v>422.02274400000073</v>
      </c>
      <c r="P123" s="13">
        <f t="shared" si="87"/>
        <v>96.227416942568027</v>
      </c>
      <c r="Q123" s="20">
        <f t="shared" si="107"/>
        <v>902.61903030830717</v>
      </c>
      <c r="R123" s="59">
        <f t="shared" si="55"/>
        <v>1184.7271910517838</v>
      </c>
      <c r="S123" s="59">
        <f ca="1">AVERAGE(OFFSET($R$3,0,0,'Données projet'!$E$9+1,1))-AVERAGE(OFFSET($H$3,0,0,'Données projet'!$E$9+1,1))</f>
        <v>752.45542076695506</v>
      </c>
      <c r="T123" s="59">
        <f t="shared" si="88"/>
        <v>329.70629768420724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36.283849294397875</v>
      </c>
      <c r="AA123" s="21">
        <f>EXP(-LN(2)/25)*AA122+(1-EXP(-LN(2)/25))/(LN(2)/25)*Calculateur!V123*Calculateur!X123*VLOOKUP('Données projet'!$B$9,Paramètres!$A$1:$I$89,3,0)*0.475*44/12</f>
        <v>24.464471618506245</v>
      </c>
      <c r="AB123" s="21">
        <f>EXP(-LN(2)/2)*AB122+(1-EXP(-LN(2)/2))/(LN(2)/2)*V123*Y123*VLOOKUP('Données projet'!$B$9,Paramètres!$A$1:$I$89,3,0)*0.475*44/12</f>
        <v>0.76530737254871739</v>
      </c>
      <c r="AC123" s="22">
        <f t="shared" si="57"/>
        <v>61.513628285452839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408.246209980743</v>
      </c>
      <c r="AO123" s="59">
        <f t="shared" si="90"/>
        <v>394.10236303013903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25.848615777103987</v>
      </c>
      <c r="AV123" s="21">
        <f>EXP(-LN(2)/25)*AV122+(1-EXP(-LN(2)/25))/(LN(2)/25)*Calculateur!AQ123*Calculateur!AS123*VLOOKUP('Données projet'!$B$10,Paramètres!$A$1:$I$89,3,0)*0.475*44/12</f>
        <v>18.590377639077019</v>
      </c>
      <c r="AW123" s="21">
        <f>EXP(-LN(2)/2)*AW122+(1-EXP(-LN(2)/2))/(LN(2)/2)*AQ123*AT123*VLOOKUP('Données projet'!$B$10,Paramètres!$A$1:$I$89,3,0)*0.475*44/12</f>
        <v>6.5365847184545154E-5</v>
      </c>
      <c r="AX123" s="21">
        <f t="shared" si="60"/>
        <v>44.439058782028191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8.9160000000000021</v>
      </c>
      <c r="BD123" s="12">
        <f>IF('Données projet'!$A$88&gt;35,BD122+BC123-BL122,IF(A123&lt;'Données projet'!$A$88,$BA$205^A123,IF(A123='Données projet'!$A$88,'Données projet'!$B$88,BD122+BC123-BL122)))</f>
        <v>416.19600000000071</v>
      </c>
      <c r="BE123" s="13">
        <f>BD123*VLOOKUP('Données projet'!$B$11,Paramètres!$A$1:$I$89,3,0)*VLOOKUP('Données projet'!$B$11,Paramètres!$A$1:$I$89,5,0)</f>
        <v>396.05211360000067</v>
      </c>
      <c r="BF123" s="13">
        <f t="shared" si="91"/>
        <v>90.975830394074606</v>
      </c>
      <c r="BG123" s="20">
        <f t="shared" si="61"/>
        <v>848.24033578968101</v>
      </c>
      <c r="BH123" s="59">
        <f t="shared" si="62"/>
        <v>1130.3484965331577</v>
      </c>
      <c r="BI123" s="59">
        <f ca="1">AVERAGE(OFFSET($BH$3,0,0,'Données projet'!$E$11+1,1))-AVERAGE(OFFSET($H$3,0,0,'Données projet'!$E$11+1,1))</f>
        <v>711.91538686535682</v>
      </c>
      <c r="BJ123" s="59">
        <f t="shared" si="92"/>
        <v>313.24593837351722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34.050997030127242</v>
      </c>
      <c r="BQ123" s="21">
        <f>EXP(-LN(2)/25)*BQ122+(1-EXP(-LN(2)/25))/(LN(2)/25)*Calculateur!BL123*Calculateur!BN123*VLOOKUP('Données projet'!$B$11,Paramètres!$A$1:$I$89,3,0)*0.475*44/12</f>
        <v>22.958965672752008</v>
      </c>
      <c r="BR123" s="21">
        <f>EXP(-LN(2)/2)*BR122+(1-EXP(-LN(2)/2))/(LN(2)/2)*BL123*BO123*VLOOKUP('Données projet'!$B$11,Paramètres!$A$1:$I$89,3,0)*0.475*44/12</f>
        <v>0.71821153423802686</v>
      </c>
      <c r="BS123" s="22">
        <f t="shared" si="63"/>
        <v>57.72817423711728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8.9160000000000021</v>
      </c>
      <c r="BY123" s="12">
        <f>IF('Données projet'!$A$114&gt;35,BY122+BX123-CG122,IF(A123&lt;'Données projet'!$A$114,$BV$205^A123,IF(A123='Données projet'!$A$114,'Données projet'!$B$114,BY122+BX123-CG122)))</f>
        <v>416.19600000000071</v>
      </c>
      <c r="BZ123" s="13">
        <f>BY123*VLOOKUP('Données projet'!$B$12,Paramètres!$A$1:$I$89,3,0)*VLOOKUP('Données projet'!$B$12,Paramètres!$A$1:$I$89,5,0)</f>
        <v>376.57414080000063</v>
      </c>
      <c r="CA123" s="13">
        <f t="shared" si="93"/>
        <v>87.010880052402811</v>
      </c>
      <c r="CB123" s="20">
        <f t="shared" si="64"/>
        <v>807.41057798460258</v>
      </c>
      <c r="CC123" s="59">
        <f t="shared" si="65"/>
        <v>1089.5187387280791</v>
      </c>
      <c r="CD123" s="59">
        <f ca="1">AVERAGE(OFFSET($CC$3,0,0,'Données projet'!$E$12+1,1))-AVERAGE(OFFSET($H$3,0,0,'Données projet'!$E$12+1,1))</f>
        <v>681.47578137804555</v>
      </c>
      <c r="CE123" s="59">
        <f t="shared" si="94"/>
        <v>300.88511065995885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32.37635783192426</v>
      </c>
      <c r="CL123" s="21">
        <f>EXP(-LN(2)/25)*CL122+(1-EXP(-LN(2)/25))/(LN(2)/25)*Calculateur!CG123*Calculateur!CI123*VLOOKUP('Données projet'!$B$12,Paramètres!$A$1:$I$89,3,0)*0.475*44/12</f>
        <v>21.829836213436341</v>
      </c>
      <c r="CM123" s="21">
        <f>EXP(-LN(2)/2)*CM122+(1-EXP(-LN(2)/2))/(LN(2)/2)*CG123*CJ123*VLOOKUP('Données projet'!$B$12,Paramètres!$A$1:$I$89,3,0)*0.475*44/12</f>
        <v>0.68288965550500957</v>
      </c>
      <c r="CN123" s="22">
        <f t="shared" si="66"/>
        <v>54.889083700865612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-8.5265128291212022E-14</v>
      </c>
      <c r="CU123" s="17">
        <f>CT123*VLOOKUP('Données projet'!$B$13,Paramètres!$A$1:$I$89,3,0)*VLOOKUP('Données projet'!$B$13,Paramètres!$A$1:$I$89,5,0)</f>
        <v>-6.9167072069831198E-14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186.54446846714993</v>
      </c>
      <c r="CZ123" s="59">
        <f t="shared" si="96"/>
        <v>154.43773051601286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</v>
      </c>
      <c r="DG123" s="21">
        <f>EXP(-LN(2)/25)*DG122+(1-EXP(-LN(2)/25))/(LN(2)/25)*Calculateur!DB123*Calculateur!DD123*VLOOKUP('Données projet'!$B$13,Paramètres!$A$1:$I$89,3,0)*0.475*44/12</f>
        <v>7.0424628668318467</v>
      </c>
      <c r="DH123" s="21">
        <f>EXP(-LN(2)/2)*DH122+(1-EXP(-LN(2)/2))/(LN(2)/2)*DB123*DE123*VLOOKUP('Données projet'!$B$13,Paramètres!$A$1:$I$89,3,0)*0.475*44/12</f>
        <v>7.64314771216757E-4</v>
      </c>
      <c r="DI123" s="22">
        <f t="shared" si="69"/>
        <v>7.0432271816030632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7.2033333333333331</v>
      </c>
      <c r="DO123" s="12">
        <f>IF('Données projet'!$A$166&gt;35,DO122+DN123-DW122,IF(A123&lt;'Données projet'!$A$166,$DL$205^A123,IF(A123='Données projet'!$A$166,'Données projet'!$B$166,DO122+DN123-DW122)))</f>
        <v>313.22333333333358</v>
      </c>
      <c r="DP123" s="17">
        <f>DO123*VLOOKUP('Données projet'!$B$14,Paramètres!$A$1:$I$89,3,0)*VLOOKUP('Données projet'!$B$14,Paramètres!$A$1:$I$89,5,0)</f>
        <v>356.69873200000029</v>
      </c>
      <c r="DQ123" s="13">
        <f t="shared" si="97"/>
        <v>82.940324110367527</v>
      </c>
      <c r="DR123" s="20">
        <f t="shared" si="70"/>
        <v>765.70468939222394</v>
      </c>
      <c r="DS123" s="59">
        <f t="shared" si="71"/>
        <v>1047.8128501357005</v>
      </c>
      <c r="DT123" s="59">
        <f ca="1">AVERAGE(OFFSET($DS$3,0,0,'Données projet'!$E$14+1,1))-AVERAGE(OFFSET($H$3,0,0,'Données projet'!$E$14+1,1))</f>
        <v>651.35546372812314</v>
      </c>
      <c r="DU123" s="59">
        <f t="shared" si="98"/>
        <v>293.6561676213388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19.15004924363592</v>
      </c>
      <c r="EB123" s="21">
        <f>EXP(-LN(2)/25)*EB122+(1-EXP(-LN(2)/25))/(LN(2)/25)*Calculateur!DW123*Calculateur!DY123*VLOOKUP('Données projet'!$B$14,Paramètres!$A$1:$I$89,3,0)*0.475*44/12</f>
        <v>29.048683909379609</v>
      </c>
      <c r="EC123" s="21">
        <f>EXP(-LN(2)/2)*EC122+(1-EXP(-LN(2)/2))/(LN(2)/2)*DW123*DZ123*VLOOKUP('Données projet'!$B$14,Paramètres!$A$1:$I$89,3,0)*0.475*44/12</f>
        <v>0.46140146815405203</v>
      </c>
      <c r="ED123" s="22">
        <f t="shared" si="72"/>
        <v>48.660134621169576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8.5265128291212022E-14</v>
      </c>
      <c r="EK123" s="17">
        <f>EJ123*VLOOKUP('Données projet'!$B$15,Paramètres!$A$1:$I$89,3,0)*VLOOKUP('Données projet'!$B$15,Paramètres!$A$1:$I$89,5,0)</f>
        <v>8.9119112089974823E-14</v>
      </c>
      <c r="EL123" s="13">
        <f t="shared" si="99"/>
        <v>1.3568952080113142E-12</v>
      </c>
      <c r="EM123" s="20">
        <f t="shared" si="73"/>
        <v>2.5184749408430782E-12</v>
      </c>
      <c r="EN123" s="59">
        <f t="shared" si="74"/>
        <v>282.10816074347912</v>
      </c>
      <c r="EO123" s="59">
        <f ca="1">AVERAGE(OFFSET($EN$3,0,0,'Données projet'!$E$15+1,1))-AVERAGE(OFFSET($H$3,0,0,'Données projet'!$E$15+1,1))</f>
        <v>290.69667785754848</v>
      </c>
      <c r="EP123" s="59">
        <f t="shared" si="100"/>
        <v>256.28124185489082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11.978027438280861</v>
      </c>
      <c r="EW123" s="21">
        <f>EXP(-LN(2)/25)*EW122+(1-EXP(-LN(2)/25))/(LN(2)/25)*Calculateur!ER123*Calculateur!ET123*VLOOKUP('Données projet'!$B$15,Paramètres!$A$1:$I$89,3,0)*0.475*44/12</f>
        <v>26.102293321398406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38.080320759679267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8.9160000000000021</v>
      </c>
      <c r="N124" s="13">
        <f>IF('Données projet'!$A$36&gt;35,N123+M124-V123,IF(A124&lt;'Données projet'!$A$36,$K$205^A124,IF(A124='Données projet'!$A$36,'Données projet'!$B$36,N123+M124-V123)))</f>
        <v>425.11200000000071</v>
      </c>
      <c r="O124" s="13">
        <f>N124*VLOOKUP('Données projet'!$B$9,Paramètres!$A$1:$I$89,3,0)*VLOOKUP('Données projet'!$B$9,Paramètres!$A$1:$I$89,5,0)</f>
        <v>431.06356800000077</v>
      </c>
      <c r="P124" s="13">
        <f t="shared" si="87"/>
        <v>98.046653408452883</v>
      </c>
      <c r="Q124" s="20">
        <f t="shared" si="107"/>
        <v>921.53363561972344</v>
      </c>
      <c r="R124" s="59">
        <f t="shared" si="55"/>
        <v>1203.8365280119078</v>
      </c>
      <c r="S124" s="59">
        <f ca="1">AVERAGE(OFFSET($R$3,0,0,'Données projet'!$E$9+1,1))-AVERAGE(OFFSET($H$3,0,0,'Données projet'!$E$9+1,1))</f>
        <v>752.45542076695506</v>
      </c>
      <c r="T124" s="59">
        <f t="shared" si="88"/>
        <v>329.70629768420724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35.57234514069755</v>
      </c>
      <c r="AA124" s="21">
        <f>EXP(-LN(2)/25)*AA123+(1-EXP(-LN(2)/25))/(LN(2)/25)*Calculateur!V124*Calculateur!X124*VLOOKUP('Données projet'!$B$9,Paramètres!$A$1:$I$89,3,0)*0.475*44/12</f>
        <v>23.795489355567543</v>
      </c>
      <c r="AB124" s="21">
        <f>EXP(-LN(2)/2)*AB123+(1-EXP(-LN(2)/2))/(LN(2)/2)*V124*Y124*VLOOKUP('Données projet'!$B$9,Paramètres!$A$1:$I$89,3,0)*0.475*44/12</f>
        <v>0.54115403282125751</v>
      </c>
      <c r="AC124" s="22">
        <f t="shared" si="57"/>
        <v>59.908988529086351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408.246209980743</v>
      </c>
      <c r="AO124" s="59">
        <f t="shared" si="90"/>
        <v>394.10236303013903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25.34174018781383</v>
      </c>
      <c r="AV124" s="21">
        <f>EXP(-LN(2)/25)*AV123+(1-EXP(-LN(2)/25))/(LN(2)/25)*Calculateur!AQ124*Calculateur!AS124*VLOOKUP('Données projet'!$B$10,Paramètres!$A$1:$I$89,3,0)*0.475*44/12</f>
        <v>18.082022784910986</v>
      </c>
      <c r="AW124" s="21">
        <f>EXP(-LN(2)/2)*AW123+(1-EXP(-LN(2)/2))/(LN(2)/2)*AQ124*AT124*VLOOKUP('Données projet'!$B$10,Paramètres!$A$1:$I$89,3,0)*0.475*44/12</f>
        <v>4.6220633802195475E-5</v>
      </c>
      <c r="AX124" s="21">
        <f t="shared" si="60"/>
        <v>43.423809193358622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8.9160000000000021</v>
      </c>
      <c r="BD124" s="12">
        <f>IF('Données projet'!$A$88&gt;35,BD123+BC124-BL123,IF(A124&lt;'Données projet'!$A$88,$BA$205^A124,IF(A124='Données projet'!$A$88,'Données projet'!$B$88,BD123+BC124-BL123)))</f>
        <v>425.11200000000071</v>
      </c>
      <c r="BE124" s="13">
        <f>BD124*VLOOKUP('Données projet'!$B$11,Paramètres!$A$1:$I$89,3,0)*VLOOKUP('Données projet'!$B$11,Paramètres!$A$1:$I$89,5,0)</f>
        <v>404.53657920000069</v>
      </c>
      <c r="BF124" s="13">
        <f t="shared" si="91"/>
        <v>92.695782497390908</v>
      </c>
      <c r="BG124" s="20">
        <f t="shared" si="61"/>
        <v>866.01302995629032</v>
      </c>
      <c r="BH124" s="59">
        <f t="shared" si="62"/>
        <v>1148.3159223484747</v>
      </c>
      <c r="BI124" s="59">
        <f ca="1">AVERAGE(OFFSET($BH$3,0,0,'Données projet'!$E$11+1,1))-AVERAGE(OFFSET($H$3,0,0,'Données projet'!$E$11+1,1))</f>
        <v>711.91538686535682</v>
      </c>
      <c r="BJ124" s="59">
        <f t="shared" si="92"/>
        <v>313.24593837351722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33.383277747423861</v>
      </c>
      <c r="BQ124" s="21">
        <f>EXP(-LN(2)/25)*BQ123+(1-EXP(-LN(2)/25))/(LN(2)/25)*Calculateur!BL124*Calculateur!BN124*VLOOKUP('Données projet'!$B$11,Paramètres!$A$1:$I$89,3,0)*0.475*44/12</f>
        <v>22.331151549071073</v>
      </c>
      <c r="BR124" s="21">
        <f>EXP(-LN(2)/2)*BR123+(1-EXP(-LN(2)/2))/(LN(2)/2)*BL124*BO124*VLOOKUP('Données projet'!$B$11,Paramètres!$A$1:$I$89,3,0)*0.475*44/12</f>
        <v>0.50785224618610303</v>
      </c>
      <c r="BS124" s="22">
        <f t="shared" si="63"/>
        <v>56.222281542681039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8.9160000000000021</v>
      </c>
      <c r="BY124" s="12">
        <f>IF('Données projet'!$A$114&gt;35,BY123+BX124-CG123,IF(A124&lt;'Données projet'!$A$114,$BV$205^A124,IF(A124='Données projet'!$A$114,'Données projet'!$B$114,BY123+BX124-CG123)))</f>
        <v>425.11200000000071</v>
      </c>
      <c r="BZ124" s="13">
        <f>BY124*VLOOKUP('Données projet'!$B$12,Paramètres!$A$1:$I$89,3,0)*VLOOKUP('Données projet'!$B$12,Paramètres!$A$1:$I$89,5,0)</f>
        <v>384.64133760000061</v>
      </c>
      <c r="CA124" s="13">
        <f t="shared" si="93"/>
        <v>88.65587241476193</v>
      </c>
      <c r="CB124" s="20">
        <f t="shared" si="64"/>
        <v>824.32597410904464</v>
      </c>
      <c r="CC124" s="59">
        <f t="shared" si="65"/>
        <v>1106.6288665012289</v>
      </c>
      <c r="CD124" s="59">
        <f ca="1">AVERAGE(OFFSET($CC$3,0,0,'Données projet'!$E$12+1,1))-AVERAGE(OFFSET($H$3,0,0,'Données projet'!$E$12+1,1))</f>
        <v>681.47578137804555</v>
      </c>
      <c r="CE124" s="59">
        <f t="shared" si="94"/>
        <v>300.88511065995885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31.741477202468587</v>
      </c>
      <c r="CL124" s="21">
        <f>EXP(-LN(2)/25)*CL123+(1-EXP(-LN(2)/25))/(LN(2)/25)*Calculateur!CG124*Calculateur!CI124*VLOOKUP('Données projet'!$B$12,Paramètres!$A$1:$I$89,3,0)*0.475*44/12</f>
        <v>21.232898194198729</v>
      </c>
      <c r="CM124" s="21">
        <f>EXP(-LN(2)/2)*CM123+(1-EXP(-LN(2)/2))/(LN(2)/2)*CG124*CJ124*VLOOKUP('Données projet'!$B$12,Paramètres!$A$1:$I$89,3,0)*0.475*44/12</f>
        <v>0.48287590620973764</v>
      </c>
      <c r="CN124" s="22">
        <f t="shared" si="66"/>
        <v>53.457251302877047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-8.5265128291212022E-14</v>
      </c>
      <c r="CU124" s="17">
        <f>CT124*VLOOKUP('Données projet'!$B$13,Paramètres!$A$1:$I$89,3,0)*VLOOKUP('Données projet'!$B$13,Paramètres!$A$1:$I$89,5,0)</f>
        <v>-6.9167072069831198E-14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186.54446846714993</v>
      </c>
      <c r="CZ124" s="59">
        <f t="shared" si="96"/>
        <v>154.43773051601286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</v>
      </c>
      <c r="DG124" s="21">
        <f>EXP(-LN(2)/25)*DG123+(1-EXP(-LN(2)/25))/(LN(2)/25)*Calculateur!DB124*Calculateur!DD124*VLOOKUP('Données projet'!$B$13,Paramètres!$A$1:$I$89,3,0)*0.475*44/12</f>
        <v>6.8498863493913031</v>
      </c>
      <c r="DH124" s="21">
        <f>EXP(-LN(2)/2)*DH123+(1-EXP(-LN(2)/2))/(LN(2)/2)*DB124*DE124*VLOOKUP('Données projet'!$B$13,Paramètres!$A$1:$I$89,3,0)*0.475*44/12</f>
        <v>5.4045215768841351E-4</v>
      </c>
      <c r="DI124" s="22">
        <f t="shared" si="69"/>
        <v>6.8504268015489913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7.2033333333333331</v>
      </c>
      <c r="DO124" s="12">
        <f>IF('Données projet'!$A$166&gt;35,DO123+DN124-DW123,IF(A124&lt;'Données projet'!$A$166,$DL$205^A124,IF(A124='Données projet'!$A$166,'Données projet'!$B$166,DO123+DN124-DW123)))</f>
        <v>320.4266666666669</v>
      </c>
      <c r="DP124" s="17">
        <f>DO124*VLOOKUP('Données projet'!$B$14,Paramètres!$A$1:$I$89,3,0)*VLOOKUP('Données projet'!$B$14,Paramètres!$A$1:$I$89,5,0)</f>
        <v>364.90188800000027</v>
      </c>
      <c r="DQ124" s="13">
        <f t="shared" si="97"/>
        <v>84.623479030413279</v>
      </c>
      <c r="DR124" s="20">
        <f t="shared" si="70"/>
        <v>782.92334757797028</v>
      </c>
      <c r="DS124" s="59">
        <f t="shared" si="71"/>
        <v>1065.2262399701547</v>
      </c>
      <c r="DT124" s="59">
        <f ca="1">AVERAGE(OFFSET($DS$3,0,0,'Données projet'!$E$14+1,1))-AVERAGE(OFFSET($H$3,0,0,'Données projet'!$E$14+1,1))</f>
        <v>651.35546372812314</v>
      </c>
      <c r="DU124" s="59">
        <f t="shared" si="98"/>
        <v>293.6561676213388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18.774528458344918</v>
      </c>
      <c r="EB124" s="21">
        <f>EXP(-LN(2)/25)*EB123+(1-EXP(-LN(2)/25))/(LN(2)/25)*Calculateur!DW124*Calculateur!DY124*VLOOKUP('Données projet'!$B$14,Paramètres!$A$1:$I$89,3,0)*0.475*44/12</f>
        <v>28.254346120273727</v>
      </c>
      <c r="EC124" s="21">
        <f>EXP(-LN(2)/2)*EC123+(1-EXP(-LN(2)/2))/(LN(2)/2)*DW124*DZ124*VLOOKUP('Données projet'!$B$14,Paramètres!$A$1:$I$89,3,0)*0.475*44/12</f>
        <v>0.32626010698115909</v>
      </c>
      <c r="ED124" s="22">
        <f t="shared" si="72"/>
        <v>47.355134685599801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8.5265128291212022E-14</v>
      </c>
      <c r="EK124" s="17">
        <f>EJ124*VLOOKUP('Données projet'!$B$15,Paramètres!$A$1:$I$89,3,0)*VLOOKUP('Données projet'!$B$15,Paramètres!$A$1:$I$89,5,0)</f>
        <v>8.9119112089974823E-14</v>
      </c>
      <c r="EL124" s="13">
        <f t="shared" si="99"/>
        <v>1.3568952080113142E-12</v>
      </c>
      <c r="EM124" s="20">
        <f t="shared" si="73"/>
        <v>2.5184749408430782E-12</v>
      </c>
      <c r="EN124" s="59">
        <f t="shared" si="74"/>
        <v>282.30289239218689</v>
      </c>
      <c r="EO124" s="59">
        <f ca="1">AVERAGE(OFFSET($EN$3,0,0,'Données projet'!$E$15+1,1))-AVERAGE(OFFSET($H$3,0,0,'Données projet'!$E$15+1,1))</f>
        <v>290.69667785754848</v>
      </c>
      <c r="EP124" s="59">
        <f t="shared" si="100"/>
        <v>256.28124185489082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11.743145626091517</v>
      </c>
      <c r="EW124" s="21">
        <f>EXP(-LN(2)/25)*EW123+(1-EXP(-LN(2)/25))/(LN(2)/25)*Calculateur!ER124*Calculateur!ET124*VLOOKUP('Données projet'!$B$15,Paramètres!$A$1:$I$89,3,0)*0.475*44/12</f>
        <v>25.38852473786482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37.131670363956339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8.9160000000000021</v>
      </c>
      <c r="N125" s="13">
        <f>IF('Données projet'!$A$36&gt;35,N124+M125-V124,IF(A125&lt;'Données projet'!$A$36,$K$205^A125,IF(A125='Données projet'!$A$36,'Données projet'!$B$36,N124+M125-V124)))</f>
        <v>434.0280000000007</v>
      </c>
      <c r="O125" s="13">
        <f>N125*VLOOKUP('Données projet'!$B$9,Paramètres!$A$1:$I$89,3,0)*VLOOKUP('Données projet'!$B$9,Paramètres!$A$1:$I$89,5,0)</f>
        <v>440.1043920000007</v>
      </c>
      <c r="P125" s="13">
        <f t="shared" si="87"/>
        <v>99.861453660492415</v>
      </c>
      <c r="Q125" s="20">
        <f t="shared" si="107"/>
        <v>940.44051452535894</v>
      </c>
      <c r="R125" s="59">
        <f t="shared" si="55"/>
        <v>1222.9347604075008</v>
      </c>
      <c r="S125" s="59">
        <f ca="1">AVERAGE(OFFSET($R$3,0,0,'Données projet'!$E$9+1,1))-AVERAGE(OFFSET($H$3,0,0,'Données projet'!$E$9+1,1))</f>
        <v>752.45542076695506</v>
      </c>
      <c r="T125" s="59">
        <f t="shared" si="88"/>
        <v>329.70629768420724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34.874793149476609</v>
      </c>
      <c r="AA125" s="21">
        <f>EXP(-LN(2)/25)*AA124+(1-EXP(-LN(2)/25))/(LN(2)/25)*Calculateur!V125*Calculateur!X125*VLOOKUP('Données projet'!$B$9,Paramètres!$A$1:$I$89,3,0)*0.475*44/12</f>
        <v>23.144800447789148</v>
      </c>
      <c r="AB125" s="21">
        <f>EXP(-LN(2)/2)*AB124+(1-EXP(-LN(2)/2))/(LN(2)/2)*V125*Y125*VLOOKUP('Données projet'!$B$9,Paramètres!$A$1:$I$89,3,0)*0.475*44/12</f>
        <v>0.3826536862743587</v>
      </c>
      <c r="AC125" s="22">
        <f t="shared" si="57"/>
        <v>58.402247283540113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408.246209980743</v>
      </c>
      <c r="AO125" s="59">
        <f t="shared" si="90"/>
        <v>394.10236303013903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24.844804119666069</v>
      </c>
      <c r="AV125" s="21">
        <f>EXP(-LN(2)/25)*AV124+(1-EXP(-LN(2)/25))/(LN(2)/25)*Calculateur!AQ125*Calculateur!AS125*VLOOKUP('Données projet'!$B$10,Paramètres!$A$1:$I$89,3,0)*0.475*44/12</f>
        <v>17.587568920965346</v>
      </c>
      <c r="AW125" s="21">
        <f>EXP(-LN(2)/2)*AW124+(1-EXP(-LN(2)/2))/(LN(2)/2)*AQ125*AT125*VLOOKUP('Données projet'!$B$10,Paramètres!$A$1:$I$89,3,0)*0.475*44/12</f>
        <v>3.2682923592272577E-5</v>
      </c>
      <c r="AX125" s="21">
        <f t="shared" si="60"/>
        <v>42.432405723555007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8.9160000000000021</v>
      </c>
      <c r="BD125" s="12">
        <f>IF('Données projet'!$A$88&gt;35,BD124+BC125-BL124,IF(A125&lt;'Données projet'!$A$88,$BA$205^A125,IF(A125='Données projet'!$A$88,'Données projet'!$B$88,BD124+BC125-BL124)))</f>
        <v>434.0280000000007</v>
      </c>
      <c r="BE125" s="13">
        <f>BD125*VLOOKUP('Données projet'!$B$11,Paramètres!$A$1:$I$89,3,0)*VLOOKUP('Données projet'!$B$11,Paramètres!$A$1:$I$89,5,0)</f>
        <v>413.02104480000071</v>
      </c>
      <c r="BF125" s="13">
        <f t="shared" si="91"/>
        <v>94.411540492092271</v>
      </c>
      <c r="BG125" s="20">
        <f t="shared" si="61"/>
        <v>883.77841938372865</v>
      </c>
      <c r="BH125" s="59">
        <f t="shared" si="62"/>
        <v>1166.2726652658705</v>
      </c>
      <c r="BI125" s="59">
        <f ca="1">AVERAGE(OFFSET($BH$3,0,0,'Données projet'!$E$11+1,1))-AVERAGE(OFFSET($H$3,0,0,'Données projet'!$E$11+1,1))</f>
        <v>711.91538686535682</v>
      </c>
      <c r="BJ125" s="59">
        <f t="shared" si="92"/>
        <v>313.24593837351722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32.728652032585742</v>
      </c>
      <c r="BQ125" s="21">
        <f>EXP(-LN(2)/25)*BQ124+(1-EXP(-LN(2)/25))/(LN(2)/25)*Calculateur!BL125*Calculateur!BN125*VLOOKUP('Données projet'!$B$11,Paramètres!$A$1:$I$89,3,0)*0.475*44/12</f>
        <v>21.720505035617503</v>
      </c>
      <c r="BR125" s="21">
        <f>EXP(-LN(2)/2)*BR124+(1-EXP(-LN(2)/2))/(LN(2)/2)*BL125*BO125*VLOOKUP('Données projet'!$B$11,Paramètres!$A$1:$I$89,3,0)*0.475*44/12</f>
        <v>0.35910576711901343</v>
      </c>
      <c r="BS125" s="22">
        <f t="shared" si="63"/>
        <v>54.80826283532226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8.9160000000000021</v>
      </c>
      <c r="BY125" s="12">
        <f>IF('Données projet'!$A$114&gt;35,BY124+BX125-CG124,IF(A125&lt;'Données projet'!$A$114,$BV$205^A125,IF(A125='Données projet'!$A$114,'Données projet'!$B$114,BY124+BX125-CG124)))</f>
        <v>434.0280000000007</v>
      </c>
      <c r="BZ125" s="13">
        <f>BY125*VLOOKUP('Données projet'!$B$12,Paramètres!$A$1:$I$89,3,0)*VLOOKUP('Données projet'!$B$12,Paramètres!$A$1:$I$89,5,0)</f>
        <v>392.70853440000059</v>
      </c>
      <c r="CA125" s="13">
        <f t="shared" si="93"/>
        <v>90.296853458070288</v>
      </c>
      <c r="CB125" s="20">
        <f t="shared" si="64"/>
        <v>841.23438385280679</v>
      </c>
      <c r="CC125" s="59">
        <f t="shared" si="65"/>
        <v>1123.7286297349485</v>
      </c>
      <c r="CD125" s="59">
        <f ca="1">AVERAGE(OFFSET($CC$3,0,0,'Données projet'!$E$12+1,1))-AVERAGE(OFFSET($H$3,0,0,'Données projet'!$E$12+1,1))</f>
        <v>681.47578137804555</v>
      </c>
      <c r="CE125" s="59">
        <f t="shared" si="94"/>
        <v>300.88511065995885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31.11904619491759</v>
      </c>
      <c r="CL125" s="21">
        <f>EXP(-LN(2)/25)*CL124+(1-EXP(-LN(2)/25))/(LN(2)/25)*Calculateur!CG125*Calculateur!CI125*VLOOKUP('Données projet'!$B$12,Paramètres!$A$1:$I$89,3,0)*0.475*44/12</f>
        <v>20.652283476488776</v>
      </c>
      <c r="CM125" s="21">
        <f>EXP(-LN(2)/2)*CM124+(1-EXP(-LN(2)/2))/(LN(2)/2)*CG125*CJ125*VLOOKUP('Données projet'!$B$12,Paramètres!$A$1:$I$89,3,0)*0.475*44/12</f>
        <v>0.34144482775250484</v>
      </c>
      <c r="CN125" s="22">
        <f t="shared" si="66"/>
        <v>52.112774499158867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-8.5265128291212022E-14</v>
      </c>
      <c r="CU125" s="17">
        <f>CT125*VLOOKUP('Données projet'!$B$13,Paramètres!$A$1:$I$89,3,0)*VLOOKUP('Données projet'!$B$13,Paramètres!$A$1:$I$89,5,0)</f>
        <v>-6.9167072069831198E-14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186.54446846714993</v>
      </c>
      <c r="CZ125" s="59">
        <f t="shared" si="96"/>
        <v>154.43773051601286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</v>
      </c>
      <c r="DG125" s="21">
        <f>EXP(-LN(2)/25)*DG124+(1-EXP(-LN(2)/25))/(LN(2)/25)*Calculateur!DB125*Calculateur!DD125*VLOOKUP('Données projet'!$B$13,Paramètres!$A$1:$I$89,3,0)*0.475*44/12</f>
        <v>6.6625758469473304</v>
      </c>
      <c r="DH125" s="21">
        <f>EXP(-LN(2)/2)*DH124+(1-EXP(-LN(2)/2))/(LN(2)/2)*DB125*DE125*VLOOKUP('Données projet'!$B$13,Paramètres!$A$1:$I$89,3,0)*0.475*44/12</f>
        <v>3.821573856083785E-4</v>
      </c>
      <c r="DI125" s="22">
        <f t="shared" si="69"/>
        <v>6.6629580043329391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7.2033333333333331</v>
      </c>
      <c r="DO125" s="12">
        <f>IF('Données projet'!$A$166&gt;35,DO124+DN125-DW124,IF(A125&lt;'Données projet'!$A$166,$DL$205^A125,IF(A125='Données projet'!$A$166,'Données projet'!$B$166,DO124+DN125-DW124)))</f>
        <v>327.63000000000022</v>
      </c>
      <c r="DP125" s="17">
        <f>DO125*VLOOKUP('Données projet'!$B$14,Paramètres!$A$1:$I$89,3,0)*VLOOKUP('Données projet'!$B$14,Paramètres!$A$1:$I$89,5,0)</f>
        <v>373.10504400000025</v>
      </c>
      <c r="DQ125" s="13">
        <f t="shared" si="97"/>
        <v>86.302234965208996</v>
      </c>
      <c r="DR125" s="20">
        <f t="shared" si="70"/>
        <v>800.13434419773932</v>
      </c>
      <c r="DS125" s="59">
        <f t="shared" si="71"/>
        <v>1082.6285900798812</v>
      </c>
      <c r="DT125" s="59">
        <f ca="1">AVERAGE(OFFSET($DS$3,0,0,'Données projet'!$E$14+1,1))-AVERAGE(OFFSET($H$3,0,0,'Données projet'!$E$14+1,1))</f>
        <v>651.35546372812314</v>
      </c>
      <c r="DU125" s="59">
        <f t="shared" si="98"/>
        <v>293.6561676213388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18.406371406608407</v>
      </c>
      <c r="EB125" s="21">
        <f>EXP(-LN(2)/25)*EB124+(1-EXP(-LN(2)/25))/(LN(2)/25)*Calculateur!DW125*Calculateur!DY125*VLOOKUP('Données projet'!$B$14,Paramètres!$A$1:$I$89,3,0)*0.475*44/12</f>
        <v>27.481729539783355</v>
      </c>
      <c r="EC125" s="21">
        <f>EXP(-LN(2)/2)*EC124+(1-EXP(-LN(2)/2))/(LN(2)/2)*DW125*DZ125*VLOOKUP('Données projet'!$B$14,Paramètres!$A$1:$I$89,3,0)*0.475*44/12</f>
        <v>0.23070073407702607</v>
      </c>
      <c r="ED125" s="22">
        <f t="shared" si="72"/>
        <v>46.118801680468785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8.5265128291212022E-14</v>
      </c>
      <c r="EK125" s="17">
        <f>EJ125*VLOOKUP('Données projet'!$B$15,Paramètres!$A$1:$I$89,3,0)*VLOOKUP('Données projet'!$B$15,Paramètres!$A$1:$I$89,5,0)</f>
        <v>8.9119112089974823E-14</v>
      </c>
      <c r="EL125" s="13">
        <f t="shared" si="99"/>
        <v>1.3568952080113142E-12</v>
      </c>
      <c r="EM125" s="20">
        <f t="shared" si="73"/>
        <v>2.5184749408430782E-12</v>
      </c>
      <c r="EN125" s="59">
        <f t="shared" si="74"/>
        <v>282.4942458821443</v>
      </c>
      <c r="EO125" s="59">
        <f ca="1">AVERAGE(OFFSET($EN$3,0,0,'Données projet'!$E$15+1,1))-AVERAGE(OFFSET($H$3,0,0,'Données projet'!$E$15+1,1))</f>
        <v>290.69667785754848</v>
      </c>
      <c r="EP125" s="59">
        <f t="shared" si="100"/>
        <v>256.28124185489082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11.512869702975445</v>
      </c>
      <c r="EW125" s="21">
        <f>EXP(-LN(2)/25)*EW124+(1-EXP(-LN(2)/25))/(LN(2)/25)*Calculateur!ER125*Calculateur!ET125*VLOOKUP('Données projet'!$B$15,Paramètres!$A$1:$I$89,3,0)*0.475*44/12</f>
        <v>24.694274193783418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36.207143896758865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8.9160000000000021</v>
      </c>
      <c r="N126" s="13">
        <f>IF('Données projet'!$A$36&gt;35,N125+M126-V125,IF(A126&lt;'Données projet'!$A$36,$K$205^A126,IF(A126='Données projet'!$A$36,'Données projet'!$B$36,N125+M126-V125)))</f>
        <v>442.9440000000007</v>
      </c>
      <c r="O126" s="13">
        <f>N126*VLOOKUP('Données projet'!$B$9,Paramètres!$A$1:$I$89,3,0)*VLOOKUP('Données projet'!$B$9,Paramètres!$A$1:$I$89,5,0)</f>
        <v>449.1452160000008</v>
      </c>
      <c r="P126" s="13">
        <f t="shared" si="87"/>
        <v>101.67191932991005</v>
      </c>
      <c r="Q126" s="20">
        <f t="shared" si="107"/>
        <v>959.33984403292789</v>
      </c>
      <c r="R126" s="59">
        <f t="shared" si="55"/>
        <v>1242.0221238497786</v>
      </c>
      <c r="S126" s="59">
        <f ca="1">AVERAGE(OFFSET($R$3,0,0,'Données projet'!$E$9+1,1))-AVERAGE(OFFSET($H$3,0,0,'Données projet'!$E$9+1,1))</f>
        <v>752.45542076695506</v>
      </c>
      <c r="T126" s="59">
        <f t="shared" si="88"/>
        <v>329.70629768420724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34.190919727338809</v>
      </c>
      <c r="AA126" s="21">
        <f>EXP(-LN(2)/25)*AA125+(1-EXP(-LN(2)/25))/(LN(2)/25)*Calculateur!V126*Calculateur!X126*VLOOKUP('Données projet'!$B$9,Paramètres!$A$1:$I$89,3,0)*0.475*44/12</f>
        <v>22.511904662412196</v>
      </c>
      <c r="AB126" s="21">
        <f>EXP(-LN(2)/2)*AB125+(1-EXP(-LN(2)/2))/(LN(2)/2)*V126*Y126*VLOOKUP('Données projet'!$B$9,Paramètres!$A$1:$I$89,3,0)*0.475*44/12</f>
        <v>0.27057701641062876</v>
      </c>
      <c r="AC126" s="22">
        <f t="shared" si="57"/>
        <v>56.973401406161628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408.246209980743</v>
      </c>
      <c r="AO126" s="59">
        <f t="shared" si="90"/>
        <v>394.10236303013903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24.357612664713614</v>
      </c>
      <c r="AV126" s="21">
        <f>EXP(-LN(2)/25)*AV125+(1-EXP(-LN(2)/25))/(LN(2)/25)*Calculateur!AQ126*Calculateur!AS126*VLOOKUP('Données projet'!$B$10,Paramètres!$A$1:$I$89,3,0)*0.475*44/12</f>
        <v>17.106635923931496</v>
      </c>
      <c r="AW126" s="21">
        <f>EXP(-LN(2)/2)*AW125+(1-EXP(-LN(2)/2))/(LN(2)/2)*AQ126*AT126*VLOOKUP('Données projet'!$B$10,Paramètres!$A$1:$I$89,3,0)*0.475*44/12</f>
        <v>2.3110316901097737E-5</v>
      </c>
      <c r="AX126" s="21">
        <f t="shared" si="60"/>
        <v>41.464271698962008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8.9160000000000021</v>
      </c>
      <c r="BD126" s="12">
        <f>IF('Données projet'!$A$88&gt;35,BD125+BC126-BL125,IF(A126&lt;'Données projet'!$A$88,$BA$205^A126,IF(A126='Données projet'!$A$88,'Données projet'!$B$88,BD125+BC126-BL125)))</f>
        <v>442.9440000000007</v>
      </c>
      <c r="BE126" s="13">
        <f>BD126*VLOOKUP('Données projet'!$B$11,Paramètres!$A$1:$I$89,3,0)*VLOOKUP('Données projet'!$B$11,Paramètres!$A$1:$I$89,5,0)</f>
        <v>421.50551040000067</v>
      </c>
      <c r="BF126" s="13">
        <f t="shared" si="91"/>
        <v>96.123200462904308</v>
      </c>
      <c r="BG126" s="20">
        <f t="shared" si="61"/>
        <v>901.53667141955941</v>
      </c>
      <c r="BH126" s="59">
        <f t="shared" si="62"/>
        <v>1184.21895123641</v>
      </c>
      <c r="BI126" s="59">
        <f ca="1">AVERAGE(OFFSET($BH$3,0,0,'Données projet'!$E$11+1,1))-AVERAGE(OFFSET($H$3,0,0,'Données projet'!$E$11+1,1))</f>
        <v>711.91538686535682</v>
      </c>
      <c r="BJ126" s="59">
        <f t="shared" si="92"/>
        <v>313.24593837351722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32.086863128733341</v>
      </c>
      <c r="BQ126" s="21">
        <f>EXP(-LN(2)/25)*BQ125+(1-EXP(-LN(2)/25))/(LN(2)/25)*Calculateur!BL126*Calculateur!BN126*VLOOKUP('Données projet'!$B$11,Paramètres!$A$1:$I$89,3,0)*0.475*44/12</f>
        <v>21.126556683186827</v>
      </c>
      <c r="BR126" s="21">
        <f>EXP(-LN(2)/2)*BR125+(1-EXP(-LN(2)/2))/(LN(2)/2)*BL126*BO126*VLOOKUP('Données projet'!$B$11,Paramètres!$A$1:$I$89,3,0)*0.475*44/12</f>
        <v>0.25392612309305151</v>
      </c>
      <c r="BS126" s="22">
        <f t="shared" si="63"/>
        <v>53.467345935013221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8.9160000000000021</v>
      </c>
      <c r="BY126" s="12">
        <f>IF('Données projet'!$A$114&gt;35,BY125+BX126-CG125,IF(A126&lt;'Données projet'!$A$114,$BV$205^A126,IF(A126='Données projet'!$A$114,'Données projet'!$B$114,BY125+BX126-CG125)))</f>
        <v>442.9440000000007</v>
      </c>
      <c r="BZ126" s="13">
        <f>BY126*VLOOKUP('Données projet'!$B$12,Paramètres!$A$1:$I$89,3,0)*VLOOKUP('Données projet'!$B$12,Paramètres!$A$1:$I$89,5,0)</f>
        <v>400.77573120000062</v>
      </c>
      <c r="CA126" s="13">
        <f t="shared" si="93"/>
        <v>91.933915079444887</v>
      </c>
      <c r="CB126" s="20">
        <f t="shared" si="64"/>
        <v>858.13596727003414</v>
      </c>
      <c r="CC126" s="59">
        <f t="shared" si="65"/>
        <v>1140.8182470868849</v>
      </c>
      <c r="CD126" s="59">
        <f ca="1">AVERAGE(OFFSET($CC$3,0,0,'Données projet'!$E$12+1,1))-AVERAGE(OFFSET($H$3,0,0,'Données projet'!$E$12+1,1))</f>
        <v>681.47578137804555</v>
      </c>
      <c r="CE126" s="59">
        <f t="shared" si="94"/>
        <v>300.88511065995885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30.508820679779241</v>
      </c>
      <c r="CL126" s="21">
        <f>EXP(-LN(2)/25)*CL125+(1-EXP(-LN(2)/25))/(LN(2)/25)*Calculateur!CG126*Calculateur!CI126*VLOOKUP('Données projet'!$B$12,Paramètres!$A$1:$I$89,3,0)*0.475*44/12</f>
        <v>20.087545698767805</v>
      </c>
      <c r="CM126" s="21">
        <f>EXP(-LN(2)/2)*CM125+(1-EXP(-LN(2)/2))/(LN(2)/2)*CG126*CJ126*VLOOKUP('Données projet'!$B$12,Paramètres!$A$1:$I$89,3,0)*0.475*44/12</f>
        <v>0.24143795310486887</v>
      </c>
      <c r="CN126" s="22">
        <f t="shared" si="66"/>
        <v>50.837804331651917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-8.5265128291212022E-14</v>
      </c>
      <c r="CU126" s="17">
        <f>CT126*VLOOKUP('Données projet'!$B$13,Paramètres!$A$1:$I$89,3,0)*VLOOKUP('Données projet'!$B$13,Paramètres!$A$1:$I$89,5,0)</f>
        <v>-6.9167072069831198E-14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186.54446846714993</v>
      </c>
      <c r="CZ126" s="59">
        <f t="shared" si="96"/>
        <v>154.43773051601286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</v>
      </c>
      <c r="DG126" s="21">
        <f>EXP(-LN(2)/25)*DG125+(1-EXP(-LN(2)/25))/(LN(2)/25)*Calculateur!DB126*Calculateur!DD126*VLOOKUP('Données projet'!$B$13,Paramètres!$A$1:$I$89,3,0)*0.475*44/12</f>
        <v>6.4803873600429194</v>
      </c>
      <c r="DH126" s="21">
        <f>EXP(-LN(2)/2)*DH125+(1-EXP(-LN(2)/2))/(LN(2)/2)*DB126*DE126*VLOOKUP('Données projet'!$B$13,Paramètres!$A$1:$I$89,3,0)*0.475*44/12</f>
        <v>2.7022607884420676E-4</v>
      </c>
      <c r="DI126" s="22">
        <f t="shared" si="69"/>
        <v>6.4806575861217635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7.2033333333333331</v>
      </c>
      <c r="DO126" s="12">
        <f>IF('Données projet'!$A$166&gt;35,DO125+DN126-DW125,IF(A126&lt;'Données projet'!$A$166,$DL$205^A126,IF(A126='Données projet'!$A$166,'Données projet'!$B$166,DO125+DN126-DW125)))</f>
        <v>334.83333333333354</v>
      </c>
      <c r="DP126" s="17">
        <f>DO126*VLOOKUP('Données projet'!$B$14,Paramètres!$A$1:$I$89,3,0)*VLOOKUP('Données projet'!$B$14,Paramètres!$A$1:$I$89,5,0)</f>
        <v>381.30820000000023</v>
      </c>
      <c r="DQ126" s="13">
        <f t="shared" si="97"/>
        <v>87.976699769006217</v>
      </c>
      <c r="DR126" s="20">
        <f t="shared" si="70"/>
        <v>817.33786709768617</v>
      </c>
      <c r="DS126" s="59">
        <f t="shared" si="71"/>
        <v>1100.0201469145368</v>
      </c>
      <c r="DT126" s="59">
        <f ca="1">AVERAGE(OFFSET($DS$3,0,0,'Données projet'!$E$14+1,1))-AVERAGE(OFFSET($H$3,0,0,'Données projet'!$E$14+1,1))</f>
        <v>651.35546372812314</v>
      </c>
      <c r="DU126" s="59">
        <f t="shared" si="98"/>
        <v>293.6561676213388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18.045433690102822</v>
      </c>
      <c r="EB126" s="21">
        <f>EXP(-LN(2)/25)*EB125+(1-EXP(-LN(2)/25))/(LN(2)/25)*Calculateur!DW126*Calculateur!DY126*VLOOKUP('Données projet'!$B$14,Paramètres!$A$1:$I$89,3,0)*0.475*44/12</f>
        <v>26.730240200316633</v>
      </c>
      <c r="EC126" s="21">
        <f>EXP(-LN(2)/2)*EC125+(1-EXP(-LN(2)/2))/(LN(2)/2)*DW126*DZ126*VLOOKUP('Données projet'!$B$14,Paramètres!$A$1:$I$89,3,0)*0.475*44/12</f>
        <v>0.16313005349057957</v>
      </c>
      <c r="ED126" s="22">
        <f t="shared" si="72"/>
        <v>44.938803943910031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8.5265128291212022E-14</v>
      </c>
      <c r="EK126" s="17">
        <f>EJ126*VLOOKUP('Données projet'!$B$15,Paramètres!$A$1:$I$89,3,0)*VLOOKUP('Données projet'!$B$15,Paramètres!$A$1:$I$89,5,0)</f>
        <v>8.9119112089974823E-14</v>
      </c>
      <c r="EL126" s="13">
        <f t="shared" si="99"/>
        <v>1.3568952080113142E-12</v>
      </c>
      <c r="EM126" s="20">
        <f t="shared" si="73"/>
        <v>2.5184749408430782E-12</v>
      </c>
      <c r="EN126" s="59">
        <f t="shared" si="74"/>
        <v>282.68227981685317</v>
      </c>
      <c r="EO126" s="59">
        <f ca="1">AVERAGE(OFFSET($EN$3,0,0,'Données projet'!$E$15+1,1))-AVERAGE(OFFSET($H$3,0,0,'Données projet'!$E$15+1,1))</f>
        <v>290.69667785754848</v>
      </c>
      <c r="EP126" s="59">
        <f t="shared" si="100"/>
        <v>256.28124185489082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11.287109350257236</v>
      </c>
      <c r="EW126" s="21">
        <f>EXP(-LN(2)/25)*EW125+(1-EXP(-LN(2)/25))/(LN(2)/25)*Calculateur!ER126*Calculateur!ET126*VLOOKUP('Données projet'!$B$15,Paramètres!$A$1:$I$89,3,0)*0.475*44/12</f>
        <v>24.019007967338968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35.306117317596204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>
        <f>VLOOKUP(A127,'Données projet'!$A$35:$I$55,2,0)</f>
        <v>451.86</v>
      </c>
      <c r="L127" s="12">
        <f>VLOOKUP(A127,'Données projet'!$A$35:$I$55,9,0)</f>
        <v>8.9160000000000021</v>
      </c>
      <c r="M127" s="12">
        <f t="array" ref="M127">INDEX(L:L,MIN(IF(ISNUMBER(L127:L323),ROW(L127:L323),"")))</f>
        <v>8.9160000000000021</v>
      </c>
      <c r="N127" s="13">
        <f>IF('Données projet'!$A$36&gt;35,N126+M127-V126,IF(A127&lt;'Données projet'!$A$36,$K$205^A127,IF(A127='Données projet'!$A$36,'Données projet'!$B$36,N126+M127-V126)))</f>
        <v>451.8600000000007</v>
      </c>
      <c r="O127" s="13">
        <f>N127*VLOOKUP('Données projet'!$B$9,Paramètres!$A$1:$I$89,3,0)*VLOOKUP('Données projet'!$B$9,Paramètres!$A$1:$I$89,5,0)</f>
        <v>458.18604000000073</v>
      </c>
      <c r="P127" s="13">
        <f t="shared" si="87"/>
        <v>103.47814772253736</v>
      </c>
      <c r="Q127" s="20">
        <f t="shared" si="107"/>
        <v>978.23179361675386</v>
      </c>
      <c r="R127" s="59">
        <f t="shared" si="55"/>
        <v>1261.0988453999271</v>
      </c>
      <c r="S127" s="59">
        <f ca="1">AVERAGE(OFFSET($R$3,0,0,'Données projet'!$E$9+1,1))-AVERAGE(OFFSET($H$3,0,0,'Données projet'!$E$9+1,1))</f>
        <v>752.45542076695506</v>
      </c>
      <c r="T127" s="59">
        <f t="shared" si="88"/>
        <v>329.70629768420724</v>
      </c>
      <c r="U127" s="15">
        <f>IF(ISNA(VLOOKUP(A127,'Données projet'!$A$35:$I$55,3,0)),0,VLOOKUP(A127,'Données projet'!$A$35:$I$55,3,0))</f>
        <v>10</v>
      </c>
      <c r="V127" s="15">
        <f>IF(ISNA(VLOOKUP(A127,'Données projet'!$A$35:$I$55,4,0)),0,VLOOKUP(A127,'Données projet'!$A$35:$I$55,4,0))</f>
        <v>57.81</v>
      </c>
      <c r="W127" s="16">
        <f>IF(ISNA(VLOOKUP(A127,'Données projet'!$A$35:$I$55,5,0)),0%,VLOOKUP(A127,'Données projet'!$A$35:$I$55,5,0)*VLOOKUP('Données projet'!$B$9,Paramètres!$A$1:$I$89,7,0))</f>
        <v>0.15049999999999999</v>
      </c>
      <c r="X127" s="16">
        <f>IF(ISNA(VLOOKUP(A127,'Données projet'!$A$35:$I$55,6,0)),0%,VLOOKUP(A127,'Données projet'!$A$35:$I$55,6,0)*VLOOKUP('Données projet'!$B$9,Paramètres!$A$1:$I$89,7,0))</f>
        <v>8.6000000000000007E-2</v>
      </c>
      <c r="Y127" s="16">
        <f>IF(ISNA(VLOOKUP(A127,'Données projet'!$A$35:$I$55,7,0)),0%,VLOOKUP(A127,'Données projet'!$A$35:$I$55,7,0))</f>
        <v>0.1</v>
      </c>
      <c r="Z127" s="21">
        <f>EXP(-LN(2)/35)*Z126+(1-EXP(-LN(2)/35))/(LN(2)/35)*V127*W127*VLOOKUP('Données projet'!$B$9,Paramètres!$A$1:$I$89,3,0)*0.475*44/12</f>
        <v>43.273149223572069</v>
      </c>
      <c r="AA127" s="21">
        <f>EXP(-LN(2)/25)*AA126+(1-EXP(-LN(2)/25))/(LN(2)/25)*Calculateur!V127*Calculateur!X127*VLOOKUP('Données projet'!$B$9,Paramètres!$A$1:$I$89,3,0)*0.475*44/12</f>
        <v>27.447339737534058</v>
      </c>
      <c r="AB127" s="21">
        <f>EXP(-LN(2)/2)*AB126+(1-EXP(-LN(2)/2))/(LN(2)/2)*V127*Y127*VLOOKUP('Données projet'!$B$9,Paramètres!$A$1:$I$89,3,0)*0.475*44/12</f>
        <v>5.7222193437776019</v>
      </c>
      <c r="AC127" s="22">
        <f t="shared" si="57"/>
        <v>76.442708304883723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408.246209980743</v>
      </c>
      <c r="AO127" s="59">
        <f t="shared" si="90"/>
        <v>394.10236303013903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23.879974737035329</v>
      </c>
      <c r="AV127" s="21">
        <f>EXP(-LN(2)/25)*AV126+(1-EXP(-LN(2)/25))/(LN(2)/25)*Calculateur!AQ127*Calculateur!AS127*VLOOKUP('Données projet'!$B$10,Paramètres!$A$1:$I$89,3,0)*0.475*44/12</f>
        <v>16.638854064992703</v>
      </c>
      <c r="AW127" s="21">
        <f>EXP(-LN(2)/2)*AW126+(1-EXP(-LN(2)/2))/(LN(2)/2)*AQ127*AT127*VLOOKUP('Données projet'!$B$10,Paramètres!$A$1:$I$89,3,0)*0.475*44/12</f>
        <v>1.6341461796136289E-5</v>
      </c>
      <c r="AX127" s="21">
        <f t="shared" si="60"/>
        <v>40.518845143489827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>
        <f>VLOOKUP(A127,'Données projet'!$A$87:$I$107,2,0)</f>
        <v>451.86</v>
      </c>
      <c r="BB127" s="12">
        <f>VLOOKUP(A127,'Données projet'!$A$87:$I$107,9,0)</f>
        <v>8.9160000000000021</v>
      </c>
      <c r="BC127" s="12">
        <f t="array" ref="BC127">INDEX(BB:BB,MIN(IF(ISNUMBER(BB127:BB323),ROW(BB127:BB323),"")))</f>
        <v>8.9160000000000021</v>
      </c>
      <c r="BD127" s="12">
        <f>IF('Données projet'!$A$88&gt;35,BD126+BC127-BL126,IF(A127&lt;'Données projet'!$A$88,$BA$205^A127,IF(A127='Données projet'!$A$88,'Données projet'!$B$88,BD126+BC127-BL126)))</f>
        <v>451.8600000000007</v>
      </c>
      <c r="BE127" s="13">
        <f>BD127*VLOOKUP('Données projet'!$B$11,Paramètres!$A$1:$I$89,3,0)*VLOOKUP('Données projet'!$B$11,Paramètres!$A$1:$I$89,5,0)</f>
        <v>429.98997600000069</v>
      </c>
      <c r="BF127" s="13">
        <f t="shared" si="91"/>
        <v>97.830854405217835</v>
      </c>
      <c r="BG127" s="20">
        <f t="shared" si="61"/>
        <v>919.28794628908884</v>
      </c>
      <c r="BH127" s="59">
        <f t="shared" si="62"/>
        <v>1202.1549980722621</v>
      </c>
      <c r="BI127" s="59">
        <f ca="1">AVERAGE(OFFSET($BH$3,0,0,'Données projet'!$E$11+1,1))-AVERAGE(OFFSET($H$3,0,0,'Données projet'!$E$11+1,1))</f>
        <v>711.91538686535682</v>
      </c>
      <c r="BJ127" s="59">
        <f t="shared" si="92"/>
        <v>313.24593837351722</v>
      </c>
      <c r="BK127" s="15">
        <f>IF(ISNA(VLOOKUP(A127,'Données projet'!$A$87:$I$107,3,0)),0,VLOOKUP(A127,'Données projet'!$A$87:$I$107,3,0))</f>
        <v>10</v>
      </c>
      <c r="BL127" s="15">
        <f>IF(ISNA(VLOOKUP(A127,'Données projet'!$A$87:$I$107,4,0)),0,VLOOKUP(A127,'Données projet'!$A$87:$I$107,4,0))</f>
        <v>57.81</v>
      </c>
      <c r="BM127" s="16">
        <f>IF(ISNA(VLOOKUP(A127,'Données projet'!$A$87:$I$107,5,0)),0%,VLOOKUP(A127,'Données projet'!$A$87:$I$107,5,0)*VLOOKUP('Données projet'!$B$11,Paramètres!$A$1:$I$89,7,0))</f>
        <v>0.15049999999999999</v>
      </c>
      <c r="BN127" s="16">
        <f>IF(ISNA(VLOOKUP(A127,'Données projet'!$A$87:$I$107,6,0)),0%,VLOOKUP(A127,'Données projet'!$A$87:$I$107,6,0)*VLOOKUP('Données projet'!$B$11,Paramètres!$A$1:$I$89,7,0))</f>
        <v>8.6000000000000007E-2</v>
      </c>
      <c r="BO127" s="16">
        <f>IF(ISNA(VLOOKUP(A127,'Données projet'!$A$87:$I$107,7,0)),0%,VLOOKUP(A127,'Données projet'!$A$87:$I$107,7,0))</f>
        <v>0.1</v>
      </c>
      <c r="BP127" s="21">
        <f>EXP(-LN(2)/35)*BP126+(1-EXP(-LN(2)/35))/(LN(2)/35)*BL127*BM127*VLOOKUP('Données projet'!$B$11,Paramètres!$A$1:$I$89,3,0)*0.475*44/12</f>
        <v>40.610186194429176</v>
      </c>
      <c r="BQ127" s="21">
        <f>EXP(-LN(2)/25)*BQ126+(1-EXP(-LN(2)/25))/(LN(2)/25)*Calculateur!BL127*Calculateur!BN127*VLOOKUP('Données projet'!$B$11,Paramètres!$A$1:$I$89,3,0)*0.475*44/12</f>
        <v>25.758272676762729</v>
      </c>
      <c r="BR127" s="21">
        <f>EXP(-LN(2)/2)*BR126+(1-EXP(-LN(2)/2))/(LN(2)/2)*BL127*BO127*VLOOKUP('Données projet'!$B$11,Paramètres!$A$1:$I$89,3,0)*0.475*44/12</f>
        <v>5.3700827687759034</v>
      </c>
      <c r="BS127" s="22">
        <f t="shared" si="63"/>
        <v>71.738541639967806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>
        <f>VLOOKUP(A127,'Données projet'!$A$113:$I$133,2,0)</f>
        <v>451.86</v>
      </c>
      <c r="BW127" s="12">
        <f>VLOOKUP(A127,'Données projet'!$A$113:$I$133,9,0)</f>
        <v>8.9160000000000021</v>
      </c>
      <c r="BX127" s="12">
        <f t="array" ref="BX127">INDEX(BW:BW,MIN(IF(ISNUMBER(BW127:BW323),ROW(BW127:BW323),"")))</f>
        <v>8.9160000000000021</v>
      </c>
      <c r="BY127" s="12">
        <f>IF('Données projet'!$A$114&gt;35,BY126+BX127-CG126,IF(A127&lt;'Données projet'!$A$114,$BV$205^A127,IF(A127='Données projet'!$A$114,'Données projet'!$B$114,BY126+BX127-CG126)))</f>
        <v>451.8600000000007</v>
      </c>
      <c r="BZ127" s="13">
        <f>BY127*VLOOKUP('Données projet'!$B$12,Paramètres!$A$1:$I$89,3,0)*VLOOKUP('Données projet'!$B$12,Paramètres!$A$1:$I$89,5,0)</f>
        <v>408.84292800000065</v>
      </c>
      <c r="CA127" s="13">
        <f t="shared" si="93"/>
        <v>93.567145264891295</v>
      </c>
      <c r="CB127" s="20">
        <f t="shared" si="64"/>
        <v>875.03087760302014</v>
      </c>
      <c r="CC127" s="59">
        <f t="shared" si="65"/>
        <v>1157.8979293861935</v>
      </c>
      <c r="CD127" s="59">
        <f ca="1">AVERAGE(OFFSET($CC$3,0,0,'Données projet'!$E$12+1,1))-AVERAGE(OFFSET($H$3,0,0,'Données projet'!$E$12+1,1))</f>
        <v>681.47578137804555</v>
      </c>
      <c r="CE127" s="59">
        <f t="shared" si="94"/>
        <v>300.88511065995885</v>
      </c>
      <c r="CF127" s="15">
        <f>IF(ISNA(VLOOKUP(A127,'Données projet'!$A$113:$I$133,3,0)),0,VLOOKUP(A127,'Données projet'!$A$113:$I$133,3,0))</f>
        <v>10</v>
      </c>
      <c r="CG127" s="15">
        <f>IF(ISNA(VLOOKUP(A127,'Données projet'!$A$113:$I$133,4,0)),0,VLOOKUP(A127,'Données projet'!$A$113:$I$133,4,0))</f>
        <v>57.81</v>
      </c>
      <c r="CH127" s="16">
        <f>IF(ISNA(VLOOKUP(A127,'Données projet'!$A$113:$I$133,5,0)),0%,VLOOKUP(A127,'Données projet'!$A$113:$I$133,5,0)*VLOOKUP('Données projet'!$B$12,Paramètres!$A$1:$I$89,7,0))</f>
        <v>0.15049999999999999</v>
      </c>
      <c r="CI127" s="16">
        <f>IF(ISNA(VLOOKUP(A127,'Données projet'!$A$113:$I$133,6,0)),0%,VLOOKUP(A127,'Données projet'!$A$113:$I$133,6,0)*VLOOKUP('Données projet'!$B$12,Paramètres!$A$1:$I$89,7,0))</f>
        <v>8.6000000000000007E-2</v>
      </c>
      <c r="CJ127" s="16">
        <f>IF(ISNA(VLOOKUP(A127,'Données projet'!$A$113:$I$133,7,0)),0%,VLOOKUP(A127,'Données projet'!$A$113:$I$133,7,0))</f>
        <v>0.1</v>
      </c>
      <c r="CK127" s="21">
        <f>EXP(-LN(2)/35)*CK126+(1-EXP(-LN(2)/35))/(LN(2)/35)*CG127*CH127*VLOOKUP('Données projet'!$B$12,Paramètres!$A$1:$I$89,3,0)*0.475*44/12</f>
        <v>38.612963922572</v>
      </c>
      <c r="CL127" s="21">
        <f>EXP(-LN(2)/25)*CL126+(1-EXP(-LN(2)/25))/(LN(2)/25)*Calculateur!CG127*Calculateur!CI127*VLOOKUP('Données projet'!$B$12,Paramètres!$A$1:$I$89,3,0)*0.475*44/12</f>
        <v>24.491472381184234</v>
      </c>
      <c r="CM127" s="21">
        <f>EXP(-LN(2)/2)*CM126+(1-EXP(-LN(2)/2))/(LN(2)/2)*CG127*CJ127*VLOOKUP('Données projet'!$B$12,Paramètres!$A$1:$I$89,3,0)*0.475*44/12</f>
        <v>5.1059803375246293</v>
      </c>
      <c r="CN127" s="22">
        <f t="shared" si="66"/>
        <v>68.210416641280858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-8.5265128291212022E-14</v>
      </c>
      <c r="CU127" s="17">
        <f>CT127*VLOOKUP('Données projet'!$B$13,Paramètres!$A$1:$I$89,3,0)*VLOOKUP('Données projet'!$B$13,Paramètres!$A$1:$I$89,5,0)</f>
        <v>-6.9167072069831198E-14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186.54446846714993</v>
      </c>
      <c r="CZ127" s="59">
        <f t="shared" si="96"/>
        <v>154.43773051601286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</v>
      </c>
      <c r="DG127" s="21">
        <f>EXP(-LN(2)/25)*DG126+(1-EXP(-LN(2)/25))/(LN(2)/25)*Calculateur!DB127*Calculateur!DD127*VLOOKUP('Données projet'!$B$13,Paramètres!$A$1:$I$89,3,0)*0.475*44/12</f>
        <v>6.3031808268937857</v>
      </c>
      <c r="DH127" s="21">
        <f>EXP(-LN(2)/2)*DH126+(1-EXP(-LN(2)/2))/(LN(2)/2)*DB127*DE127*VLOOKUP('Données projet'!$B$13,Paramètres!$A$1:$I$89,3,0)*0.475*44/12</f>
        <v>1.9107869280418925E-4</v>
      </c>
      <c r="DI127" s="22">
        <f t="shared" si="69"/>
        <v>6.30337190558659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7.2033333333333331</v>
      </c>
      <c r="DO127" s="12">
        <f>IF('Données projet'!$A$166&gt;35,DO126+DN127-DW126,IF(A127&lt;'Données projet'!$A$166,$DL$205^A127,IF(A127='Données projet'!$A$166,'Données projet'!$B$166,DO126+DN127-DW126)))</f>
        <v>342.03666666666686</v>
      </c>
      <c r="DP127" s="17">
        <f>DO127*VLOOKUP('Données projet'!$B$14,Paramètres!$A$1:$I$89,3,0)*VLOOKUP('Données projet'!$B$14,Paramètres!$A$1:$I$89,5,0)</f>
        <v>389.51135600000026</v>
      </c>
      <c r="DQ127" s="13">
        <f t="shared" si="97"/>
        <v>89.646976390403154</v>
      </c>
      <c r="DR127" s="20">
        <f t="shared" si="70"/>
        <v>834.53409557995258</v>
      </c>
      <c r="DS127" s="59">
        <f t="shared" si="71"/>
        <v>1117.4011473631258</v>
      </c>
      <c r="DT127" s="59">
        <f ca="1">AVERAGE(OFFSET($DS$3,0,0,'Données projet'!$E$14+1,1))-AVERAGE(OFFSET($H$3,0,0,'Données projet'!$E$14+1,1))</f>
        <v>651.35546372812314</v>
      </c>
      <c r="DU127" s="59">
        <f t="shared" si="98"/>
        <v>293.6561676213388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17.691573742067643</v>
      </c>
      <c r="EB127" s="21">
        <f>EXP(-LN(2)/25)*EB126+(1-EXP(-LN(2)/25))/(LN(2)/25)*Calculateur!DW127*Calculateur!DY127*VLOOKUP('Données projet'!$B$14,Paramètres!$A$1:$I$89,3,0)*0.475*44/12</f>
        <v>25.999300376356736</v>
      </c>
      <c r="EC127" s="21">
        <f>EXP(-LN(2)/2)*EC126+(1-EXP(-LN(2)/2))/(LN(2)/2)*DW127*DZ127*VLOOKUP('Données projet'!$B$14,Paramètres!$A$1:$I$89,3,0)*0.475*44/12</f>
        <v>0.11535036703851305</v>
      </c>
      <c r="ED127" s="22">
        <f t="shared" si="72"/>
        <v>43.806224485462891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8.5265128291212022E-14</v>
      </c>
      <c r="EK127" s="17">
        <f>EJ127*VLOOKUP('Données projet'!$B$15,Paramètres!$A$1:$I$89,3,0)*VLOOKUP('Données projet'!$B$15,Paramètres!$A$1:$I$89,5,0)</f>
        <v>8.9119112089974823E-14</v>
      </c>
      <c r="EL127" s="13">
        <f t="shared" si="99"/>
        <v>1.3568952080113142E-12</v>
      </c>
      <c r="EM127" s="20">
        <f t="shared" si="73"/>
        <v>2.5184749408430782E-12</v>
      </c>
      <c r="EN127" s="59">
        <f t="shared" si="74"/>
        <v>282.86705178317584</v>
      </c>
      <c r="EO127" s="59">
        <f ca="1">AVERAGE(OFFSET($EN$3,0,0,'Données projet'!$E$15+1,1))-AVERAGE(OFFSET($H$3,0,0,'Données projet'!$E$15+1,1))</f>
        <v>290.69667785754848</v>
      </c>
      <c r="EP127" s="59">
        <f t="shared" si="100"/>
        <v>256.28124185489082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11.065776020355612</v>
      </c>
      <c r="EW127" s="21">
        <f>EXP(-LN(2)/25)*EW126+(1-EXP(-LN(2)/25))/(LN(2)/25)*Calculateur!ER127*Calculateur!ET127*VLOOKUP('Données projet'!$B$15,Paramètres!$A$1:$I$89,3,0)*0.475*44/12</f>
        <v>23.36220693136735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34.42798295172296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9.0229999999999961</v>
      </c>
      <c r="N128" s="13">
        <f>IF('Données projet'!$A$36&gt;35,N127+M128-V127,IF(A128&lt;'Données projet'!$A$36,$K$205^A128,IF(A128='Données projet'!$A$36,'Données projet'!$B$36,N127+M128-V127)))</f>
        <v>403.07300000000072</v>
      </c>
      <c r="O128" s="13">
        <f>N128*VLOOKUP('Données projet'!$B$9,Paramètres!$A$1:$I$89,3,0)*VLOOKUP('Données projet'!$B$9,Paramètres!$A$1:$I$89,5,0)</f>
        <v>408.71602200000075</v>
      </c>
      <c r="P128" s="13">
        <f t="shared" si="87"/>
        <v>93.541481959099485</v>
      </c>
      <c r="Q128" s="20">
        <f t="shared" si="107"/>
        <v>874.76515272876622</v>
      </c>
      <c r="R128" s="59">
        <f t="shared" si="55"/>
        <v>1157.8137710977348</v>
      </c>
      <c r="S128" s="59">
        <f ca="1">AVERAGE(OFFSET($R$3,0,0,'Données projet'!$E$9+1,1))-AVERAGE(OFFSET($H$3,0,0,'Données projet'!$E$9+1,1))</f>
        <v>752.45542076695506</v>
      </c>
      <c r="T128" s="59">
        <f t="shared" si="88"/>
        <v>329.70629768420724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42.424589161312653</v>
      </c>
      <c r="AA128" s="21">
        <f>EXP(-LN(2)/25)*AA127+(1-EXP(-LN(2)/25))/(LN(2)/25)*Calculateur!V128*Calculateur!X128*VLOOKUP('Données projet'!$B$9,Paramètres!$A$1:$I$89,3,0)*0.475*44/12</f>
        <v>26.696790789018323</v>
      </c>
      <c r="AB128" s="21">
        <f>EXP(-LN(2)/2)*AB127+(1-EXP(-LN(2)/2))/(LN(2)/2)*V128*Y128*VLOOKUP('Données projet'!$B$9,Paramètres!$A$1:$I$89,3,0)*0.475*44/12</f>
        <v>4.0462201014219783</v>
      </c>
      <c r="AC128" s="22">
        <f t="shared" si="57"/>
        <v>73.167600051752956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408.246209980743</v>
      </c>
      <c r="AO128" s="59">
        <f t="shared" si="90"/>
        <v>394.10236303013903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23.411702997788449</v>
      </c>
      <c r="AV128" s="21">
        <f>EXP(-LN(2)/25)*AV127+(1-EXP(-LN(2)/25))/(LN(2)/25)*Calculateur!AQ128*Calculateur!AS128*VLOOKUP('Données projet'!$B$10,Paramètres!$A$1:$I$89,3,0)*0.475*44/12</f>
        <v>16.183863725586171</v>
      </c>
      <c r="AW128" s="21">
        <f>EXP(-LN(2)/2)*AW127+(1-EXP(-LN(2)/2))/(LN(2)/2)*AQ128*AT128*VLOOKUP('Données projet'!$B$10,Paramètres!$A$1:$I$89,3,0)*0.475*44/12</f>
        <v>1.1555158450548869E-5</v>
      </c>
      <c r="AX128" s="21">
        <f t="shared" si="60"/>
        <v>39.595578278533068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9.0229999999999961</v>
      </c>
      <c r="BD128" s="12">
        <f>IF('Données projet'!$A$88&gt;35,BD127+BC128-BL127,IF(A128&lt;'Données projet'!$A$88,$BA$205^A128,IF(A128='Données projet'!$A$88,'Données projet'!$B$88,BD127+BC128-BL127)))</f>
        <v>403.07300000000072</v>
      </c>
      <c r="BE128" s="13">
        <f>BD128*VLOOKUP('Données projet'!$B$11,Paramètres!$A$1:$I$89,3,0)*VLOOKUP('Données projet'!$B$11,Paramètres!$A$1:$I$89,5,0)</f>
        <v>383.56426680000067</v>
      </c>
      <c r="BF128" s="13">
        <f t="shared" si="91"/>
        <v>88.436479622024081</v>
      </c>
      <c r="BG128" s="20">
        <f t="shared" si="61"/>
        <v>822.06796668502648</v>
      </c>
      <c r="BH128" s="59">
        <f t="shared" si="62"/>
        <v>1105.1165850539951</v>
      </c>
      <c r="BI128" s="59">
        <f ca="1">AVERAGE(OFFSET($BH$3,0,0,'Données projet'!$E$11+1,1))-AVERAGE(OFFSET($H$3,0,0,'Données projet'!$E$11+1,1))</f>
        <v>711.91538686535682</v>
      </c>
      <c r="BJ128" s="59">
        <f t="shared" si="92"/>
        <v>313.24593837351722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39.813845212924186</v>
      </c>
      <c r="BQ128" s="21">
        <f>EXP(-LN(2)/25)*BQ127+(1-EXP(-LN(2)/25))/(LN(2)/25)*Calculateur!BL128*Calculateur!BN128*VLOOKUP('Données projet'!$B$11,Paramètres!$A$1:$I$89,3,0)*0.475*44/12</f>
        <v>25.053911355847962</v>
      </c>
      <c r="BR128" s="21">
        <f>EXP(-LN(2)/2)*BR127+(1-EXP(-LN(2)/2))/(LN(2)/2)*BL128*BO128*VLOOKUP('Données projet'!$B$11,Paramètres!$A$1:$I$89,3,0)*0.475*44/12</f>
        <v>3.7972219413344721</v>
      </c>
      <c r="BS128" s="22">
        <f t="shared" si="63"/>
        <v>68.664978510106621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9.0229999999999961</v>
      </c>
      <c r="BY128" s="12">
        <f>IF('Données projet'!$A$114&gt;35,BY127+BX128-CG127,IF(A128&lt;'Données projet'!$A$114,$BV$205^A128,IF(A128='Données projet'!$A$114,'Données projet'!$B$114,BY127+BX128-CG127)))</f>
        <v>403.07300000000072</v>
      </c>
      <c r="BZ128" s="13">
        <f>BY128*VLOOKUP('Données projet'!$B$12,Paramètres!$A$1:$I$89,3,0)*VLOOKUP('Données projet'!$B$12,Paramètres!$A$1:$I$89,5,0)</f>
        <v>364.70045040000065</v>
      </c>
      <c r="CA128" s="13">
        <f t="shared" si="93"/>
        <v>84.582200429685614</v>
      </c>
      <c r="CB128" s="20">
        <f t="shared" si="64"/>
        <v>782.50061686170341</v>
      </c>
      <c r="CC128" s="59">
        <f t="shared" si="65"/>
        <v>1065.5492352306719</v>
      </c>
      <c r="CD128" s="59">
        <f ca="1">AVERAGE(OFFSET($CC$3,0,0,'Données projet'!$E$12+1,1))-AVERAGE(OFFSET($H$3,0,0,'Données projet'!$E$12+1,1))</f>
        <v>681.47578137804555</v>
      </c>
      <c r="CE128" s="59">
        <f t="shared" si="94"/>
        <v>300.88511065995885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37.855787251632833</v>
      </c>
      <c r="CL128" s="21">
        <f>EXP(-LN(2)/25)*CL127+(1-EXP(-LN(2)/25))/(LN(2)/25)*Calculateur!CG128*Calculateur!CI128*VLOOKUP('Données projet'!$B$12,Paramètres!$A$1:$I$89,3,0)*0.475*44/12</f>
        <v>23.821751780970196</v>
      </c>
      <c r="CM128" s="21">
        <f>EXP(-LN(2)/2)*CM127+(1-EXP(-LN(2)/2))/(LN(2)/2)*CG128*CJ128*VLOOKUP('Données projet'!$B$12,Paramètres!$A$1:$I$89,3,0)*0.475*44/12</f>
        <v>3.6104733212688425</v>
      </c>
      <c r="CN128" s="22">
        <f t="shared" si="66"/>
        <v>65.288012353871878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-8.5265128291212022E-14</v>
      </c>
      <c r="CU128" s="17">
        <f>CT128*VLOOKUP('Données projet'!$B$13,Paramètres!$A$1:$I$89,3,0)*VLOOKUP('Données projet'!$B$13,Paramètres!$A$1:$I$89,5,0)</f>
        <v>-6.9167072069831198E-14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186.54446846714993</v>
      </c>
      <c r="CZ128" s="59">
        <f t="shared" si="96"/>
        <v>154.43773051601286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</v>
      </c>
      <c r="DG128" s="21">
        <f>EXP(-LN(2)/25)*DG127+(1-EXP(-LN(2)/25))/(LN(2)/25)*Calculateur!DB128*Calculateur!DD128*VLOOKUP('Données projet'!$B$13,Paramètres!$A$1:$I$89,3,0)*0.475*44/12</f>
        <v>6.1308200157125015</v>
      </c>
      <c r="DH128" s="21">
        <f>EXP(-LN(2)/2)*DH127+(1-EXP(-LN(2)/2))/(LN(2)/2)*DB128*DE128*VLOOKUP('Données projet'!$B$13,Paramètres!$A$1:$I$89,3,0)*0.475*44/12</f>
        <v>1.3511303942210338E-4</v>
      </c>
      <c r="DI128" s="22">
        <f t="shared" si="69"/>
        <v>6.1309551287519239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>
        <f>VLOOKUP(A128,'Données projet'!$A$165:$I$185,2,0)</f>
        <v>349.24</v>
      </c>
      <c r="DM128" s="12">
        <f>VLOOKUP(A128,'Données projet'!$A$165:$I$185,9,0)</f>
        <v>7.2033333333333331</v>
      </c>
      <c r="DN128" s="12">
        <f t="array" ref="DN128">INDEX(DM:DM,MIN(IF(ISNUMBER(DM128:DM324),ROW(DM128:DM324),"")))</f>
        <v>7.2033333333333331</v>
      </c>
      <c r="DO128" s="12">
        <f>IF('Données projet'!$A$166&gt;35,DO127+DN128-DW127,IF(A128&lt;'Données projet'!$A$166,$DL$205^A128,IF(A128='Données projet'!$A$166,'Données projet'!$B$166,DO127+DN128-DW127)))</f>
        <v>349.24000000000018</v>
      </c>
      <c r="DP128" s="17">
        <f>DO128*VLOOKUP('Données projet'!$B$14,Paramètres!$A$1:$I$89,3,0)*VLOOKUP('Données projet'!$B$14,Paramètres!$A$1:$I$89,5,0)</f>
        <v>397.71451200000018</v>
      </c>
      <c r="DQ128" s="13">
        <f t="shared" si="97"/>
        <v>91.313163194012745</v>
      </c>
      <c r="DR128" s="20">
        <f t="shared" si="70"/>
        <v>851.72320096290593</v>
      </c>
      <c r="DS128" s="59">
        <f t="shared" si="71"/>
        <v>1134.7718193318744</v>
      </c>
      <c r="DT128" s="59">
        <f ca="1">AVERAGE(OFFSET($DS$3,0,0,'Données projet'!$E$14+1,1))-AVERAGE(OFFSET($H$3,0,0,'Données projet'!$E$14+1,1))</f>
        <v>651.35546372812314</v>
      </c>
      <c r="DU128" s="59">
        <f t="shared" si="98"/>
        <v>293.6561676213388</v>
      </c>
      <c r="DV128" s="15">
        <f>IF(ISNA(VLOOKUP(A128,'Données projet'!$A$165:$I$185,3,0)),0,VLOOKUP(A128,'Données projet'!$A$165:$I$185,3,0))</f>
        <v>9</v>
      </c>
      <c r="DW128" s="15">
        <f>IF(ISNA(VLOOKUP(A128,'Données projet'!$A$165:$I$185,4,0)),0,VLOOKUP(A128,'Données projet'!$A$165:$I$185,4,0))</f>
        <v>60.19</v>
      </c>
      <c r="DX128" s="16">
        <f>IF(ISNA(VLOOKUP(A128,'Données projet'!$A$165:$I$185,5,0)),0%,VLOOKUP(A128,'Données projet'!$A$165:$I$185,5,0)*VLOOKUP('Données projet'!$B$14,Paramètres!$A$1:$I$89,7,0))</f>
        <v>0.15049999999999999</v>
      </c>
      <c r="DY128" s="16">
        <f>IF(ISNA(VLOOKUP(A128,'Données projet'!$A$165:$I$185,6,0)),0%,VLOOKUP(A128,'Données projet'!$A$165:$I$185,6,0)*VLOOKUP('Données projet'!$B$14,Paramètres!$A$1:$I$89,7,0))</f>
        <v>8.6000000000000007E-2</v>
      </c>
      <c r="DZ128" s="16">
        <f>IF(ISNA(VLOOKUP(A128,'Données projet'!$A$165:$I$185,7,0)),0%,VLOOKUP(A128,'Données projet'!$A$165:$I$185,7,0))</f>
        <v>0.1</v>
      </c>
      <c r="EA128" s="21">
        <f>EXP(-LN(2)/35)*EA127+(1-EXP(-LN(2)/35))/(LN(2)/35)*DW128*DX128*VLOOKUP('Données projet'!$B$14,Paramètres!$A$1:$I$89,3,0)*0.475*44/12</f>
        <v>28.74860559769818</v>
      </c>
      <c r="EB128" s="21">
        <f>EXP(-LN(2)/25)*EB127+(1-EXP(-LN(2)/25))/(LN(2)/25)*Calculateur!DW128*Calculateur!DY128*VLOOKUP('Données projet'!$B$14,Paramètres!$A$1:$I$89,3,0)*0.475*44/12</f>
        <v>31.779234493690435</v>
      </c>
      <c r="EC128" s="21">
        <f>EXP(-LN(2)/2)*EC127+(1-EXP(-LN(2)/2))/(LN(2)/2)*DW128*DZ128*VLOOKUP('Données projet'!$B$14,Paramètres!$A$1:$I$89,3,0)*0.475*44/12</f>
        <v>6.5489110094176857</v>
      </c>
      <c r="ED128" s="22">
        <f t="shared" si="72"/>
        <v>67.076751100806291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8.5265128291212022E-14</v>
      </c>
      <c r="EK128" s="17">
        <f>EJ128*VLOOKUP('Données projet'!$B$15,Paramètres!$A$1:$I$89,3,0)*VLOOKUP('Données projet'!$B$15,Paramètres!$A$1:$I$89,5,0)</f>
        <v>8.9119112089974823E-14</v>
      </c>
      <c r="EL128" s="13">
        <f t="shared" si="99"/>
        <v>1.3568952080113142E-12</v>
      </c>
      <c r="EM128" s="20">
        <f t="shared" si="73"/>
        <v>2.5184749408430782E-12</v>
      </c>
      <c r="EN128" s="59">
        <f t="shared" si="74"/>
        <v>283.04861836897101</v>
      </c>
      <c r="EO128" s="59">
        <f ca="1">AVERAGE(OFFSET($EN$3,0,0,'Données projet'!$E$15+1,1))-AVERAGE(OFFSET($H$3,0,0,'Données projet'!$E$15+1,1))</f>
        <v>290.69667785754848</v>
      </c>
      <c r="EP128" s="59">
        <f t="shared" si="100"/>
        <v>256.28124185489082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10.848782902053358</v>
      </c>
      <c r="EW128" s="21">
        <f>EXP(-LN(2)/25)*EW127+(1-EXP(-LN(2)/25))/(LN(2)/25)*Calculateur!ER128*Calculateur!ET128*VLOOKUP('Données projet'!$B$15,Paramètres!$A$1:$I$89,3,0)*0.475*44/12</f>
        <v>22.723366154264042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33.5721490563174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9.0229999999999961</v>
      </c>
      <c r="N129" s="13">
        <f>IF('Données projet'!$A$36&gt;35,N128+M129-V128,IF(A129&lt;'Données projet'!$A$36,$K$205^A129,IF(A129='Données projet'!$A$36,'Données projet'!$B$36,N128+M129-V128)))</f>
        <v>412.09600000000069</v>
      </c>
      <c r="O129" s="13">
        <f>N129*VLOOKUP('Données projet'!$B$9,Paramètres!$A$1:$I$89,3,0)*VLOOKUP('Données projet'!$B$9,Paramètres!$A$1:$I$89,5,0)</f>
        <v>417.86534400000068</v>
      </c>
      <c r="P129" s="13">
        <f t="shared" si="87"/>
        <v>95.389327572593899</v>
      </c>
      <c r="Q129" s="20">
        <f t="shared" si="107"/>
        <v>893.91855298893552</v>
      </c>
      <c r="R129" s="59">
        <f t="shared" si="55"/>
        <v>1177.1455881693578</v>
      </c>
      <c r="S129" s="59">
        <f ca="1">AVERAGE(OFFSET($R$3,0,0,'Données projet'!$E$9+1,1))-AVERAGE(OFFSET($H$3,0,0,'Données projet'!$E$9+1,1))</f>
        <v>752.45542076695506</v>
      </c>
      <c r="T129" s="59">
        <f t="shared" si="88"/>
        <v>329.70629768420724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41.592668844303617</v>
      </c>
      <c r="AA129" s="21">
        <f>EXP(-LN(2)/25)*AA128+(1-EXP(-LN(2)/25))/(LN(2)/25)*Calculateur!V129*Calculateur!X129*VLOOKUP('Données projet'!$B$9,Paramètres!$A$1:$I$89,3,0)*0.475*44/12</f>
        <v>25.966765640969406</v>
      </c>
      <c r="AB129" s="21">
        <f>EXP(-LN(2)/2)*AB128+(1-EXP(-LN(2)/2))/(LN(2)/2)*V129*Y129*VLOOKUP('Données projet'!$B$9,Paramètres!$A$1:$I$89,3,0)*0.475*44/12</f>
        <v>2.8611096718888009</v>
      </c>
      <c r="AC129" s="22">
        <f t="shared" si="57"/>
        <v>70.420544157161814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408.246209980743</v>
      </c>
      <c r="AO129" s="59">
        <f t="shared" si="90"/>
        <v>394.10236303013903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22.952613781730641</v>
      </c>
      <c r="AV129" s="21">
        <f>EXP(-LN(2)/25)*AV128+(1-EXP(-LN(2)/25))/(LN(2)/25)*Calculateur!AQ129*Calculateur!AS129*VLOOKUP('Données projet'!$B$10,Paramètres!$A$1:$I$89,3,0)*0.475*44/12</f>
        <v>15.741315120937612</v>
      </c>
      <c r="AW129" s="21">
        <f>EXP(-LN(2)/2)*AW128+(1-EXP(-LN(2)/2))/(LN(2)/2)*AQ129*AT129*VLOOKUP('Données projet'!$B$10,Paramètres!$A$1:$I$89,3,0)*0.475*44/12</f>
        <v>8.1707308980681443E-6</v>
      </c>
      <c r="AX129" s="21">
        <f t="shared" si="60"/>
        <v>38.693937073399155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9.0229999999999961</v>
      </c>
      <c r="BD129" s="12">
        <f>IF('Données projet'!$A$88&gt;35,BD128+BC129-BL128,IF(A129&lt;'Données projet'!$A$88,$BA$205^A129,IF(A129='Données projet'!$A$88,'Données projet'!$B$88,BD128+BC129-BL128)))</f>
        <v>412.09600000000069</v>
      </c>
      <c r="BE129" s="13">
        <f>BD129*VLOOKUP('Données projet'!$B$11,Paramètres!$A$1:$I$89,3,0)*VLOOKUP('Données projet'!$B$11,Paramètres!$A$1:$I$89,5,0)</f>
        <v>392.15055360000065</v>
      </c>
      <c r="BF129" s="13">
        <f t="shared" si="91"/>
        <v>90.183479536071829</v>
      </c>
      <c r="BG129" s="20">
        <f t="shared" si="61"/>
        <v>840.06510771199294</v>
      </c>
      <c r="BH129" s="59">
        <f t="shared" si="62"/>
        <v>1123.2921428924151</v>
      </c>
      <c r="BI129" s="59">
        <f ca="1">AVERAGE(OFFSET($BH$3,0,0,'Données projet'!$E$11+1,1))-AVERAGE(OFFSET($H$3,0,0,'Données projet'!$E$11+1,1))</f>
        <v>711.91538686535682</v>
      </c>
      <c r="BJ129" s="59">
        <f t="shared" si="92"/>
        <v>313.24593837351722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39.033119992346471</v>
      </c>
      <c r="BQ129" s="21">
        <f>EXP(-LN(2)/25)*BQ128+(1-EXP(-LN(2)/25))/(LN(2)/25)*Calculateur!BL129*Calculateur!BN129*VLOOKUP('Données projet'!$B$11,Paramètres!$A$1:$I$89,3,0)*0.475*44/12</f>
        <v>24.368810832294361</v>
      </c>
      <c r="BR129" s="21">
        <f>EXP(-LN(2)/2)*BR128+(1-EXP(-LN(2)/2))/(LN(2)/2)*BL129*BO129*VLOOKUP('Données projet'!$B$11,Paramètres!$A$1:$I$89,3,0)*0.475*44/12</f>
        <v>2.6850413843879521</v>
      </c>
      <c r="BS129" s="22">
        <f t="shared" si="63"/>
        <v>66.086972209028787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9.0229999999999961</v>
      </c>
      <c r="BY129" s="12">
        <f>IF('Données projet'!$A$114&gt;35,BY128+BX129-CG128,IF(A129&lt;'Données projet'!$A$114,$BV$205^A129,IF(A129='Données projet'!$A$114,'Données projet'!$B$114,BY128+BX129-CG128)))</f>
        <v>412.09600000000069</v>
      </c>
      <c r="BZ129" s="13">
        <f>BY129*VLOOKUP('Données projet'!$B$12,Paramètres!$A$1:$I$89,3,0)*VLOOKUP('Données projet'!$B$12,Paramètres!$A$1:$I$89,5,0)</f>
        <v>372.86446080000059</v>
      </c>
      <c r="CA129" s="13">
        <f t="shared" si="93"/>
        <v>86.253061792690659</v>
      </c>
      <c r="CB129" s="20">
        <f t="shared" si="64"/>
        <v>799.62968518227046</v>
      </c>
      <c r="CC129" s="59">
        <f t="shared" si="65"/>
        <v>1082.8567203626926</v>
      </c>
      <c r="CD129" s="59">
        <f ca="1">AVERAGE(OFFSET($CC$3,0,0,'Données projet'!$E$12+1,1))-AVERAGE(OFFSET($H$3,0,0,'Données projet'!$E$12+1,1))</f>
        <v>681.47578137804555</v>
      </c>
      <c r="CE129" s="59">
        <f t="shared" si="94"/>
        <v>300.88511065995885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37.113458353378611</v>
      </c>
      <c r="CL129" s="21">
        <f>EXP(-LN(2)/25)*CL128+(1-EXP(-LN(2)/25))/(LN(2)/25)*Calculateur!CG129*Calculateur!CI129*VLOOKUP('Données projet'!$B$12,Paramètres!$A$1:$I$89,3,0)*0.475*44/12</f>
        <v>23.170344725788084</v>
      </c>
      <c r="CM129" s="21">
        <f>EXP(-LN(2)/2)*CM128+(1-EXP(-LN(2)/2))/(LN(2)/2)*CG129*CJ129*VLOOKUP('Données projet'!$B$12,Paramètres!$A$1:$I$89,3,0)*0.475*44/12</f>
        <v>2.5529901687623151</v>
      </c>
      <c r="CN129" s="22">
        <f t="shared" si="66"/>
        <v>62.836793247929009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-8.5265128291212022E-14</v>
      </c>
      <c r="CU129" s="17">
        <f>CT129*VLOOKUP('Données projet'!$B$13,Paramètres!$A$1:$I$89,3,0)*VLOOKUP('Données projet'!$B$13,Paramètres!$A$1:$I$89,5,0)</f>
        <v>-6.9167072069831198E-14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186.54446846714993</v>
      </c>
      <c r="CZ129" s="59">
        <f t="shared" si="96"/>
        <v>154.43773051601286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</v>
      </c>
      <c r="DG129" s="21">
        <f>EXP(-LN(2)/25)*DG128+(1-EXP(-LN(2)/25))/(LN(2)/25)*Calculateur!DB129*Calculateur!DD129*VLOOKUP('Données projet'!$B$13,Paramètres!$A$1:$I$89,3,0)*0.475*44/12</f>
        <v>5.9631724199770311</v>
      </c>
      <c r="DH129" s="21">
        <f>EXP(-LN(2)/2)*DH128+(1-EXP(-LN(2)/2))/(LN(2)/2)*DB129*DE129*VLOOKUP('Données projet'!$B$13,Paramètres!$A$1:$I$89,3,0)*0.475*44/12</f>
        <v>9.5539346402094625E-5</v>
      </c>
      <c r="DI129" s="22">
        <f t="shared" si="69"/>
        <v>5.9632679593234332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7.3924999999999983</v>
      </c>
      <c r="DO129" s="12">
        <f>IF('Données projet'!$A$166&gt;35,DO128+DN129-DW128,IF(A129&lt;'Données projet'!$A$166,$DL$205^A129,IF(A129='Données projet'!$A$166,'Données projet'!$B$166,DO128+DN129-DW128)))</f>
        <v>296.44250000000017</v>
      </c>
      <c r="DP129" s="17">
        <f>DO129*VLOOKUP('Données projet'!$B$14,Paramètres!$A$1:$I$89,3,0)*VLOOKUP('Données projet'!$B$14,Paramètres!$A$1:$I$89,5,0)</f>
        <v>337.5887190000002</v>
      </c>
      <c r="DQ129" s="13">
        <f t="shared" si="97"/>
        <v>79.001554327286058</v>
      </c>
      <c r="DR129" s="20">
        <f t="shared" si="70"/>
        <v>725.56139271169013</v>
      </c>
      <c r="DS129" s="59">
        <f t="shared" si="71"/>
        <v>1008.7884278921124</v>
      </c>
      <c r="DT129" s="59">
        <f ca="1">AVERAGE(OFFSET($DS$3,0,0,'Données projet'!$E$14+1,1))-AVERAGE(OFFSET($H$3,0,0,'Données projet'!$E$14+1,1))</f>
        <v>651.35546372812314</v>
      </c>
      <c r="DU129" s="59">
        <f t="shared" si="98"/>
        <v>293.6561676213388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28.184862976845306</v>
      </c>
      <c r="EB129" s="21">
        <f>EXP(-LN(2)/25)*EB128+(1-EXP(-LN(2)/25))/(LN(2)/25)*Calculateur!DW129*Calculateur!DY129*VLOOKUP('Données projet'!$B$14,Paramètres!$A$1:$I$89,3,0)*0.475*44/12</f>
        <v>30.910229655263162</v>
      </c>
      <c r="EC129" s="21">
        <f>EXP(-LN(2)/2)*EC128+(1-EXP(-LN(2)/2))/(LN(2)/2)*DW129*DZ129*VLOOKUP('Données projet'!$B$14,Paramètres!$A$1:$I$89,3,0)*0.475*44/12</f>
        <v>4.6307793841464839</v>
      </c>
      <c r="ED129" s="22">
        <f t="shared" si="72"/>
        <v>63.725872016254954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8.5265128291212022E-14</v>
      </c>
      <c r="EK129" s="17">
        <f>EJ129*VLOOKUP('Données projet'!$B$15,Paramètres!$A$1:$I$89,3,0)*VLOOKUP('Données projet'!$B$15,Paramètres!$A$1:$I$89,5,0)</f>
        <v>8.9119112089974823E-14</v>
      </c>
      <c r="EL129" s="13">
        <f t="shared" si="99"/>
        <v>1.3568952080113142E-12</v>
      </c>
      <c r="EM129" s="20">
        <f t="shared" si="73"/>
        <v>2.5184749408430782E-12</v>
      </c>
      <c r="EN129" s="59">
        <f t="shared" si="74"/>
        <v>283.22703518042471</v>
      </c>
      <c r="EO129" s="59">
        <f ca="1">AVERAGE(OFFSET($EN$3,0,0,'Données projet'!$E$15+1,1))-AVERAGE(OFFSET($H$3,0,0,'Données projet'!$E$15+1,1))</f>
        <v>290.69667785754848</v>
      </c>
      <c r="EP129" s="59">
        <f t="shared" si="100"/>
        <v>256.28124185489082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10.636044886448277</v>
      </c>
      <c r="EW129" s="21">
        <f>EXP(-LN(2)/25)*EW128+(1-EXP(-LN(2)/25))/(LN(2)/25)*Calculateur!ER129*Calculateur!ET129*VLOOKUP('Données projet'!$B$15,Paramètres!$A$1:$I$89,3,0)*0.475*44/12</f>
        <v>22.101994511805799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32.738039398254074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9.0229999999999961</v>
      </c>
      <c r="N130" s="13">
        <f>IF('Données projet'!$A$36&gt;35,N129+M130-V129,IF(A130&lt;'Données projet'!$A$36,$K$205^A130,IF(A130='Données projet'!$A$36,'Données projet'!$B$36,N129+M130-V129)))</f>
        <v>421.11900000000071</v>
      </c>
      <c r="O130" s="13">
        <f>N130*VLOOKUP('Données projet'!$B$9,Paramètres!$A$1:$I$89,3,0)*VLOOKUP('Données projet'!$B$9,Paramètres!$A$1:$I$89,5,0)</f>
        <v>427.01466600000072</v>
      </c>
      <c r="P130" s="13">
        <f t="shared" si="87"/>
        <v>97.232469323868258</v>
      </c>
      <c r="Q130" s="20">
        <f t="shared" si="107"/>
        <v>913.06376068907173</v>
      </c>
      <c r="R130" s="59">
        <f t="shared" si="55"/>
        <v>1196.4661175481492</v>
      </c>
      <c r="S130" s="59">
        <f ca="1">AVERAGE(OFFSET($R$3,0,0,'Données projet'!$E$9+1,1))-AVERAGE(OFFSET($H$3,0,0,'Données projet'!$E$9+1,1))</f>
        <v>752.45542076695506</v>
      </c>
      <c r="T130" s="59">
        <f t="shared" si="88"/>
        <v>329.70629768420724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40.777061977289833</v>
      </c>
      <c r="AA130" s="21">
        <f>EXP(-LN(2)/25)*AA129+(1-EXP(-LN(2)/25))/(LN(2)/25)*Calculateur!V130*Calculateur!X130*VLOOKUP('Données projet'!$B$9,Paramètres!$A$1:$I$89,3,0)*0.475*44/12</f>
        <v>25.25670306898424</v>
      </c>
      <c r="AB130" s="21">
        <f>EXP(-LN(2)/2)*AB129+(1-EXP(-LN(2)/2))/(LN(2)/2)*V130*Y130*VLOOKUP('Données projet'!$B$9,Paramètres!$A$1:$I$89,3,0)*0.475*44/12</f>
        <v>2.0231100507109891</v>
      </c>
      <c r="AC130" s="22">
        <f t="shared" si="57"/>
        <v>68.056875096985053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408.246209980743</v>
      </c>
      <c r="AO130" s="59">
        <f t="shared" si="90"/>
        <v>394.10236303013903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22.502527025182953</v>
      </c>
      <c r="AV130" s="21">
        <f>EXP(-LN(2)/25)*AV129+(1-EXP(-LN(2)/25))/(LN(2)/25)*Calculateur!AQ130*Calculateur!AS130*VLOOKUP('Données projet'!$B$10,Paramètres!$A$1:$I$89,3,0)*0.475*44/12</f>
        <v>15.310868031155788</v>
      </c>
      <c r="AW130" s="21">
        <f>EXP(-LN(2)/2)*AW129+(1-EXP(-LN(2)/2))/(LN(2)/2)*AQ130*AT130*VLOOKUP('Données projet'!$B$10,Paramètres!$A$1:$I$89,3,0)*0.475*44/12</f>
        <v>5.7775792252744343E-6</v>
      </c>
      <c r="AX130" s="21">
        <f t="shared" si="60"/>
        <v>37.813400833917967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9.0229999999999961</v>
      </c>
      <c r="BD130" s="12">
        <f>IF('Données projet'!$A$88&gt;35,BD129+BC130-BL129,IF(A130&lt;'Données projet'!$A$88,$BA$205^A130,IF(A130='Données projet'!$A$88,'Données projet'!$B$88,BD129+BC130-BL129)))</f>
        <v>421.11900000000071</v>
      </c>
      <c r="BE130" s="13">
        <f>BD130*VLOOKUP('Données projet'!$B$11,Paramètres!$A$1:$I$89,3,0)*VLOOKUP('Données projet'!$B$11,Paramètres!$A$1:$I$89,5,0)</f>
        <v>400.73684040000069</v>
      </c>
      <c r="BF130" s="13">
        <f t="shared" si="91"/>
        <v>91.92603229997124</v>
      </c>
      <c r="BG130" s="20">
        <f t="shared" si="61"/>
        <v>858.05450328578445</v>
      </c>
      <c r="BH130" s="59">
        <f t="shared" si="62"/>
        <v>1141.4568601448618</v>
      </c>
      <c r="BI130" s="59">
        <f ca="1">AVERAGE(OFFSET($BH$3,0,0,'Données projet'!$E$11+1,1))-AVERAGE(OFFSET($H$3,0,0,'Données projet'!$E$11+1,1))</f>
        <v>711.91538686535682</v>
      </c>
      <c r="BJ130" s="59">
        <f t="shared" si="92"/>
        <v>313.24593837351722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38.267704317148919</v>
      </c>
      <c r="BQ130" s="21">
        <f>EXP(-LN(2)/25)*BQ129+(1-EXP(-LN(2)/25))/(LN(2)/25)*Calculateur!BL130*Calculateur!BN130*VLOOKUP('Données projet'!$B$11,Paramètres!$A$1:$I$89,3,0)*0.475*44/12</f>
        <v>23.702444418585205</v>
      </c>
      <c r="BR130" s="21">
        <f>EXP(-LN(2)/2)*BR129+(1-EXP(-LN(2)/2))/(LN(2)/2)*BL130*BO130*VLOOKUP('Données projet'!$B$11,Paramètres!$A$1:$I$89,3,0)*0.475*44/12</f>
        <v>1.8986109706672365</v>
      </c>
      <c r="BS130" s="22">
        <f t="shared" si="63"/>
        <v>63.868759706401363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9.0229999999999961</v>
      </c>
      <c r="BY130" s="12">
        <f>IF('Données projet'!$A$114&gt;35,BY129+BX130-CG129,IF(A130&lt;'Données projet'!$A$114,$BV$205^A130,IF(A130='Données projet'!$A$114,'Données projet'!$B$114,BY129+BX130-CG129)))</f>
        <v>421.11900000000071</v>
      </c>
      <c r="BZ130" s="13">
        <f>BY130*VLOOKUP('Données projet'!$B$12,Paramètres!$A$1:$I$89,3,0)*VLOOKUP('Données projet'!$B$12,Paramètres!$A$1:$I$89,5,0)</f>
        <v>381.02847120000064</v>
      </c>
      <c r="CA130" s="13">
        <f t="shared" si="93"/>
        <v>87.919669823283783</v>
      </c>
      <c r="CB130" s="20">
        <f t="shared" si="64"/>
        <v>816.75134561555353</v>
      </c>
      <c r="CC130" s="59">
        <f t="shared" si="65"/>
        <v>1100.153702474631</v>
      </c>
      <c r="CD130" s="59">
        <f ca="1">AVERAGE(OFFSET($CC$3,0,0,'Données projet'!$E$12+1,1))-AVERAGE(OFFSET($H$3,0,0,'Données projet'!$E$12+1,1))</f>
        <v>681.47578137804555</v>
      </c>
      <c r="CE130" s="59">
        <f t="shared" si="94"/>
        <v>300.88511065995885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36.385686072043235</v>
      </c>
      <c r="CL130" s="21">
        <f>EXP(-LN(2)/25)*CL129+(1-EXP(-LN(2)/25))/(LN(2)/25)*Calculateur!CG130*Calculateur!CI130*VLOOKUP('Données projet'!$B$12,Paramètres!$A$1:$I$89,3,0)*0.475*44/12</f>
        <v>22.536750430785936</v>
      </c>
      <c r="CM130" s="21">
        <f>EXP(-LN(2)/2)*CM129+(1-EXP(-LN(2)/2))/(LN(2)/2)*CG130*CJ130*VLOOKUP('Données projet'!$B$12,Paramètres!$A$1:$I$89,3,0)*0.475*44/12</f>
        <v>1.8052366606344215</v>
      </c>
      <c r="CN130" s="22">
        <f t="shared" si="66"/>
        <v>60.727673163463592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-8.5265128291212022E-14</v>
      </c>
      <c r="CU130" s="17">
        <f>CT130*VLOOKUP('Données projet'!$B$13,Paramètres!$A$1:$I$89,3,0)*VLOOKUP('Données projet'!$B$13,Paramètres!$A$1:$I$89,5,0)</f>
        <v>-6.9167072069831198E-14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186.54446846714993</v>
      </c>
      <c r="CZ130" s="59">
        <f t="shared" si="96"/>
        <v>154.43773051601286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</v>
      </c>
      <c r="DG130" s="21">
        <f>EXP(-LN(2)/25)*DG129+(1-EXP(-LN(2)/25))/(LN(2)/25)*Calculateur!DB130*Calculateur!DD130*VLOOKUP('Données projet'!$B$13,Paramètres!$A$1:$I$89,3,0)*0.475*44/12</f>
        <v>5.8001091565631508</v>
      </c>
      <c r="DH130" s="21">
        <f>EXP(-LN(2)/2)*DH129+(1-EXP(-LN(2)/2))/(LN(2)/2)*DB130*DE130*VLOOKUP('Données projet'!$B$13,Paramètres!$A$1:$I$89,3,0)*0.475*44/12</f>
        <v>6.7556519711051689E-5</v>
      </c>
      <c r="DI130" s="22">
        <f t="shared" si="69"/>
        <v>5.8001767130828616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7.3924999999999983</v>
      </c>
      <c r="DO130" s="12">
        <f>IF('Données projet'!$A$166&gt;35,DO129+DN130-DW129,IF(A130&lt;'Données projet'!$A$166,$DL$205^A130,IF(A130='Données projet'!$A$166,'Données projet'!$B$166,DO129+DN130-DW129)))</f>
        <v>303.83500000000015</v>
      </c>
      <c r="DP130" s="17">
        <f>DO130*VLOOKUP('Données projet'!$B$14,Paramètres!$A$1:$I$89,3,0)*VLOOKUP('Données projet'!$B$14,Paramètres!$A$1:$I$89,5,0)</f>
        <v>346.00729800000016</v>
      </c>
      <c r="DQ130" s="13">
        <f t="shared" si="97"/>
        <v>80.739824256654074</v>
      </c>
      <c r="DR130" s="20">
        <f t="shared" si="70"/>
        <v>743.25123793033947</v>
      </c>
      <c r="DS130" s="59">
        <f t="shared" si="71"/>
        <v>1026.653594789417</v>
      </c>
      <c r="DT130" s="59">
        <f ca="1">AVERAGE(OFFSET($DS$3,0,0,'Données projet'!$E$14+1,1))-AVERAGE(OFFSET($H$3,0,0,'Données projet'!$E$14+1,1))</f>
        <v>651.35546372812314</v>
      </c>
      <c r="DU130" s="59">
        <f t="shared" si="98"/>
        <v>293.6561676213388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27.632175004938308</v>
      </c>
      <c r="EB130" s="21">
        <f>EXP(-LN(2)/25)*EB129+(1-EXP(-LN(2)/25))/(LN(2)/25)*Calculateur!DW130*Calculateur!DY130*VLOOKUP('Données projet'!$B$14,Paramètres!$A$1:$I$89,3,0)*0.475*44/12</f>
        <v>30.06498779984166</v>
      </c>
      <c r="EC130" s="21">
        <f>EXP(-LN(2)/2)*EC129+(1-EXP(-LN(2)/2))/(LN(2)/2)*DW130*DZ130*VLOOKUP('Données projet'!$B$14,Paramètres!$A$1:$I$89,3,0)*0.475*44/12</f>
        <v>3.2744555047088433</v>
      </c>
      <c r="ED130" s="22">
        <f t="shared" si="72"/>
        <v>60.971618309488804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8.5265128291212022E-14</v>
      </c>
      <c r="EK130" s="17">
        <f>EJ130*VLOOKUP('Données projet'!$B$15,Paramètres!$A$1:$I$89,3,0)*VLOOKUP('Données projet'!$B$15,Paramètres!$A$1:$I$89,5,0)</f>
        <v>8.9119112089974823E-14</v>
      </c>
      <c r="EL130" s="13">
        <f t="shared" si="99"/>
        <v>1.3568952080113142E-12</v>
      </c>
      <c r="EM130" s="20">
        <f t="shared" si="73"/>
        <v>2.5184749408430782E-12</v>
      </c>
      <c r="EN130" s="59">
        <f t="shared" si="74"/>
        <v>283.40235685907993</v>
      </c>
      <c r="EO130" s="59">
        <f ca="1">AVERAGE(OFFSET($EN$3,0,0,'Données projet'!$E$15+1,1))-AVERAGE(OFFSET($H$3,0,0,'Données projet'!$E$15+1,1))</f>
        <v>290.69667785754848</v>
      </c>
      <c r="EP130" s="59">
        <f t="shared" si="100"/>
        <v>256.28124185489082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10.427478533571835</v>
      </c>
      <c r="EW130" s="21">
        <f>EXP(-LN(2)/25)*EW129+(1-EXP(-LN(2)/25))/(LN(2)/25)*Calculateur!ER130*Calculateur!ET130*VLOOKUP('Données projet'!$B$15,Paramètres!$A$1:$I$89,3,0)*0.475*44/12</f>
        <v>21.497614309587092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31.925092843158929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9.0229999999999961</v>
      </c>
      <c r="N131" s="13">
        <f>IF('Données projet'!$A$36&gt;35,N130+M131-V130,IF(A131&lt;'Données projet'!$A$36,$K$205^A131,IF(A131='Données projet'!$A$36,'Données projet'!$B$36,N130+M131-V130)))</f>
        <v>430.14200000000073</v>
      </c>
      <c r="O131" s="13">
        <f>N131*VLOOKUP('Données projet'!$B$9,Paramètres!$A$1:$I$89,3,0)*VLOOKUP('Données projet'!$B$9,Paramètres!$A$1:$I$89,5,0)</f>
        <v>436.16398800000076</v>
      </c>
      <c r="P131" s="13">
        <f t="shared" si="87"/>
        <v>99.071019607718114</v>
      </c>
      <c r="Q131" s="20">
        <f t="shared" ref="Q131:Q153" si="108">(O131+P131)*0.475*44/12</f>
        <v>932.20097158344367</v>
      </c>
      <c r="R131" s="59">
        <f t="shared" ref="R131:R194" si="109">Q131+(I131+J131)*44/12</f>
        <v>1215.7756086820123</v>
      </c>
      <c r="S131" s="59">
        <f ca="1">AVERAGE(OFFSET($R$3,0,0,'Données projet'!$E$9+1,1))-AVERAGE(OFFSET($H$3,0,0,'Données projet'!$E$9+1,1))</f>
        <v>752.45542076695506</v>
      </c>
      <c r="T131" s="59">
        <f t="shared" si="88"/>
        <v>329.70629768420724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39.977448663467122</v>
      </c>
      <c r="AA131" s="21">
        <f>EXP(-LN(2)/25)*AA130+(1-EXP(-LN(2)/25))/(LN(2)/25)*Calculateur!V131*Calculateur!X131*VLOOKUP('Données projet'!$B$9,Paramètres!$A$1:$I$89,3,0)*0.475*44/12</f>
        <v>24.566057195370576</v>
      </c>
      <c r="AB131" s="21">
        <f>EXP(-LN(2)/2)*AB130+(1-EXP(-LN(2)/2))/(LN(2)/2)*V131*Y131*VLOOKUP('Données projet'!$B$9,Paramètres!$A$1:$I$89,3,0)*0.475*44/12</f>
        <v>1.4305548359444005</v>
      </c>
      <c r="AC131" s="22">
        <f t="shared" si="57"/>
        <v>65.974060694782111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408.246209980743</v>
      </c>
      <c r="AO131" s="59">
        <f t="shared" si="90"/>
        <v>394.10236303013903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22.061266195405352</v>
      </c>
      <c r="AV131" s="21">
        <f>EXP(-LN(2)/25)*AV130+(1-EXP(-LN(2)/25))/(LN(2)/25)*Calculateur!AQ131*Calculateur!AS131*VLOOKUP('Données projet'!$B$10,Paramètres!$A$1:$I$89,3,0)*0.475*44/12</f>
        <v>14.892191539680278</v>
      </c>
      <c r="AW131" s="21">
        <f>EXP(-LN(2)/2)*AW130+(1-EXP(-LN(2)/2))/(LN(2)/2)*AQ131*AT131*VLOOKUP('Données projet'!$B$10,Paramètres!$A$1:$I$89,3,0)*0.475*44/12</f>
        <v>4.0853654490340721E-6</v>
      </c>
      <c r="AX131" s="21">
        <f t="shared" si="60"/>
        <v>36.953461820451075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9.0229999999999961</v>
      </c>
      <c r="BD131" s="12">
        <f>IF('Données projet'!$A$88&gt;35,BD130+BC131-BL130,IF(A131&lt;'Données projet'!$A$88,$BA$205^A131,IF(A131='Données projet'!$A$88,'Données projet'!$B$88,BD130+BC131-BL130)))</f>
        <v>430.14200000000073</v>
      </c>
      <c r="BE131" s="13">
        <f>BD131*VLOOKUP('Données projet'!$B$11,Paramètres!$A$1:$I$89,3,0)*VLOOKUP('Données projet'!$B$11,Paramètres!$A$1:$I$89,5,0)</f>
        <v>409.32312720000073</v>
      </c>
      <c r="BF131" s="13">
        <f t="shared" si="91"/>
        <v>93.66424417460081</v>
      </c>
      <c r="BG131" s="20">
        <f t="shared" si="61"/>
        <v>876.03633847743095</v>
      </c>
      <c r="BH131" s="59">
        <f t="shared" si="62"/>
        <v>1159.6109755759994</v>
      </c>
      <c r="BI131" s="59">
        <f ca="1">AVERAGE(OFFSET($BH$3,0,0,'Données projet'!$E$11+1,1))-AVERAGE(OFFSET($H$3,0,0,'Données projet'!$E$11+1,1))</f>
        <v>711.91538686535682</v>
      </c>
      <c r="BJ131" s="59">
        <f t="shared" si="92"/>
        <v>313.24593837351722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37.517297976484528</v>
      </c>
      <c r="BQ131" s="21">
        <f>EXP(-LN(2)/25)*BQ130+(1-EXP(-LN(2)/25))/(LN(2)/25)*Calculateur!BL131*Calculateur!BN131*VLOOKUP('Données projet'!$B$11,Paramètres!$A$1:$I$89,3,0)*0.475*44/12</f>
        <v>23.054299829501613</v>
      </c>
      <c r="BR131" s="21">
        <f>EXP(-LN(2)/2)*BR130+(1-EXP(-LN(2)/2))/(LN(2)/2)*BL131*BO131*VLOOKUP('Données projet'!$B$11,Paramètres!$A$1:$I$89,3,0)*0.475*44/12</f>
        <v>1.3425206921939763</v>
      </c>
      <c r="BS131" s="22">
        <f t="shared" si="63"/>
        <v>61.914118498180123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9.0229999999999961</v>
      </c>
      <c r="BY131" s="12">
        <f>IF('Données projet'!$A$114&gt;35,BY130+BX131-CG130,IF(A131&lt;'Données projet'!$A$114,$BV$205^A131,IF(A131='Données projet'!$A$114,'Données projet'!$B$114,BY130+BX131-CG130)))</f>
        <v>430.14200000000073</v>
      </c>
      <c r="BZ131" s="13">
        <f>BY131*VLOOKUP('Données projet'!$B$12,Paramètres!$A$1:$I$89,3,0)*VLOOKUP('Données projet'!$B$12,Paramètres!$A$1:$I$89,5,0)</f>
        <v>389.19248160000063</v>
      </c>
      <c r="CA131" s="13">
        <f t="shared" si="93"/>
        <v>89.582126151232899</v>
      </c>
      <c r="CB131" s="20">
        <f t="shared" si="64"/>
        <v>833.86577516673162</v>
      </c>
      <c r="CC131" s="59">
        <f t="shared" si="65"/>
        <v>1117.4404122653002</v>
      </c>
      <c r="CD131" s="59">
        <f ca="1">AVERAGE(OFFSET($CC$3,0,0,'Données projet'!$E$12+1,1))-AVERAGE(OFFSET($H$3,0,0,'Données projet'!$E$12+1,1))</f>
        <v>681.47578137804555</v>
      </c>
      <c r="CE131" s="59">
        <f t="shared" si="94"/>
        <v>300.88511065995885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35.672184961247588</v>
      </c>
      <c r="CL131" s="21">
        <f>EXP(-LN(2)/25)*CL130+(1-EXP(-LN(2)/25))/(LN(2)/25)*Calculateur!CG131*Calculateur!CI131*VLOOKUP('Données projet'!$B$12,Paramètres!$A$1:$I$89,3,0)*0.475*44/12</f>
        <v>21.920481805099897</v>
      </c>
      <c r="CM131" s="21">
        <f>EXP(-LN(2)/2)*CM130+(1-EXP(-LN(2)/2))/(LN(2)/2)*CG131*CJ131*VLOOKUP('Données projet'!$B$12,Paramètres!$A$1:$I$89,3,0)*0.475*44/12</f>
        <v>1.2764950843811578</v>
      </c>
      <c r="CN131" s="22">
        <f t="shared" si="66"/>
        <v>58.869161850728645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-8.5265128291212022E-14</v>
      </c>
      <c r="CU131" s="17">
        <f>CT131*VLOOKUP('Données projet'!$B$13,Paramètres!$A$1:$I$89,3,0)*VLOOKUP('Données projet'!$B$13,Paramètres!$A$1:$I$89,5,0)</f>
        <v>-6.9167072069831198E-14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186.54446846714993</v>
      </c>
      <c r="CZ131" s="59">
        <f t="shared" si="96"/>
        <v>154.43773051601286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</v>
      </c>
      <c r="DG131" s="21">
        <f>EXP(-LN(2)/25)*DG130+(1-EXP(-LN(2)/25))/(LN(2)/25)*Calculateur!DB131*Calculateur!DD131*VLOOKUP('Données projet'!$B$13,Paramètres!$A$1:$I$89,3,0)*0.475*44/12</f>
        <v>5.641504866662447</v>
      </c>
      <c r="DH131" s="21">
        <f>EXP(-LN(2)/2)*DH130+(1-EXP(-LN(2)/2))/(LN(2)/2)*DB131*DE131*VLOOKUP('Données projet'!$B$13,Paramètres!$A$1:$I$89,3,0)*0.475*44/12</f>
        <v>4.7769673201047313E-5</v>
      </c>
      <c r="DI131" s="22">
        <f t="shared" si="69"/>
        <v>5.6415526363356481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7.3924999999999983</v>
      </c>
      <c r="DO131" s="12">
        <f>IF('Données projet'!$A$166&gt;35,DO130+DN131-DW130,IF(A131&lt;'Données projet'!$A$166,$DL$205^A131,IF(A131='Données projet'!$A$166,'Données projet'!$B$166,DO130+DN131-DW130)))</f>
        <v>311.22750000000013</v>
      </c>
      <c r="DP131" s="17">
        <f>DO131*VLOOKUP('Données projet'!$B$14,Paramètres!$A$1:$I$89,3,0)*VLOOKUP('Données projet'!$B$14,Paramètres!$A$1:$I$89,5,0)</f>
        <v>354.42587700000018</v>
      </c>
      <c r="DQ131" s="13">
        <f t="shared" si="97"/>
        <v>82.47317770708365</v>
      </c>
      <c r="DR131" s="20">
        <f t="shared" si="70"/>
        <v>760.93252028150437</v>
      </c>
      <c r="DS131" s="59">
        <f t="shared" si="71"/>
        <v>1044.5071573800728</v>
      </c>
      <c r="DT131" s="59">
        <f ca="1">AVERAGE(OFFSET($DS$3,0,0,'Données projet'!$E$14+1,1))-AVERAGE(OFFSET($H$3,0,0,'Données projet'!$E$14+1,1))</f>
        <v>651.35546372812314</v>
      </c>
      <c r="DU131" s="59">
        <f t="shared" si="98"/>
        <v>293.6561676213388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27.090324907054029</v>
      </c>
      <c r="EB131" s="21">
        <f>EXP(-LN(2)/25)*EB130+(1-EXP(-LN(2)/25))/(LN(2)/25)*Calculateur!DW131*Calculateur!DY131*VLOOKUP('Données projet'!$B$14,Paramètres!$A$1:$I$89,3,0)*0.475*44/12</f>
        <v>29.242859127405996</v>
      </c>
      <c r="EC131" s="21">
        <f>EXP(-LN(2)/2)*EC130+(1-EXP(-LN(2)/2))/(LN(2)/2)*DW131*DZ131*VLOOKUP('Données projet'!$B$14,Paramètres!$A$1:$I$89,3,0)*0.475*44/12</f>
        <v>2.3153896920732424</v>
      </c>
      <c r="ED131" s="22">
        <f t="shared" si="72"/>
        <v>58.648573726533265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8.5265128291212022E-14</v>
      </c>
      <c r="EK131" s="17">
        <f>EJ131*VLOOKUP('Données projet'!$B$15,Paramètres!$A$1:$I$89,3,0)*VLOOKUP('Données projet'!$B$15,Paramètres!$A$1:$I$89,5,0)</f>
        <v>8.9119112089974823E-14</v>
      </c>
      <c r="EL131" s="13">
        <f t="shared" si="99"/>
        <v>1.3568952080113142E-12</v>
      </c>
      <c r="EM131" s="20">
        <f t="shared" si="73"/>
        <v>2.5184749408430782E-12</v>
      </c>
      <c r="EN131" s="59">
        <f t="shared" si="74"/>
        <v>283.57463709857103</v>
      </c>
      <c r="EO131" s="59">
        <f ca="1">AVERAGE(OFFSET($EN$3,0,0,'Données projet'!$E$15+1,1))-AVERAGE(OFFSET($H$3,0,0,'Données projet'!$E$15+1,1))</f>
        <v>290.69667785754848</v>
      </c>
      <c r="EP131" s="59">
        <f t="shared" si="100"/>
        <v>256.28124185489082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10.223002039662385</v>
      </c>
      <c r="EW131" s="21">
        <f>EXP(-LN(2)/25)*EW130+(1-EXP(-LN(2)/25))/(LN(2)/25)*Calculateur!ER131*Calculateur!ET131*VLOOKUP('Données projet'!$B$15,Paramètres!$A$1:$I$89,3,0)*0.475*44/12</f>
        <v>20.909760915781032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31.132762955443418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9.0229999999999961</v>
      </c>
      <c r="N132" s="13">
        <f>IF('Données projet'!$A$36&gt;35,N131+M132-V131,IF(A132&lt;'Données projet'!$A$36,$K$205^A132,IF(A132='Données projet'!$A$36,'Données projet'!$B$36,N131+M132-V131)))</f>
        <v>439.16500000000076</v>
      </c>
      <c r="O132" s="13">
        <f>N132*VLOOKUP('Données projet'!$B$9,Paramètres!$A$1:$I$89,3,0)*VLOOKUP('Données projet'!$B$9,Paramètres!$A$1:$I$89,5,0)</f>
        <v>445.3133100000008</v>
      </c>
      <c r="P132" s="13">
        <f t="shared" si="87"/>
        <v>100.90508583412877</v>
      </c>
      <c r="Q132" s="20">
        <f t="shared" si="108"/>
        <v>951.33037274444223</v>
      </c>
      <c r="R132" s="59">
        <f t="shared" si="109"/>
        <v>1235.0743014055076</v>
      </c>
      <c r="S132" s="59">
        <f ca="1">AVERAGE(OFFSET($R$3,0,0,'Données projet'!$E$9+1,1))-AVERAGE(OFFSET($H$3,0,0,'Données projet'!$E$9+1,1))</f>
        <v>752.45542076695506</v>
      </c>
      <c r="T132" s="59">
        <f t="shared" si="88"/>
        <v>329.70629768420724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39.193515279012516</v>
      </c>
      <c r="AA132" s="21">
        <f>EXP(-LN(2)/25)*AA131+(1-EXP(-LN(2)/25))/(LN(2)/25)*Calculateur!V132*Calculateur!X132*VLOOKUP('Données projet'!$B$9,Paramètres!$A$1:$I$89,3,0)*0.475*44/12</f>
        <v>23.894297069490367</v>
      </c>
      <c r="AB132" s="21">
        <f>EXP(-LN(2)/2)*AB131+(1-EXP(-LN(2)/2))/(LN(2)/2)*V132*Y132*VLOOKUP('Données projet'!$B$9,Paramètres!$A$1:$I$89,3,0)*0.475*44/12</f>
        <v>1.0115550253554946</v>
      </c>
      <c r="AC132" s="22">
        <f t="shared" ref="AC132:AC153" si="111">SUM(Z132:AB132)</f>
        <v>64.099367373858371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408.246209980743</v>
      </c>
      <c r="AO132" s="59">
        <f t="shared" si="90"/>
        <v>394.10236303013903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21.62865822135716</v>
      </c>
      <c r="AV132" s="21">
        <f>EXP(-LN(2)/25)*AV131+(1-EXP(-LN(2)/25))/(LN(2)/25)*Calculateur!AQ132*Calculateur!AS132*VLOOKUP('Données projet'!$B$10,Paramètres!$A$1:$I$89,3,0)*0.475*44/12</f>
        <v>14.484963778881404</v>
      </c>
      <c r="AW132" s="21">
        <f>EXP(-LN(2)/2)*AW131+(1-EXP(-LN(2)/2))/(LN(2)/2)*AQ132*AT132*VLOOKUP('Données projet'!$B$10,Paramètres!$A$1:$I$89,3,0)*0.475*44/12</f>
        <v>2.8887896126372172E-6</v>
      </c>
      <c r="AX132" s="21">
        <f t="shared" ref="AX132:AX153" si="114">SUM(AU132:AW132)</f>
        <v>36.113624889028173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9.0229999999999961</v>
      </c>
      <c r="BD132" s="12">
        <f>IF('Données projet'!$A$88&gt;35,BD131+BC132-BL131,IF(A132&lt;'Données projet'!$A$88,$BA$205^A132,IF(A132='Données projet'!$A$88,'Données projet'!$B$88,BD131+BC132-BL131)))</f>
        <v>439.16500000000076</v>
      </c>
      <c r="BE132" s="13">
        <f>BD132*VLOOKUP('Données projet'!$B$11,Paramètres!$A$1:$I$89,3,0)*VLOOKUP('Données projet'!$B$11,Paramètres!$A$1:$I$89,5,0)</f>
        <v>417.90941400000071</v>
      </c>
      <c r="BF132" s="13">
        <f t="shared" si="91"/>
        <v>95.398216708073406</v>
      </c>
      <c r="BG132" s="20">
        <f t="shared" ref="BG132:BG153" si="115">(BE132+BF132)*0.475*44/12</f>
        <v>894.0107901498958</v>
      </c>
      <c r="BH132" s="59">
        <f t="shared" ref="BH132:BH195" si="116">BG132+(AY132+AZ132)*44/12</f>
        <v>1177.7547188109611</v>
      </c>
      <c r="BI132" s="59">
        <f ca="1">AVERAGE(OFFSET($BH$3,0,0,'Données projet'!$E$11+1,1))-AVERAGE(OFFSET($H$3,0,0,'Données projet'!$E$11+1,1))</f>
        <v>711.91538686535682</v>
      </c>
      <c r="BJ132" s="59">
        <f t="shared" si="92"/>
        <v>313.24593837351722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36.781606646457895</v>
      </c>
      <c r="BQ132" s="21">
        <f>EXP(-LN(2)/25)*BQ131+(1-EXP(-LN(2)/25))/(LN(2)/25)*Calculateur!BL132*Calculateur!BN132*VLOOKUP('Données projet'!$B$11,Paramètres!$A$1:$I$89,3,0)*0.475*44/12</f>
        <v>22.423878788290953</v>
      </c>
      <c r="BR132" s="21">
        <f>EXP(-LN(2)/2)*BR131+(1-EXP(-LN(2)/2))/(LN(2)/2)*BL132*BO132*VLOOKUP('Données projet'!$B$11,Paramètres!$A$1:$I$89,3,0)*0.475*44/12</f>
        <v>0.94930548533361836</v>
      </c>
      <c r="BS132" s="22">
        <f t="shared" ref="BS132:BS153" si="117">SUM(BP132:BR132)</f>
        <v>60.154790920082469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9.0229999999999961</v>
      </c>
      <c r="BY132" s="12">
        <f>IF('Données projet'!$A$114&gt;35,BY131+BX132-CG131,IF(A132&lt;'Données projet'!$A$114,$BV$205^A132,IF(A132='Données projet'!$A$114,'Données projet'!$B$114,BY131+BX132-CG131)))</f>
        <v>439.16500000000076</v>
      </c>
      <c r="BZ132" s="13">
        <f>BY132*VLOOKUP('Données projet'!$B$12,Paramètres!$A$1:$I$89,3,0)*VLOOKUP('Données projet'!$B$12,Paramètres!$A$1:$I$89,5,0)</f>
        <v>397.35649200000069</v>
      </c>
      <c r="CA132" s="13">
        <f t="shared" si="93"/>
        <v>91.240527898934658</v>
      </c>
      <c r="CB132" s="20">
        <f t="shared" ref="CB132:CB153" si="118">(BZ132+CA132)*0.475*44/12</f>
        <v>850.97314299064567</v>
      </c>
      <c r="CC132" s="59">
        <f t="shared" ref="CC132:CC195" si="119">CB132+(BT132+BU132)*44/12</f>
        <v>1134.717071651711</v>
      </c>
      <c r="CD132" s="59">
        <f ca="1">AVERAGE(OFFSET($CC$3,0,0,'Données projet'!$E$12+1,1))-AVERAGE(OFFSET($H$3,0,0,'Données projet'!$E$12+1,1))</f>
        <v>681.47578137804555</v>
      </c>
      <c r="CE132" s="59">
        <f t="shared" si="94"/>
        <v>300.88511065995885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34.972675172041939</v>
      </c>
      <c r="CL132" s="21">
        <f>EXP(-LN(2)/25)*CL131+(1-EXP(-LN(2)/25))/(LN(2)/25)*Calculateur!CG132*Calculateur!CI132*VLOOKUP('Données projet'!$B$12,Paramètres!$A$1:$I$89,3,0)*0.475*44/12</f>
        <v>21.321065077391403</v>
      </c>
      <c r="CM132" s="21">
        <f>EXP(-LN(2)/2)*CM131+(1-EXP(-LN(2)/2))/(LN(2)/2)*CG132*CJ132*VLOOKUP('Données projet'!$B$12,Paramètres!$A$1:$I$89,3,0)*0.475*44/12</f>
        <v>0.90261833031721095</v>
      </c>
      <c r="CN132" s="22">
        <f t="shared" ref="CN132:CN153" si="120">SUM(CK132:CM132)</f>
        <v>57.196358579750552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-8.5265128291212022E-14</v>
      </c>
      <c r="CU132" s="17">
        <f>CT132*VLOOKUP('Données projet'!$B$13,Paramètres!$A$1:$I$89,3,0)*VLOOKUP('Données projet'!$B$13,Paramètres!$A$1:$I$89,5,0)</f>
        <v>-6.9167072069831198E-14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186.54446846714993</v>
      </c>
      <c r="CZ132" s="59">
        <f t="shared" si="96"/>
        <v>154.43773051601286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</v>
      </c>
      <c r="DG132" s="21">
        <f>EXP(-LN(2)/25)*DG131+(1-EXP(-LN(2)/25))/(LN(2)/25)*Calculateur!DB132*Calculateur!DD132*VLOOKUP('Données projet'!$B$13,Paramètres!$A$1:$I$89,3,0)*0.475*44/12</f>
        <v>5.487237619409715</v>
      </c>
      <c r="DH132" s="21">
        <f>EXP(-LN(2)/2)*DH131+(1-EXP(-LN(2)/2))/(LN(2)/2)*DB132*DE132*VLOOKUP('Données projet'!$B$13,Paramètres!$A$1:$I$89,3,0)*0.475*44/12</f>
        <v>3.3778259855525844E-5</v>
      </c>
      <c r="DI132" s="22">
        <f t="shared" ref="DI132:DI153" si="123">SUM(DF132:DH132)</f>
        <v>5.4872713976695708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7.3924999999999983</v>
      </c>
      <c r="DO132" s="12">
        <f>IF('Données projet'!$A$166&gt;35,DO131+DN132-DW131,IF(A132&lt;'Données projet'!$A$166,$DL$205^A132,IF(A132='Données projet'!$A$166,'Données projet'!$B$166,DO131+DN132-DW131)))</f>
        <v>318.62000000000012</v>
      </c>
      <c r="DP132" s="17">
        <f>DO132*VLOOKUP('Données projet'!$B$14,Paramètres!$A$1:$I$89,3,0)*VLOOKUP('Données projet'!$B$14,Paramètres!$A$1:$I$89,5,0)</f>
        <v>362.84445600000015</v>
      </c>
      <c r="DQ132" s="13">
        <f t="shared" si="97"/>
        <v>84.201744896184664</v>
      </c>
      <c r="DR132" s="20">
        <f t="shared" ref="DR132:DR153" si="124">(DP132+DQ132)*0.475*44/12</f>
        <v>778.60546656085523</v>
      </c>
      <c r="DS132" s="59">
        <f t="shared" ref="DS132:DS195" si="125">DR132+(DJ132+DK132)*44/12</f>
        <v>1062.3493952219205</v>
      </c>
      <c r="DT132" s="59">
        <f ca="1">AVERAGE(OFFSET($DS$3,0,0,'Données projet'!$E$14+1,1))-AVERAGE(OFFSET($H$3,0,0,'Données projet'!$E$14+1,1))</f>
        <v>651.35546372812314</v>
      </c>
      <c r="DU132" s="59">
        <f t="shared" si="98"/>
        <v>293.6561676213388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26.559100159093337</v>
      </c>
      <c r="EB132" s="21">
        <f>EXP(-LN(2)/25)*EB131+(1-EXP(-LN(2)/25))/(LN(2)/25)*Calculateur!DW132*Calculateur!DY132*VLOOKUP('Données projet'!$B$14,Paramètres!$A$1:$I$89,3,0)*0.475*44/12</f>
        <v>28.443211606751952</v>
      </c>
      <c r="EC132" s="21">
        <f>EXP(-LN(2)/2)*EC131+(1-EXP(-LN(2)/2))/(LN(2)/2)*DW132*DZ132*VLOOKUP('Données projet'!$B$14,Paramètres!$A$1:$I$89,3,0)*0.475*44/12</f>
        <v>1.6372277523544221</v>
      </c>
      <c r="ED132" s="22">
        <f t="shared" ref="ED132:ED153" si="126">SUM(EA132:EC132)</f>
        <v>56.639539518199712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8.5265128291212022E-14</v>
      </c>
      <c r="EK132" s="17">
        <f>EJ132*VLOOKUP('Données projet'!$B$15,Paramètres!$A$1:$I$89,3,0)*VLOOKUP('Données projet'!$B$15,Paramètres!$A$1:$I$89,5,0)</f>
        <v>8.9119112089974823E-14</v>
      </c>
      <c r="EL132" s="13">
        <f t="shared" si="99"/>
        <v>1.3568952080113142E-12</v>
      </c>
      <c r="EM132" s="20">
        <f t="shared" ref="EM132:EM153" si="127">(EK132+EL132)*0.475*44/12</f>
        <v>2.5184749408430782E-12</v>
      </c>
      <c r="EN132" s="59">
        <f t="shared" ref="EN132:EN195" si="128">EM132+(EE132+EF132)*44/12</f>
        <v>283.74392866106786</v>
      </c>
      <c r="EO132" s="59">
        <f ca="1">AVERAGE(OFFSET($EN$3,0,0,'Données projet'!$E$15+1,1))-AVERAGE(OFFSET($H$3,0,0,'Données projet'!$E$15+1,1))</f>
        <v>290.69667785754848</v>
      </c>
      <c r="EP132" s="59">
        <f t="shared" si="100"/>
        <v>256.28124185489082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10.022535205080153</v>
      </c>
      <c r="EW132" s="21">
        <f>EXP(-LN(2)/25)*EW131+(1-EXP(-LN(2)/25))/(LN(2)/25)*Calculateur!ER132*Calculateur!ET132*VLOOKUP('Données projet'!$B$15,Paramètres!$A$1:$I$89,3,0)*0.475*44/12</f>
        <v>20.337982403942462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30.360517609022615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9.0229999999999961</v>
      </c>
      <c r="N133" s="13">
        <f>IF('Données projet'!$A$36&gt;35,N132+M133-V132,IF(A133&lt;'Données projet'!$A$36,$K$205^A133,IF(A133='Données projet'!$A$36,'Données projet'!$B$36,N132+M133-V132)))</f>
        <v>448.18800000000078</v>
      </c>
      <c r="O133" s="13">
        <f>N133*VLOOKUP('Données projet'!$B$9,Paramètres!$A$1:$I$89,3,0)*VLOOKUP('Données projet'!$B$9,Paramètres!$A$1:$I$89,5,0)</f>
        <v>454.46263200000084</v>
      </c>
      <c r="P133" s="13">
        <f t="shared" ref="P133:P196" si="141">EXP(-1.0587+0.8836*LN(O133)+0.284)</f>
        <v>102.73477074715666</v>
      </c>
      <c r="Q133" s="20">
        <f t="shared" si="108"/>
        <v>970.45214311796599</v>
      </c>
      <c r="R133" s="59">
        <f t="shared" si="109"/>
        <v>1254.3624265113981</v>
      </c>
      <c r="S133" s="59">
        <f ca="1">AVERAGE(OFFSET($R$3,0,0,'Données projet'!$E$9+1,1))-AVERAGE(OFFSET($H$3,0,0,'Données projet'!$E$9+1,1))</f>
        <v>752.45542076695506</v>
      </c>
      <c r="T133" s="59">
        <f t="shared" ref="T133:T196" si="142">$T$3</f>
        <v>329.70629768420724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38.424954350074913</v>
      </c>
      <c r="AA133" s="21">
        <f>EXP(-LN(2)/25)*AA132+(1-EXP(-LN(2)/25))/(LN(2)/25)*Calculateur!V133*Calculateur!X133*VLOOKUP('Données projet'!$B$9,Paramètres!$A$1:$I$89,3,0)*0.475*44/12</f>
        <v>23.240906259578683</v>
      </c>
      <c r="AB133" s="21">
        <f>EXP(-LN(2)/2)*AB132+(1-EXP(-LN(2)/2))/(LN(2)/2)*V133*Y133*VLOOKUP('Données projet'!$B$9,Paramètres!$A$1:$I$89,3,0)*0.475*44/12</f>
        <v>0.71527741797220024</v>
      </c>
      <c r="AC133" s="22">
        <f t="shared" si="111"/>
        <v>62.381138027625795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408.246209980743</v>
      </c>
      <c r="AO133" s="59">
        <f t="shared" ref="AO133:AO196" si="144">$AO$3</f>
        <v>394.10236303013903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21.204533425815242</v>
      </c>
      <c r="AV133" s="21">
        <f>EXP(-LN(2)/25)*AV132+(1-EXP(-LN(2)/25))/(LN(2)/25)*Calculateur!AQ133*Calculateur!AS133*VLOOKUP('Données projet'!$B$10,Paramètres!$A$1:$I$89,3,0)*0.475*44/12</f>
        <v>14.088871682616753</v>
      </c>
      <c r="AW133" s="21">
        <f>EXP(-LN(2)/2)*AW132+(1-EXP(-LN(2)/2))/(LN(2)/2)*AQ133*AT133*VLOOKUP('Données projet'!$B$10,Paramètres!$A$1:$I$89,3,0)*0.475*44/12</f>
        <v>2.0426827245170361E-6</v>
      </c>
      <c r="AX133" s="21">
        <f t="shared" si="114"/>
        <v>35.293407151114721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9.0229999999999961</v>
      </c>
      <c r="BD133" s="12">
        <f>IF('Données projet'!$A$88&gt;35,BD132+BC133-BL132,IF(A133&lt;'Données projet'!$A$88,$BA$205^A133,IF(A133='Données projet'!$A$88,'Données projet'!$B$88,BD132+BC133-BL132)))</f>
        <v>448.18800000000078</v>
      </c>
      <c r="BE133" s="13">
        <f>BD133*VLOOKUP('Données projet'!$B$11,Paramètres!$A$1:$I$89,3,0)*VLOOKUP('Données projet'!$B$11,Paramètres!$A$1:$I$89,5,0)</f>
        <v>426.49570080000069</v>
      </c>
      <c r="BF133" s="13">
        <f t="shared" ref="BF133:BF153" si="145">EXP(-1.0587+0.8836*LN(BE133)+0.284)</f>
        <v>97.128047037215154</v>
      </c>
      <c r="BG133" s="20">
        <f t="shared" si="115"/>
        <v>911.97802748315098</v>
      </c>
      <c r="BH133" s="59">
        <f t="shared" si="116"/>
        <v>1195.8883108765831</v>
      </c>
      <c r="BI133" s="59">
        <f ca="1">AVERAGE(OFFSET($BH$3,0,0,'Données projet'!$E$11+1,1))-AVERAGE(OFFSET($H$3,0,0,'Données projet'!$E$11+1,1))</f>
        <v>711.91538686535682</v>
      </c>
      <c r="BJ133" s="59">
        <f t="shared" ref="BJ133:BJ196" si="146">$BJ$3</f>
        <v>313.24593837351722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36.060341774685682</v>
      </c>
      <c r="BQ133" s="21">
        <f>EXP(-LN(2)/25)*BQ132+(1-EXP(-LN(2)/25))/(LN(2)/25)*Calculateur!BL133*Calculateur!BN133*VLOOKUP('Données projet'!$B$11,Paramètres!$A$1:$I$89,3,0)*0.475*44/12</f>
        <v>21.810696643604601</v>
      </c>
      <c r="BR133" s="21">
        <f>EXP(-LN(2)/2)*BR132+(1-EXP(-LN(2)/2))/(LN(2)/2)*BL133*BO133*VLOOKUP('Données projet'!$B$11,Paramètres!$A$1:$I$89,3,0)*0.475*44/12</f>
        <v>0.67126034609698826</v>
      </c>
      <c r="BS133" s="22">
        <f t="shared" si="117"/>
        <v>58.542298764387269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9.0229999999999961</v>
      </c>
      <c r="BY133" s="12">
        <f>IF('Données projet'!$A$114&gt;35,BY132+BX133-CG132,IF(A133&lt;'Données projet'!$A$114,$BV$205^A133,IF(A133='Données projet'!$A$114,'Données projet'!$B$114,BY132+BX133-CG132)))</f>
        <v>448.18800000000078</v>
      </c>
      <c r="BZ133" s="13">
        <f>BY133*VLOOKUP('Données projet'!$B$12,Paramètres!$A$1:$I$89,3,0)*VLOOKUP('Données projet'!$B$12,Paramètres!$A$1:$I$89,5,0)</f>
        <v>405.52050240000068</v>
      </c>
      <c r="CA133" s="13">
        <f t="shared" ref="CA133:CA153" si="147">EXP(-1.0587+0.8836*LN(BZ133)+0.284)</f>
        <v>92.894967969753338</v>
      </c>
      <c r="CB133" s="20">
        <f t="shared" si="118"/>
        <v>868.07361089398819</v>
      </c>
      <c r="CC133" s="59">
        <f t="shared" si="119"/>
        <v>1151.9838942874203</v>
      </c>
      <c r="CD133" s="59">
        <f ca="1">AVERAGE(OFFSET($CC$3,0,0,'Données projet'!$E$12+1,1))-AVERAGE(OFFSET($H$3,0,0,'Données projet'!$E$12+1,1))</f>
        <v>681.47578137804555</v>
      </c>
      <c r="CE133" s="59">
        <f t="shared" ref="CE133:CE196" si="148">$CE$3</f>
        <v>300.88511065995885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34.286882343143766</v>
      </c>
      <c r="CL133" s="21">
        <f>EXP(-LN(2)/25)*CL132+(1-EXP(-LN(2)/25))/(LN(2)/25)*Calculateur!CG133*Calculateur!CI133*VLOOKUP('Données projet'!$B$12,Paramètres!$A$1:$I$89,3,0)*0.475*44/12</f>
        <v>20.738039431624053</v>
      </c>
      <c r="CM133" s="21">
        <f>EXP(-LN(2)/2)*CM132+(1-EXP(-LN(2)/2))/(LN(2)/2)*CG133*CJ133*VLOOKUP('Données projet'!$B$12,Paramètres!$A$1:$I$89,3,0)*0.475*44/12</f>
        <v>0.638247542190579</v>
      </c>
      <c r="CN133" s="22">
        <f t="shared" si="120"/>
        <v>55.663169316958395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-8.5265128291212022E-14</v>
      </c>
      <c r="CU133" s="17">
        <f>CT133*VLOOKUP('Données projet'!$B$13,Paramètres!$A$1:$I$89,3,0)*VLOOKUP('Données projet'!$B$13,Paramètres!$A$1:$I$89,5,0)</f>
        <v>-6.9167072069831198E-14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186.54446846714993</v>
      </c>
      <c r="CZ133" s="59">
        <f t="shared" ref="CZ133:CZ196" si="150">$CZ$3</f>
        <v>154.43773051601286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</v>
      </c>
      <c r="DG133" s="21">
        <f>EXP(-LN(2)/25)*DG132+(1-EXP(-LN(2)/25))/(LN(2)/25)*Calculateur!DB133*Calculateur!DD133*VLOOKUP('Données projet'!$B$13,Paramètres!$A$1:$I$89,3,0)*0.475*44/12</f>
        <v>5.3371888181456715</v>
      </c>
      <c r="DH133" s="21">
        <f>EXP(-LN(2)/2)*DH132+(1-EXP(-LN(2)/2))/(LN(2)/2)*DB133*DE133*VLOOKUP('Données projet'!$B$13,Paramètres!$A$1:$I$89,3,0)*0.475*44/12</f>
        <v>2.3884836600523656E-5</v>
      </c>
      <c r="DI133" s="22">
        <f t="shared" si="123"/>
        <v>5.3372127029822716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7.3924999999999983</v>
      </c>
      <c r="DO133" s="12">
        <f>IF('Données projet'!$A$166&gt;35,DO132+DN133-DW132,IF(A133&lt;'Données projet'!$A$166,$DL$205^A133,IF(A133='Données projet'!$A$166,'Données projet'!$B$166,DO132+DN133-DW132)))</f>
        <v>326.0125000000001</v>
      </c>
      <c r="DP133" s="17">
        <f>DO133*VLOOKUP('Données projet'!$B$14,Paramètres!$A$1:$I$89,3,0)*VLOOKUP('Données projet'!$B$14,Paramètres!$A$1:$I$89,5,0)</f>
        <v>371.26303500000012</v>
      </c>
      <c r="DQ133" s="13">
        <f t="shared" ref="DQ133:DQ153" si="151">EXP(-1.0587+0.8836*LN(DP133)+0.284)</f>
        <v>85.925649654275645</v>
      </c>
      <c r="DR133" s="20">
        <f t="shared" si="124"/>
        <v>796.27029243953029</v>
      </c>
      <c r="DS133" s="59">
        <f t="shared" si="125"/>
        <v>1080.1805758329624</v>
      </c>
      <c r="DT133" s="59">
        <f ca="1">AVERAGE(OFFSET($DS$3,0,0,'Données projet'!$E$14+1,1))-AVERAGE(OFFSET($H$3,0,0,'Données projet'!$E$14+1,1))</f>
        <v>651.35546372812314</v>
      </c>
      <c r="DU133" s="59">
        <f t="shared" ref="DU133:DU196" si="152">$DU$3</f>
        <v>293.6561676213388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26.03829240442505</v>
      </c>
      <c r="EB133" s="21">
        <f>EXP(-LN(2)/25)*EB132+(1-EXP(-LN(2)/25))/(LN(2)/25)*Calculateur!DW133*Calculateur!DY133*VLOOKUP('Données projet'!$B$14,Paramètres!$A$1:$I$89,3,0)*0.475*44/12</f>
        <v>27.665430489601828</v>
      </c>
      <c r="EC133" s="21">
        <f>EXP(-LN(2)/2)*EC132+(1-EXP(-LN(2)/2))/(LN(2)/2)*DW133*DZ133*VLOOKUP('Données projet'!$B$14,Paramètres!$A$1:$I$89,3,0)*0.475*44/12</f>
        <v>1.1576948460366214</v>
      </c>
      <c r="ED133" s="22">
        <f t="shared" si="126"/>
        <v>54.861417740063501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8.5265128291212022E-14</v>
      </c>
      <c r="EK133" s="17">
        <f>EJ133*VLOOKUP('Données projet'!$B$15,Paramètres!$A$1:$I$89,3,0)*VLOOKUP('Données projet'!$B$15,Paramètres!$A$1:$I$89,5,0)</f>
        <v>8.9119112089974823E-14</v>
      </c>
      <c r="EL133" s="13">
        <f t="shared" ref="EL133:EL153" si="153">EXP(-1.0587+0.8836*LN(EK133)+0.284)</f>
        <v>1.3568952080113142E-12</v>
      </c>
      <c r="EM133" s="20">
        <f t="shared" si="127"/>
        <v>2.5184749408430782E-12</v>
      </c>
      <c r="EN133" s="59">
        <f t="shared" si="128"/>
        <v>283.91028339343461</v>
      </c>
      <c r="EO133" s="59">
        <f ca="1">AVERAGE(OFFSET($EN$3,0,0,'Données projet'!$E$15+1,1))-AVERAGE(OFFSET($H$3,0,0,'Données projet'!$E$15+1,1))</f>
        <v>290.69667785754848</v>
      </c>
      <c r="EP133" s="59">
        <f t="shared" ref="EP133:EP196" si="154">$EP$3</f>
        <v>256.28124185489082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9.8259994028513837</v>
      </c>
      <c r="EW133" s="21">
        <f>EXP(-LN(2)/25)*EW132+(1-EXP(-LN(2)/25))/(LN(2)/25)*Calculateur!ER133*Calculateur!ET133*VLOOKUP('Données projet'!$B$15,Paramètres!$A$1:$I$89,3,0)*0.475*44/12</f>
        <v>19.781839205578645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29.607838608430029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9.0229999999999961</v>
      </c>
      <c r="N134" s="13">
        <f>IF('Données projet'!$A$36&gt;35,N133+M134-V133,IF(A134&lt;'Données projet'!$A$36,$K$205^A134,IF(A134='Données projet'!$A$36,'Données projet'!$B$36,N133+M134-V133)))</f>
        <v>457.21100000000081</v>
      </c>
      <c r="O134" s="13">
        <f>N134*VLOOKUP('Données projet'!$B$9,Paramètres!$A$1:$I$89,3,0)*VLOOKUP('Données projet'!$B$9,Paramètres!$A$1:$I$89,5,0)</f>
        <v>463.61195400000088</v>
      </c>
      <c r="P134" s="13">
        <f t="shared" si="141"/>
        <v>104.56017271740512</v>
      </c>
      <c r="Q134" s="20">
        <f t="shared" si="108"/>
        <v>989.56645403281527</v>
      </c>
      <c r="R134" s="59">
        <f t="shared" si="109"/>
        <v>1273.6402062759209</v>
      </c>
      <c r="S134" s="59">
        <f ca="1">AVERAGE(OFFSET($R$3,0,0,'Données projet'!$E$9+1,1))-AVERAGE(OFFSET($H$3,0,0,'Données projet'!$E$9+1,1))</f>
        <v>752.45542076695506</v>
      </c>
      <c r="T134" s="59">
        <f t="shared" si="142"/>
        <v>329.70629768420724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37.671464432177892</v>
      </c>
      <c r="AA134" s="21">
        <f>EXP(-LN(2)/25)*AA133+(1-EXP(-LN(2)/25))/(LN(2)/25)*Calculateur!V134*Calculateur!X134*VLOOKUP('Données projet'!$B$9,Paramètres!$A$1:$I$89,3,0)*0.475*44/12</f>
        <v>22.60538245572436</v>
      </c>
      <c r="AB134" s="21">
        <f>EXP(-LN(2)/2)*AB133+(1-EXP(-LN(2)/2))/(LN(2)/2)*V134*Y134*VLOOKUP('Données projet'!$B$9,Paramètres!$A$1:$I$89,3,0)*0.475*44/12</f>
        <v>0.50577751267774729</v>
      </c>
      <c r="AC134" s="22">
        <f t="shared" si="111"/>
        <v>60.782624400579998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408.246209980743</v>
      </c>
      <c r="AO134" s="59">
        <f t="shared" si="144"/>
        <v>394.10236303013903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20.788725458823318</v>
      </c>
      <c r="AV134" s="21">
        <f>EXP(-LN(2)/25)*AV133+(1-EXP(-LN(2)/25))/(LN(2)/25)*Calculateur!AQ134*Calculateur!AS134*VLOOKUP('Données projet'!$B$10,Paramètres!$A$1:$I$89,3,0)*0.475*44/12</f>
        <v>13.703610745554037</v>
      </c>
      <c r="AW134" s="21">
        <f>EXP(-LN(2)/2)*AW133+(1-EXP(-LN(2)/2))/(LN(2)/2)*AQ134*AT134*VLOOKUP('Données projet'!$B$10,Paramètres!$A$1:$I$89,3,0)*0.475*44/12</f>
        <v>1.4443948063186086E-6</v>
      </c>
      <c r="AX134" s="21">
        <f t="shared" si="114"/>
        <v>34.492337648772157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9.0229999999999961</v>
      </c>
      <c r="BD134" s="12">
        <f>IF('Données projet'!$A$88&gt;35,BD133+BC134-BL133,IF(A134&lt;'Données projet'!$A$88,$BA$205^A134,IF(A134='Données projet'!$A$88,'Données projet'!$B$88,BD133+BC134-BL133)))</f>
        <v>457.21100000000081</v>
      </c>
      <c r="BE134" s="13">
        <f>BD134*VLOOKUP('Données projet'!$B$11,Paramètres!$A$1:$I$89,3,0)*VLOOKUP('Données projet'!$B$11,Paramètres!$A$1:$I$89,5,0)</f>
        <v>435.08198760000079</v>
      </c>
      <c r="BF134" s="13">
        <f t="shared" si="145"/>
        <v>98.853828164079005</v>
      </c>
      <c r="BG134" s="20">
        <f t="shared" si="115"/>
        <v>929.93821245577226</v>
      </c>
      <c r="BH134" s="59">
        <f t="shared" si="116"/>
        <v>1214.011964698878</v>
      </c>
      <c r="BI134" s="59">
        <f ca="1">AVERAGE(OFFSET($BH$3,0,0,'Données projet'!$E$11+1,1))-AVERAGE(OFFSET($H$3,0,0,'Données projet'!$E$11+1,1))</f>
        <v>711.91538686535682</v>
      </c>
      <c r="BJ134" s="59">
        <f t="shared" si="146"/>
        <v>313.24593837351722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35.353220467120785</v>
      </c>
      <c r="BQ134" s="21">
        <f>EXP(-LN(2)/25)*BQ133+(1-EXP(-LN(2)/25))/(LN(2)/25)*Calculateur!BL134*Calculateur!BN134*VLOOKUP('Données projet'!$B$11,Paramètres!$A$1:$I$89,3,0)*0.475*44/12</f>
        <v>21.214281996910547</v>
      </c>
      <c r="BR134" s="21">
        <f>EXP(-LN(2)/2)*BR133+(1-EXP(-LN(2)/2))/(LN(2)/2)*BL134*BO134*VLOOKUP('Données projet'!$B$11,Paramètres!$A$1:$I$89,3,0)*0.475*44/12</f>
        <v>0.47465274266680929</v>
      </c>
      <c r="BS134" s="22">
        <f t="shared" si="117"/>
        <v>57.042155206698148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9.0229999999999961</v>
      </c>
      <c r="BY134" s="12">
        <f>IF('Données projet'!$A$114&gt;35,BY133+BX134-CG133,IF(A134&lt;'Données projet'!$A$114,$BV$205^A134,IF(A134='Données projet'!$A$114,'Données projet'!$B$114,BY133+BX134-CG133)))</f>
        <v>457.21100000000081</v>
      </c>
      <c r="BZ134" s="13">
        <f>BY134*VLOOKUP('Données projet'!$B$12,Paramètres!$A$1:$I$89,3,0)*VLOOKUP('Données projet'!$B$12,Paramètres!$A$1:$I$89,5,0)</f>
        <v>413.68451280000073</v>
      </c>
      <c r="CA134" s="13">
        <f t="shared" si="147"/>
        <v>94.545535312483779</v>
      </c>
      <c r="CB134" s="20">
        <f t="shared" si="118"/>
        <v>885.16733379591051</v>
      </c>
      <c r="CC134" s="59">
        <f t="shared" si="119"/>
        <v>1169.2410860390162</v>
      </c>
      <c r="CD134" s="59">
        <f ca="1">AVERAGE(OFFSET($CC$3,0,0,'Données projet'!$E$12+1,1))-AVERAGE(OFFSET($H$3,0,0,'Données projet'!$E$12+1,1))</f>
        <v>681.47578137804555</v>
      </c>
      <c r="CE134" s="59">
        <f t="shared" si="148"/>
        <v>300.88511065995885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33.614537493327965</v>
      </c>
      <c r="CL134" s="21">
        <f>EXP(-LN(2)/25)*CL133+(1-EXP(-LN(2)/25))/(LN(2)/25)*Calculateur!CG134*Calculateur!CI134*VLOOKUP('Données projet'!$B$12,Paramètres!$A$1:$I$89,3,0)*0.475*44/12</f>
        <v>20.170956652800196</v>
      </c>
      <c r="CM134" s="21">
        <f>EXP(-LN(2)/2)*CM133+(1-EXP(-LN(2)/2))/(LN(2)/2)*CG134*CJ134*VLOOKUP('Données projet'!$B$12,Paramètres!$A$1:$I$89,3,0)*0.475*44/12</f>
        <v>0.45130916515860553</v>
      </c>
      <c r="CN134" s="22">
        <f t="shared" si="120"/>
        <v>54.236803311286764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-8.5265128291212022E-14</v>
      </c>
      <c r="CU134" s="17">
        <f>CT134*VLOOKUP('Données projet'!$B$13,Paramètres!$A$1:$I$89,3,0)*VLOOKUP('Données projet'!$B$13,Paramètres!$A$1:$I$89,5,0)</f>
        <v>-6.9167072069831198E-14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186.54446846714993</v>
      </c>
      <c r="CZ134" s="59">
        <f t="shared" si="150"/>
        <v>154.43773051601286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</v>
      </c>
      <c r="DG134" s="21">
        <f>EXP(-LN(2)/25)*DG133+(1-EXP(-LN(2)/25))/(LN(2)/25)*Calculateur!DB134*Calculateur!DD134*VLOOKUP('Données projet'!$B$13,Paramètres!$A$1:$I$89,3,0)*0.475*44/12</f>
        <v>5.1912431092429161</v>
      </c>
      <c r="DH134" s="21">
        <f>EXP(-LN(2)/2)*DH133+(1-EXP(-LN(2)/2))/(LN(2)/2)*DB134*DE134*VLOOKUP('Données projet'!$B$13,Paramètres!$A$1:$I$89,3,0)*0.475*44/12</f>
        <v>1.6889129927762922E-5</v>
      </c>
      <c r="DI134" s="22">
        <f t="shared" si="123"/>
        <v>5.1912599983728436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7.3924999999999983</v>
      </c>
      <c r="DO134" s="12">
        <f>IF('Données projet'!$A$166&gt;35,DO133+DN134-DW133,IF(A134&lt;'Données projet'!$A$166,$DL$205^A134,IF(A134='Données projet'!$A$166,'Données projet'!$B$166,DO133+DN134-DW133)))</f>
        <v>333.40500000000009</v>
      </c>
      <c r="DP134" s="17">
        <f>DO134*VLOOKUP('Données projet'!$B$14,Paramètres!$A$1:$I$89,3,0)*VLOOKUP('Données projet'!$B$14,Paramètres!$A$1:$I$89,5,0)</f>
        <v>379.68161400000008</v>
      </c>
      <c r="DQ134" s="13">
        <f t="shared" si="151"/>
        <v>87.645009875308133</v>
      </c>
      <c r="DR134" s="20">
        <f t="shared" si="124"/>
        <v>813.92720324949516</v>
      </c>
      <c r="DS134" s="59">
        <f t="shared" si="125"/>
        <v>1098.000955492601</v>
      </c>
      <c r="DT134" s="59">
        <f ca="1">AVERAGE(OFFSET($DS$3,0,0,'Données projet'!$E$14+1,1))-AVERAGE(OFFSET($H$3,0,0,'Données projet'!$E$14+1,1))</f>
        <v>651.35546372812314</v>
      </c>
      <c r="DU134" s="59">
        <f t="shared" si="152"/>
        <v>293.6561676213388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25.527697372164447</v>
      </c>
      <c r="EB134" s="21">
        <f>EXP(-LN(2)/25)*EB133+(1-EXP(-LN(2)/25))/(LN(2)/25)*Calculateur!DW134*Calculateur!DY134*VLOOKUP('Données projet'!$B$14,Paramètres!$A$1:$I$89,3,0)*0.475*44/12</f>
        <v>26.908917838001909</v>
      </c>
      <c r="EC134" s="21">
        <f>EXP(-LN(2)/2)*EC133+(1-EXP(-LN(2)/2))/(LN(2)/2)*DW134*DZ134*VLOOKUP('Données projet'!$B$14,Paramètres!$A$1:$I$89,3,0)*0.475*44/12</f>
        <v>0.81861387617721115</v>
      </c>
      <c r="ED134" s="22">
        <f t="shared" si="126"/>
        <v>53.255229086343562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8.5265128291212022E-14</v>
      </c>
      <c r="EK134" s="17">
        <f>EJ134*VLOOKUP('Données projet'!$B$15,Paramètres!$A$1:$I$89,3,0)*VLOOKUP('Données projet'!$B$15,Paramètres!$A$1:$I$89,5,0)</f>
        <v>8.9119112089974823E-14</v>
      </c>
      <c r="EL134" s="13">
        <f t="shared" si="153"/>
        <v>1.3568952080113142E-12</v>
      </c>
      <c r="EM134" s="20">
        <f t="shared" si="127"/>
        <v>2.5184749408430782E-12</v>
      </c>
      <c r="EN134" s="59">
        <f t="shared" si="128"/>
        <v>284.07375224310823</v>
      </c>
      <c r="EO134" s="59">
        <f ca="1">AVERAGE(OFFSET($EN$3,0,0,'Données projet'!$E$15+1,1))-AVERAGE(OFFSET($H$3,0,0,'Données projet'!$E$15+1,1))</f>
        <v>290.69667785754848</v>
      </c>
      <c r="EP134" s="59">
        <f t="shared" si="154"/>
        <v>256.28124185489082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9.6333175478293178</v>
      </c>
      <c r="EW134" s="21">
        <f>EXP(-LN(2)/25)*EW133+(1-EXP(-LN(2)/25))/(LN(2)/25)*Calculateur!ER134*Calculateur!ET134*VLOOKUP('Données projet'!$B$15,Paramètres!$A$1:$I$89,3,0)*0.475*44/12</f>
        <v>19.240903772220385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28.874221320049703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9.0229999999999961</v>
      </c>
      <c r="N135" s="13">
        <f>IF('Données projet'!$A$36&gt;35,N134+M135-V134,IF(A135&lt;'Données projet'!$A$36,$K$205^A135,IF(A135='Données projet'!$A$36,'Données projet'!$B$36,N134+M135-V134)))</f>
        <v>466.23400000000083</v>
      </c>
      <c r="O135" s="13">
        <f>N135*VLOOKUP('Données projet'!$B$9,Paramètres!$A$1:$I$89,3,0)*VLOOKUP('Données projet'!$B$9,Paramètres!$A$1:$I$89,5,0)</f>
        <v>472.76127600000092</v>
      </c>
      <c r="P135" s="13">
        <f t="shared" si="141"/>
        <v>106.38138601076099</v>
      </c>
      <c r="Q135" s="20">
        <f t="shared" si="108"/>
        <v>1008.6734696687436</v>
      </c>
      <c r="R135" s="59">
        <f t="shared" si="109"/>
        <v>1292.9078549424428</v>
      </c>
      <c r="S135" s="59">
        <f ca="1">AVERAGE(OFFSET($R$3,0,0,'Données projet'!$E$9+1,1))-AVERAGE(OFFSET($H$3,0,0,'Données projet'!$E$9+1,1))</f>
        <v>752.45542076695506</v>
      </c>
      <c r="T135" s="59">
        <f t="shared" si="142"/>
        <v>329.70629768420724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36.932749991987365</v>
      </c>
      <c r="AA135" s="21">
        <f>EXP(-LN(2)/25)*AA134+(1-EXP(-LN(2)/25))/(LN(2)/25)*Calculateur!V135*Calculateur!X135*VLOOKUP('Données projet'!$B$9,Paramètres!$A$1:$I$89,3,0)*0.475*44/12</f>
        <v>21.987237083707178</v>
      </c>
      <c r="AB135" s="21">
        <f>EXP(-LN(2)/2)*AB134+(1-EXP(-LN(2)/2))/(LN(2)/2)*V135*Y135*VLOOKUP('Données projet'!$B$9,Paramètres!$A$1:$I$89,3,0)*0.475*44/12</f>
        <v>0.35763870898610012</v>
      </c>
      <c r="AC135" s="22">
        <f t="shared" si="111"/>
        <v>59.277625784680644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408.246209980743</v>
      </c>
      <c r="AO135" s="59">
        <f t="shared" si="144"/>
        <v>394.10236303013903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20.381071232446288</v>
      </c>
      <c r="AV135" s="21">
        <f>EXP(-LN(2)/25)*AV134+(1-EXP(-LN(2)/25))/(LN(2)/25)*Calculateur!AQ135*Calculateur!AS135*VLOOKUP('Données projet'!$B$10,Paramètres!$A$1:$I$89,3,0)*0.475*44/12</f>
        <v>13.328884789075293</v>
      </c>
      <c r="AW135" s="21">
        <f>EXP(-LN(2)/2)*AW134+(1-EXP(-LN(2)/2))/(LN(2)/2)*AQ135*AT135*VLOOKUP('Données projet'!$B$10,Paramètres!$A$1:$I$89,3,0)*0.475*44/12</f>
        <v>1.021341362258518E-6</v>
      </c>
      <c r="AX135" s="21">
        <f t="shared" si="114"/>
        <v>33.709957042862939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9.0229999999999961</v>
      </c>
      <c r="BD135" s="12">
        <f>IF('Données projet'!$A$88&gt;35,BD134+BC135-BL134,IF(A135&lt;'Données projet'!$A$88,$BA$205^A135,IF(A135='Données projet'!$A$88,'Données projet'!$B$88,BD134+BC135-BL134)))</f>
        <v>466.23400000000083</v>
      </c>
      <c r="BE135" s="13">
        <f>BD135*VLOOKUP('Données projet'!$B$11,Paramètres!$A$1:$I$89,3,0)*VLOOKUP('Données projet'!$B$11,Paramètres!$A$1:$I$89,5,0)</f>
        <v>443.66827440000083</v>
      </c>
      <c r="BF135" s="13">
        <f t="shared" si="145"/>
        <v>100.57564921001506</v>
      </c>
      <c r="BG135" s="20">
        <f t="shared" si="115"/>
        <v>947.89150028744427</v>
      </c>
      <c r="BH135" s="59">
        <f t="shared" si="116"/>
        <v>1232.1258855611434</v>
      </c>
      <c r="BI135" s="59">
        <f ca="1">AVERAGE(OFFSET($BH$3,0,0,'Données projet'!$E$11+1,1))-AVERAGE(OFFSET($H$3,0,0,'Données projet'!$E$11+1,1))</f>
        <v>711.91538686535682</v>
      </c>
      <c r="BJ135" s="59">
        <f t="shared" si="146"/>
        <v>313.24593837351722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34.65996537709583</v>
      </c>
      <c r="BQ135" s="21">
        <f>EXP(-LN(2)/25)*BQ134+(1-EXP(-LN(2)/25))/(LN(2)/25)*Calculateur!BL135*Calculateur!BN135*VLOOKUP('Données projet'!$B$11,Paramètres!$A$1:$I$89,3,0)*0.475*44/12</f>
        <v>20.634176340094424</v>
      </c>
      <c r="BR135" s="21">
        <f>EXP(-LN(2)/2)*BR134+(1-EXP(-LN(2)/2))/(LN(2)/2)*BL135*BO135*VLOOKUP('Données projet'!$B$11,Paramètres!$A$1:$I$89,3,0)*0.475*44/12</f>
        <v>0.33563017304849418</v>
      </c>
      <c r="BS135" s="22">
        <f t="shared" si="117"/>
        <v>55.62977189023875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9.0229999999999961</v>
      </c>
      <c r="BY135" s="12">
        <f>IF('Données projet'!$A$114&gt;35,BY134+BX135-CG134,IF(A135&lt;'Données projet'!$A$114,$BV$205^A135,IF(A135='Données projet'!$A$114,'Données projet'!$B$114,BY134+BX135-CG134)))</f>
        <v>466.23400000000083</v>
      </c>
      <c r="BZ135" s="13">
        <f>BY135*VLOOKUP('Données projet'!$B$12,Paramètres!$A$1:$I$89,3,0)*VLOOKUP('Données projet'!$B$12,Paramètres!$A$1:$I$89,5,0)</f>
        <v>421.84852320000078</v>
      </c>
      <c r="CA135" s="13">
        <f t="shared" si="147"/>
        <v>96.192315164348642</v>
      </c>
      <c r="CB135" s="20">
        <f t="shared" si="118"/>
        <v>902.2544601512418</v>
      </c>
      <c r="CC135" s="59">
        <f t="shared" si="119"/>
        <v>1186.488845424941</v>
      </c>
      <c r="CD135" s="59">
        <f ca="1">AVERAGE(OFFSET($CC$3,0,0,'Données projet'!$E$12+1,1))-AVERAGE(OFFSET($H$3,0,0,'Données projet'!$E$12+1,1))</f>
        <v>681.47578137804555</v>
      </c>
      <c r="CE135" s="59">
        <f t="shared" si="148"/>
        <v>300.88511065995885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32.955376915927189</v>
      </c>
      <c r="CL135" s="21">
        <f>EXP(-LN(2)/25)*CL134+(1-EXP(-LN(2)/25))/(LN(2)/25)*Calculateur!CG135*Calculateur!CI135*VLOOKUP('Données projet'!$B$12,Paramètres!$A$1:$I$89,3,0)*0.475*44/12</f>
        <v>19.619380782384866</v>
      </c>
      <c r="CM135" s="21">
        <f>EXP(-LN(2)/2)*CM134+(1-EXP(-LN(2)/2))/(LN(2)/2)*CG135*CJ135*VLOOKUP('Données projet'!$B$12,Paramètres!$A$1:$I$89,3,0)*0.475*44/12</f>
        <v>0.31912377109528955</v>
      </c>
      <c r="CN135" s="22">
        <f t="shared" si="120"/>
        <v>52.893881469407347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-8.5265128291212022E-14</v>
      </c>
      <c r="CU135" s="17">
        <f>CT135*VLOOKUP('Données projet'!$B$13,Paramètres!$A$1:$I$89,3,0)*VLOOKUP('Données projet'!$B$13,Paramètres!$A$1:$I$89,5,0)</f>
        <v>-6.9167072069831198E-14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186.54446846714993</v>
      </c>
      <c r="CZ135" s="59">
        <f t="shared" si="150"/>
        <v>154.43773051601286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</v>
      </c>
      <c r="DG135" s="21">
        <f>EXP(-LN(2)/25)*DG134+(1-EXP(-LN(2)/25))/(LN(2)/25)*Calculateur!DB135*Calculateur!DD135*VLOOKUP('Données projet'!$B$13,Paramètres!$A$1:$I$89,3,0)*0.475*44/12</f>
        <v>5.0492882934250582</v>
      </c>
      <c r="DH135" s="21">
        <f>EXP(-LN(2)/2)*DH134+(1-EXP(-LN(2)/2))/(LN(2)/2)*DB135*DE135*VLOOKUP('Données projet'!$B$13,Paramètres!$A$1:$I$89,3,0)*0.475*44/12</f>
        <v>1.1942418300261828E-5</v>
      </c>
      <c r="DI135" s="22">
        <f t="shared" si="123"/>
        <v>5.0493002358433587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7.3924999999999983</v>
      </c>
      <c r="DO135" s="12">
        <f>IF('Données projet'!$A$166&gt;35,DO134+DN135-DW134,IF(A135&lt;'Données projet'!$A$166,$DL$205^A135,IF(A135='Données projet'!$A$166,'Données projet'!$B$166,DO134+DN135-DW134)))</f>
        <v>340.79750000000007</v>
      </c>
      <c r="DP135" s="17">
        <f>DO135*VLOOKUP('Données projet'!$B$14,Paramètres!$A$1:$I$89,3,0)*VLOOKUP('Données projet'!$B$14,Paramètres!$A$1:$I$89,5,0)</f>
        <v>388.1001930000001</v>
      </c>
      <c r="DQ135" s="13">
        <f t="shared" si="151"/>
        <v>89.359937926669744</v>
      </c>
      <c r="DR135" s="20">
        <f t="shared" si="124"/>
        <v>831.57639469728338</v>
      </c>
      <c r="DS135" s="59">
        <f t="shared" si="125"/>
        <v>1115.8107799709826</v>
      </c>
      <c r="DT135" s="59">
        <f ca="1">AVERAGE(OFFSET($DS$3,0,0,'Données projet'!$E$14+1,1))-AVERAGE(OFFSET($H$3,0,0,'Données projet'!$E$14+1,1))</f>
        <v>651.35546372812314</v>
      </c>
      <c r="DU135" s="59">
        <f t="shared" si="152"/>
        <v>293.6561676213388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25.027114797054253</v>
      </c>
      <c r="EB135" s="21">
        <f>EXP(-LN(2)/25)*EB134+(1-EXP(-LN(2)/25))/(LN(2)/25)*Calculateur!DW135*Calculateur!DY135*VLOOKUP('Données projet'!$B$14,Paramètres!$A$1:$I$89,3,0)*0.475*44/12</f>
        <v>26.17309206464326</v>
      </c>
      <c r="EC135" s="21">
        <f>EXP(-LN(2)/2)*EC134+(1-EXP(-LN(2)/2))/(LN(2)/2)*DW135*DZ135*VLOOKUP('Données projet'!$B$14,Paramètres!$A$1:$I$89,3,0)*0.475*44/12</f>
        <v>0.57884742301831082</v>
      </c>
      <c r="ED135" s="22">
        <f t="shared" si="126"/>
        <v>51.779054284715819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8.5265128291212022E-14</v>
      </c>
      <c r="EK135" s="17">
        <f>EJ135*VLOOKUP('Données projet'!$B$15,Paramètres!$A$1:$I$89,3,0)*VLOOKUP('Données projet'!$B$15,Paramètres!$A$1:$I$89,5,0)</f>
        <v>8.9119112089974823E-14</v>
      </c>
      <c r="EL135" s="13">
        <f t="shared" si="153"/>
        <v>1.3568952080113142E-12</v>
      </c>
      <c r="EM135" s="20">
        <f t="shared" si="127"/>
        <v>2.5184749408430782E-12</v>
      </c>
      <c r="EN135" s="59">
        <f t="shared" si="128"/>
        <v>284.23438527370166</v>
      </c>
      <c r="EO135" s="59">
        <f ca="1">AVERAGE(OFFSET($EN$3,0,0,'Données projet'!$E$15+1,1))-AVERAGE(OFFSET($H$3,0,0,'Données projet'!$E$15+1,1))</f>
        <v>290.69667785754848</v>
      </c>
      <c r="EP135" s="59">
        <f t="shared" si="154"/>
        <v>256.28124185489082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9.4444140664599079</v>
      </c>
      <c r="EW135" s="21">
        <f>EXP(-LN(2)/25)*EW134+(1-EXP(-LN(2)/25))/(LN(2)/25)*Calculateur!ER135*Calculateur!ET135*VLOOKUP('Données projet'!$B$15,Paramètres!$A$1:$I$89,3,0)*0.475*44/12</f>
        <v>18.714760246733864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28.159174313193773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9.0229999999999961</v>
      </c>
      <c r="N136" s="13">
        <f>IF('Données projet'!$A$36&gt;35,N135+M136-V135,IF(A136&lt;'Données projet'!$A$36,$K$205^A136,IF(A136='Données projet'!$A$36,'Données projet'!$B$36,N135+M136-V135)))</f>
        <v>475.25700000000086</v>
      </c>
      <c r="O136" s="13">
        <f>N136*VLOOKUP('Données projet'!$B$9,Paramètres!$A$1:$I$89,3,0)*VLOOKUP('Données projet'!$B$9,Paramètres!$A$1:$I$89,5,0)</f>
        <v>481.9105980000009</v>
      </c>
      <c r="P136" s="13">
        <f t="shared" si="141"/>
        <v>108.19850103573877</v>
      </c>
      <c r="Q136" s="20">
        <f t="shared" si="108"/>
        <v>1027.7733474872464</v>
      </c>
      <c r="R136" s="59">
        <f t="shared" si="109"/>
        <v>1312.1655791675798</v>
      </c>
      <c r="S136" s="59">
        <f ca="1">AVERAGE(OFFSET($R$3,0,0,'Données projet'!$E$9+1,1))-AVERAGE(OFFSET($H$3,0,0,'Données projet'!$E$9+1,1))</f>
        <v>752.45542076695506</v>
      </c>
      <c r="T136" s="59">
        <f t="shared" si="142"/>
        <v>329.70629768420724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36.208521291397652</v>
      </c>
      <c r="AA136" s="21">
        <f>EXP(-LN(2)/25)*AA135+(1-EXP(-LN(2)/25))/(LN(2)/25)*Calculateur!V136*Calculateur!X136*VLOOKUP('Données projet'!$B$9,Paramètres!$A$1:$I$89,3,0)*0.475*44/12</f>
        <v>21.385994929394659</v>
      </c>
      <c r="AB136" s="21">
        <f>EXP(-LN(2)/2)*AB135+(1-EXP(-LN(2)/2))/(LN(2)/2)*V136*Y136*VLOOKUP('Données projet'!$B$9,Paramètres!$A$1:$I$89,3,0)*0.475*44/12</f>
        <v>0.25288875633887364</v>
      </c>
      <c r="AC136" s="22">
        <f t="shared" si="111"/>
        <v>57.847404977131191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408.246209980743</v>
      </c>
      <c r="AO136" s="59">
        <f t="shared" si="144"/>
        <v>394.10236303013903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19.981410856803986</v>
      </c>
      <c r="AV136" s="21">
        <f>EXP(-LN(2)/25)*AV135+(1-EXP(-LN(2)/25))/(LN(2)/25)*Calculateur!AQ136*Calculateur!AS136*VLOOKUP('Données projet'!$B$10,Paramètres!$A$1:$I$89,3,0)*0.475*44/12</f>
        <v>12.964405733582442</v>
      </c>
      <c r="AW136" s="21">
        <f>EXP(-LN(2)/2)*AW135+(1-EXP(-LN(2)/2))/(LN(2)/2)*AQ136*AT136*VLOOKUP('Données projet'!$B$10,Paramètres!$A$1:$I$89,3,0)*0.475*44/12</f>
        <v>7.2219740315930429E-7</v>
      </c>
      <c r="AX136" s="21">
        <f t="shared" si="114"/>
        <v>32.945817312583834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9.0229999999999961</v>
      </c>
      <c r="BD136" s="12">
        <f>IF('Données projet'!$A$88&gt;35,BD135+BC136-BL135,IF(A136&lt;'Données projet'!$A$88,$BA$205^A136,IF(A136='Données projet'!$A$88,'Données projet'!$B$88,BD135+BC136-BL135)))</f>
        <v>475.25700000000086</v>
      </c>
      <c r="BE136" s="13">
        <f>BD136*VLOOKUP('Données projet'!$B$11,Paramètres!$A$1:$I$89,3,0)*VLOOKUP('Données projet'!$B$11,Paramètres!$A$1:$I$89,5,0)</f>
        <v>452.25456120000081</v>
      </c>
      <c r="BF136" s="13">
        <f t="shared" si="145"/>
        <v>102.29359564951639</v>
      </c>
      <c r="BG136" s="20">
        <f t="shared" si="115"/>
        <v>965.83803984624228</v>
      </c>
      <c r="BH136" s="59">
        <f t="shared" si="116"/>
        <v>1250.2302715265757</v>
      </c>
      <c r="BI136" s="59">
        <f ca="1">AVERAGE(OFFSET($BH$3,0,0,'Données projet'!$E$11+1,1))-AVERAGE(OFFSET($H$3,0,0,'Données projet'!$E$11+1,1))</f>
        <v>711.91538686535682</v>
      </c>
      <c r="BJ136" s="59">
        <f t="shared" si="146"/>
        <v>313.24593837351722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33.98030459654241</v>
      </c>
      <c r="BQ136" s="21">
        <f>EXP(-LN(2)/25)*BQ135+(1-EXP(-LN(2)/25))/(LN(2)/25)*Calculateur!BL136*Calculateur!BN136*VLOOKUP('Données projet'!$B$11,Paramètres!$A$1:$I$89,3,0)*0.475*44/12</f>
        <v>20.069933702970367</v>
      </c>
      <c r="BR136" s="21">
        <f>EXP(-LN(2)/2)*BR135+(1-EXP(-LN(2)/2))/(LN(2)/2)*BL136*BO136*VLOOKUP('Données projet'!$B$11,Paramètres!$A$1:$I$89,3,0)*0.475*44/12</f>
        <v>0.23732637133340467</v>
      </c>
      <c r="BS136" s="22">
        <f t="shared" si="117"/>
        <v>54.28756467084618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9.0229999999999961</v>
      </c>
      <c r="BY136" s="12">
        <f>IF('Données projet'!$A$114&gt;35,BY135+BX136-CG135,IF(A136&lt;'Données projet'!$A$114,$BV$205^A136,IF(A136='Données projet'!$A$114,'Données projet'!$B$114,BY135+BX136-CG135)))</f>
        <v>475.25700000000086</v>
      </c>
      <c r="BZ136" s="13">
        <f>BY136*VLOOKUP('Données projet'!$B$12,Paramètres!$A$1:$I$89,3,0)*VLOOKUP('Données projet'!$B$12,Paramètres!$A$1:$I$89,5,0)</f>
        <v>430.01253360000078</v>
      </c>
      <c r="CA136" s="13">
        <f t="shared" si="147"/>
        <v>97.835389274652726</v>
      </c>
      <c r="CB136" s="20">
        <f t="shared" si="118"/>
        <v>919.33513234002146</v>
      </c>
      <c r="CC136" s="59">
        <f t="shared" si="119"/>
        <v>1203.7273640203548</v>
      </c>
      <c r="CD136" s="59">
        <f ca="1">AVERAGE(OFFSET($CC$3,0,0,'Données projet'!$E$12+1,1))-AVERAGE(OFFSET($H$3,0,0,'Données projet'!$E$12+1,1))</f>
        <v>681.47578137804555</v>
      </c>
      <c r="CE136" s="59">
        <f t="shared" si="148"/>
        <v>300.88511065995885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32.309142075400985</v>
      </c>
      <c r="CL136" s="21">
        <f>EXP(-LN(2)/25)*CL135+(1-EXP(-LN(2)/25))/(LN(2)/25)*Calculateur!CG136*Calculateur!CI136*VLOOKUP('Données projet'!$B$12,Paramètres!$A$1:$I$89,3,0)*0.475*44/12</f>
        <v>19.082887783152156</v>
      </c>
      <c r="CM136" s="21">
        <f>EXP(-LN(2)/2)*CM135+(1-EXP(-LN(2)/2))/(LN(2)/2)*CG136*CJ136*VLOOKUP('Données projet'!$B$12,Paramètres!$A$1:$I$89,3,0)*0.475*44/12</f>
        <v>0.22565458257930279</v>
      </c>
      <c r="CN136" s="22">
        <f t="shared" si="120"/>
        <v>51.617684441132447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-8.5265128291212022E-14</v>
      </c>
      <c r="CU136" s="17">
        <f>CT136*VLOOKUP('Données projet'!$B$13,Paramètres!$A$1:$I$89,3,0)*VLOOKUP('Données projet'!$B$13,Paramètres!$A$1:$I$89,5,0)</f>
        <v>-6.9167072069831198E-14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186.54446846714993</v>
      </c>
      <c r="CZ136" s="59">
        <f t="shared" si="150"/>
        <v>154.43773051601286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</v>
      </c>
      <c r="DG136" s="21">
        <f>EXP(-LN(2)/25)*DG135+(1-EXP(-LN(2)/25))/(LN(2)/25)*Calculateur!DB136*Calculateur!DD136*VLOOKUP('Données projet'!$B$13,Paramètres!$A$1:$I$89,3,0)*0.475*44/12</f>
        <v>4.9112152395108186</v>
      </c>
      <c r="DH136" s="21">
        <f>EXP(-LN(2)/2)*DH135+(1-EXP(-LN(2)/2))/(LN(2)/2)*DB136*DE136*VLOOKUP('Données projet'!$B$13,Paramètres!$A$1:$I$89,3,0)*0.475*44/12</f>
        <v>8.4445649638814611E-6</v>
      </c>
      <c r="DI136" s="22">
        <f t="shared" si="123"/>
        <v>4.9112236840757824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7.3924999999999983</v>
      </c>
      <c r="DO136" s="12">
        <f>IF('Données projet'!$A$166&gt;35,DO135+DN136-DW135,IF(A136&lt;'Données projet'!$A$166,$DL$205^A136,IF(A136='Données projet'!$A$166,'Données projet'!$B$166,DO135+DN136-DW135)))</f>
        <v>348.19000000000005</v>
      </c>
      <c r="DP136" s="17">
        <f>DO136*VLOOKUP('Données projet'!$B$14,Paramètres!$A$1:$I$89,3,0)*VLOOKUP('Données projet'!$B$14,Paramètres!$A$1:$I$89,5,0)</f>
        <v>396.51877200000007</v>
      </c>
      <c r="DQ136" s="13">
        <f t="shared" si="151"/>
        <v>91.070541022427946</v>
      </c>
      <c r="DR136" s="20">
        <f t="shared" si="124"/>
        <v>849.21805351406203</v>
      </c>
      <c r="DS136" s="59">
        <f t="shared" si="125"/>
        <v>1133.6102851943954</v>
      </c>
      <c r="DT136" s="59">
        <f ca="1">AVERAGE(OFFSET($DS$3,0,0,'Données projet'!$E$14+1,1))-AVERAGE(OFFSET($H$3,0,0,'Données projet'!$E$14+1,1))</f>
        <v>651.35546372812314</v>
      </c>
      <c r="DU136" s="59">
        <f t="shared" si="152"/>
        <v>293.6561676213388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24.536348340916749</v>
      </c>
      <c r="EB136" s="21">
        <f>EXP(-LN(2)/25)*EB135+(1-EXP(-LN(2)/25))/(LN(2)/25)*Calculateur!DW136*Calculateur!DY136*VLOOKUP('Données projet'!$B$14,Paramètres!$A$1:$I$89,3,0)*0.475*44/12</f>
        <v>25.457387485752498</v>
      </c>
      <c r="EC136" s="21">
        <f>EXP(-LN(2)/2)*EC135+(1-EXP(-LN(2)/2))/(LN(2)/2)*DW136*DZ136*VLOOKUP('Données projet'!$B$14,Paramètres!$A$1:$I$89,3,0)*0.475*44/12</f>
        <v>0.40930693808860563</v>
      </c>
      <c r="ED136" s="22">
        <f t="shared" si="126"/>
        <v>50.403042764757856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8.5265128291212022E-14</v>
      </c>
      <c r="EK136" s="17">
        <f>EJ136*VLOOKUP('Données projet'!$B$15,Paramètres!$A$1:$I$89,3,0)*VLOOKUP('Données projet'!$B$15,Paramètres!$A$1:$I$89,5,0)</f>
        <v>8.9119112089974823E-14</v>
      </c>
      <c r="EL136" s="13">
        <f t="shared" si="153"/>
        <v>1.3568952080113142E-12</v>
      </c>
      <c r="EM136" s="20">
        <f t="shared" si="127"/>
        <v>2.5184749408430782E-12</v>
      </c>
      <c r="EN136" s="59">
        <f t="shared" si="128"/>
        <v>284.3922316803359</v>
      </c>
      <c r="EO136" s="59">
        <f ca="1">AVERAGE(OFFSET($EN$3,0,0,'Données projet'!$E$15+1,1))-AVERAGE(OFFSET($H$3,0,0,'Données projet'!$E$15+1,1))</f>
        <v>290.69667785754848</v>
      </c>
      <c r="EP136" s="59">
        <f t="shared" si="154"/>
        <v>256.28124185489082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9.2592148671404058</v>
      </c>
      <c r="EW136" s="21">
        <f>EXP(-LN(2)/25)*EW135+(1-EXP(-LN(2)/25))/(LN(2)/25)*Calculateur!ER136*Calculateur!ET136*VLOOKUP('Données projet'!$B$15,Paramètres!$A$1:$I$89,3,0)*0.475*44/12</f>
        <v>18.203004143620458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27.462219010760862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>
        <f>VLOOKUP(A137,'Données projet'!$A$35:$I$55,2,0)</f>
        <v>484.28</v>
      </c>
      <c r="L137" s="12">
        <f>VLOOKUP(A137,'Données projet'!$A$35:$I$55,9,0)</f>
        <v>9.0229999999999961</v>
      </c>
      <c r="M137" s="12">
        <f t="array" ref="M137">INDEX(L:L,MIN(IF(ISNUMBER(L137:L333),ROW(L137:L333),"")))</f>
        <v>9.0229999999999961</v>
      </c>
      <c r="N137" s="13">
        <f>IF('Données projet'!$A$36&gt;35,N136+M137-V136,IF(A137&lt;'Données projet'!$A$36,$K$205^A137,IF(A137='Données projet'!$A$36,'Données projet'!$B$36,N136+M137-V136)))</f>
        <v>484.28000000000088</v>
      </c>
      <c r="O137" s="13">
        <f>N137*VLOOKUP('Données projet'!$B$9,Paramètres!$A$1:$I$89,3,0)*VLOOKUP('Données projet'!$B$9,Paramètres!$A$1:$I$89,5,0)</f>
        <v>491.05992000000094</v>
      </c>
      <c r="P137" s="13">
        <f t="shared" si="141"/>
        <v>110.01160457151111</v>
      </c>
      <c r="Q137" s="20">
        <f t="shared" si="108"/>
        <v>1046.8662386287169</v>
      </c>
      <c r="R137" s="59">
        <f t="shared" si="109"/>
        <v>1331.4135784334212</v>
      </c>
      <c r="S137" s="59">
        <f ca="1">AVERAGE(OFFSET($R$3,0,0,'Données projet'!$E$9+1,1))-AVERAGE(OFFSET($H$3,0,0,'Données projet'!$E$9+1,1))</f>
        <v>752.45542076695506</v>
      </c>
      <c r="T137" s="59">
        <f t="shared" si="142"/>
        <v>329.70629768420724</v>
      </c>
      <c r="U137" s="15">
        <f>IF(ISNA(VLOOKUP(A137,'Données projet'!$A$35:$I$55,3,0)),0,VLOOKUP(A137,'Données projet'!$A$35:$I$55,3,0))</f>
        <v>11</v>
      </c>
      <c r="V137" s="15">
        <f>IF(ISNA(VLOOKUP(A137,'Données projet'!$A$35:$I$55,4,0)),0,VLOOKUP(A137,'Données projet'!$A$35:$I$55,4,0))</f>
        <v>60.779999999999973</v>
      </c>
      <c r="W137" s="16">
        <f>IF(ISNA(VLOOKUP(A137,'Données projet'!$A$35:$I$55,5,0)),0%,VLOOKUP(A137,'Données projet'!$A$35:$I$55,5,0)*VLOOKUP('Données projet'!$B$9,Paramètres!$A$1:$I$89,7,0))</f>
        <v>0.215</v>
      </c>
      <c r="X137" s="16">
        <f>IF(ISNA(VLOOKUP(A137,'Données projet'!$A$35:$I$55,6,0)),0%,VLOOKUP(A137,'Données projet'!$A$35:$I$55,6,0)*VLOOKUP('Données projet'!$B$9,Paramètres!$A$1:$I$89,7,0))</f>
        <v>8.6000000000000007E-2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50.146692926414062</v>
      </c>
      <c r="AA137" s="21">
        <f>EXP(-LN(2)/25)*AA136+(1-EXP(-LN(2)/25))/(LN(2)/25)*Calculateur!V137*Calculateur!X137*VLOOKUP('Données projet'!$B$9,Paramètres!$A$1:$I$89,3,0)*0.475*44/12</f>
        <v>26.637403018620649</v>
      </c>
      <c r="AB137" s="21">
        <f>EXP(-LN(2)/2)*AB136+(1-EXP(-LN(2)/2))/(LN(2)/2)*V137*Y137*VLOOKUP('Données projet'!$B$9,Paramètres!$A$1:$I$89,3,0)*0.475*44/12</f>
        <v>0.17881935449305006</v>
      </c>
      <c r="AC137" s="22">
        <f t="shared" si="111"/>
        <v>76.962915299527751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408.246209980743</v>
      </c>
      <c r="AO137" s="59">
        <f t="shared" si="144"/>
        <v>394.10236303013903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19.589587577359271</v>
      </c>
      <c r="AV137" s="21">
        <f>EXP(-LN(2)/25)*AV136+(1-EXP(-LN(2)/25))/(LN(2)/25)*Calculateur!AQ137*Calculateur!AS137*VLOOKUP('Données projet'!$B$10,Paramètres!$A$1:$I$89,3,0)*0.475*44/12</f>
        <v>12.609893377029163</v>
      </c>
      <c r="AW137" s="21">
        <f>EXP(-LN(2)/2)*AW136+(1-EXP(-LN(2)/2))/(LN(2)/2)*AQ137*AT137*VLOOKUP('Données projet'!$B$10,Paramètres!$A$1:$I$89,3,0)*0.475*44/12</f>
        <v>5.1067068112925902E-7</v>
      </c>
      <c r="AX137" s="21">
        <f t="shared" si="114"/>
        <v>32.199481465059115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>
        <f>VLOOKUP(A137,'Données projet'!$A$87:$I$107,2,0)</f>
        <v>484.28</v>
      </c>
      <c r="BB137" s="12">
        <f>VLOOKUP(A137,'Données projet'!$A$87:$I$107,9,0)</f>
        <v>9.0229999999999961</v>
      </c>
      <c r="BC137" s="12">
        <f t="array" ref="BC137">INDEX(BB:BB,MIN(IF(ISNUMBER(BB137:BB333),ROW(BB137:BB333),"")))</f>
        <v>9.0229999999999961</v>
      </c>
      <c r="BD137" s="12">
        <f>IF('Données projet'!$A$88&gt;35,BD136+BC137-BL136,IF(A137&lt;'Données projet'!$A$88,$BA$205^A137,IF(A137='Données projet'!$A$88,'Données projet'!$B$88,BD136+BC137-BL136)))</f>
        <v>484.28000000000088</v>
      </c>
      <c r="BE137" s="13">
        <f>BD137*VLOOKUP('Données projet'!$B$11,Paramètres!$A$1:$I$89,3,0)*VLOOKUP('Données projet'!$B$11,Paramètres!$A$1:$I$89,5,0)</f>
        <v>460.84084800000079</v>
      </c>
      <c r="BF137" s="13">
        <f t="shared" si="145"/>
        <v>104.00774952580478</v>
      </c>
      <c r="BG137" s="20">
        <f t="shared" si="115"/>
        <v>983.77797402411124</v>
      </c>
      <c r="BH137" s="59">
        <f t="shared" si="116"/>
        <v>1268.3253138288155</v>
      </c>
      <c r="BI137" s="59">
        <f ca="1">AVERAGE(OFFSET($BH$3,0,0,'Données projet'!$E$11+1,1))-AVERAGE(OFFSET($H$3,0,0,'Données projet'!$E$11+1,1))</f>
        <v>711.91538686535682</v>
      </c>
      <c r="BJ137" s="59">
        <f t="shared" si="146"/>
        <v>313.24593837351722</v>
      </c>
      <c r="BK137" s="15">
        <f>IF(ISNA(VLOOKUP(A137,'Données projet'!$A$87:$I$107,3,0)),0,VLOOKUP(A137,'Données projet'!$A$87:$I$107,3,0))</f>
        <v>11</v>
      </c>
      <c r="BL137" s="15">
        <f>IF(ISNA(VLOOKUP(A137,'Données projet'!$A$87:$I$107,4,0)),0,VLOOKUP(A137,'Données projet'!$A$87:$I$107,4,0))</f>
        <v>60.779999999999973</v>
      </c>
      <c r="BM137" s="16">
        <f>IF(ISNA(VLOOKUP(A137,'Données projet'!$A$87:$I$107,5,0)),0%,VLOOKUP(A137,'Données projet'!$A$87:$I$107,5,0)*VLOOKUP('Données projet'!$B$11,Paramètres!$A$1:$I$89,7,0))</f>
        <v>0.215</v>
      </c>
      <c r="BN137" s="16">
        <f>IF(ISNA(VLOOKUP(A137,'Données projet'!$A$87:$I$107,6,0)),0%,VLOOKUP(A137,'Données projet'!$A$87:$I$107,6,0)*VLOOKUP('Données projet'!$B$11,Paramètres!$A$1:$I$89,7,0))</f>
        <v>8.6000000000000007E-2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47.060742592480885</v>
      </c>
      <c r="BQ137" s="21">
        <f>EXP(-LN(2)/25)*BQ136+(1-EXP(-LN(2)/25))/(LN(2)/25)*Calculateur!BL137*Calculateur!BN137*VLOOKUP('Données projet'!$B$11,Paramètres!$A$1:$I$89,3,0)*0.475*44/12</f>
        <v>24.998178217474756</v>
      </c>
      <c r="BR137" s="21">
        <f>EXP(-LN(2)/2)*BR136+(1-EXP(-LN(2)/2))/(LN(2)/2)*BL137*BO137*VLOOKUP('Données projet'!$B$11,Paramètres!$A$1:$I$89,3,0)*0.475*44/12</f>
        <v>0.16781508652424712</v>
      </c>
      <c r="BS137" s="22">
        <f t="shared" si="117"/>
        <v>72.22673589647988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>
        <f>VLOOKUP(A137,'Données projet'!$A$113:$I$133,2,0)</f>
        <v>484.28</v>
      </c>
      <c r="BW137" s="12">
        <f>VLOOKUP(A137,'Données projet'!$A$113:$I$133,9,0)</f>
        <v>9.0229999999999961</v>
      </c>
      <c r="BX137" s="12">
        <f t="array" ref="BX137">INDEX(BW:BW,MIN(IF(ISNUMBER(BW137:BW333),ROW(BW137:BW333),"")))</f>
        <v>9.0229999999999961</v>
      </c>
      <c r="BY137" s="12">
        <f>IF('Données projet'!$A$114&gt;35,BY136+BX137-CG136,IF(A137&lt;'Données projet'!$A$114,$BV$205^A137,IF(A137='Données projet'!$A$114,'Données projet'!$B$114,BY136+BX137-CG136)))</f>
        <v>484.28000000000088</v>
      </c>
      <c r="BZ137" s="13">
        <f>BY137*VLOOKUP('Données projet'!$B$12,Paramètres!$A$1:$I$89,3,0)*VLOOKUP('Données projet'!$B$12,Paramètres!$A$1:$I$89,5,0)</f>
        <v>438.17654400000077</v>
      </c>
      <c r="CA137" s="13">
        <f t="shared" si="147"/>
        <v>99.474836110972063</v>
      </c>
      <c r="CB137" s="20">
        <f t="shared" si="118"/>
        <v>936.40948702661092</v>
      </c>
      <c r="CC137" s="59">
        <f t="shared" si="119"/>
        <v>1220.9568268313151</v>
      </c>
      <c r="CD137" s="59">
        <f ca="1">AVERAGE(OFFSET($CC$3,0,0,'Données projet'!$E$12+1,1))-AVERAGE(OFFSET($H$3,0,0,'Données projet'!$E$12+1,1))</f>
        <v>681.47578137804555</v>
      </c>
      <c r="CE137" s="59">
        <f t="shared" si="148"/>
        <v>300.88511065995885</v>
      </c>
      <c r="CF137" s="15">
        <f>IF(ISNA(VLOOKUP(A137,'Données projet'!$A$113:$I$133,3,0)),0,VLOOKUP(A137,'Données projet'!$A$113:$I$133,3,0))</f>
        <v>11</v>
      </c>
      <c r="CG137" s="15">
        <f>IF(ISNA(VLOOKUP(A137,'Données projet'!$A$113:$I$133,4,0)),0,VLOOKUP(A137,'Données projet'!$A$113:$I$133,4,0))</f>
        <v>60.779999999999973</v>
      </c>
      <c r="CH137" s="16">
        <f>IF(ISNA(VLOOKUP(A137,'Données projet'!$A$113:$I$133,5,0)),0%,VLOOKUP(A137,'Données projet'!$A$113:$I$133,5,0)*VLOOKUP('Données projet'!$B$12,Paramètres!$A$1:$I$89,7,0))</f>
        <v>0.215</v>
      </c>
      <c r="CI137" s="16">
        <f>IF(ISNA(VLOOKUP(A137,'Données projet'!$A$113:$I$133,6,0)),0%,VLOOKUP(A137,'Données projet'!$A$113:$I$133,6,0)*VLOOKUP('Données projet'!$B$12,Paramètres!$A$1:$I$89,7,0))</f>
        <v>8.6000000000000007E-2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44.746279842031008</v>
      </c>
      <c r="CL137" s="21">
        <f>EXP(-LN(2)/25)*CL136+(1-EXP(-LN(2)/25))/(LN(2)/25)*Calculateur!CG137*Calculateur!CI137*VLOOKUP('Données projet'!$B$12,Paramètres!$A$1:$I$89,3,0)*0.475*44/12</f>
        <v>23.768759616615345</v>
      </c>
      <c r="CM137" s="21">
        <f>EXP(-LN(2)/2)*CM136+(1-EXP(-LN(2)/2))/(LN(2)/2)*CG137*CJ137*VLOOKUP('Données projet'!$B$12,Paramètres!$A$1:$I$89,3,0)*0.475*44/12</f>
        <v>0.15956188554764478</v>
      </c>
      <c r="CN137" s="22">
        <f t="shared" si="120"/>
        <v>68.674601344194002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-8.5265128291212022E-14</v>
      </c>
      <c r="CU137" s="17">
        <f>CT137*VLOOKUP('Données projet'!$B$13,Paramètres!$A$1:$I$89,3,0)*VLOOKUP('Données projet'!$B$13,Paramètres!$A$1:$I$89,5,0)</f>
        <v>-6.9167072069831198E-14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186.54446846714993</v>
      </c>
      <c r="CZ137" s="59">
        <f t="shared" si="150"/>
        <v>154.43773051601286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</v>
      </c>
      <c r="DG137" s="21">
        <f>EXP(-LN(2)/25)*DG136+(1-EXP(-LN(2)/25))/(LN(2)/25)*Calculateur!DB137*Calculateur!DD137*VLOOKUP('Données projet'!$B$13,Paramètres!$A$1:$I$89,3,0)*0.475*44/12</f>
        <v>4.7769178005168103</v>
      </c>
      <c r="DH137" s="21">
        <f>EXP(-LN(2)/2)*DH136+(1-EXP(-LN(2)/2))/(LN(2)/2)*DB137*DE137*VLOOKUP('Données projet'!$B$13,Paramètres!$A$1:$I$89,3,0)*0.475*44/12</f>
        <v>5.9712091501309141E-6</v>
      </c>
      <c r="DI137" s="22">
        <f t="shared" si="123"/>
        <v>4.7769237717259605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7.3924999999999983</v>
      </c>
      <c r="DO137" s="12">
        <f>IF('Données projet'!$A$166&gt;35,DO136+DN137-DW136,IF(A137&lt;'Données projet'!$A$166,$DL$205^A137,IF(A137='Données projet'!$A$166,'Données projet'!$B$166,DO136+DN137-DW136)))</f>
        <v>355.58250000000004</v>
      </c>
      <c r="DP137" s="17">
        <f>DO137*VLOOKUP('Données projet'!$B$14,Paramètres!$A$1:$I$89,3,0)*VLOOKUP('Données projet'!$B$14,Paramètres!$A$1:$I$89,5,0)</f>
        <v>404.93735100000009</v>
      </c>
      <c r="DQ137" s="13">
        <f t="shared" si="151"/>
        <v>92.776921563980736</v>
      </c>
      <c r="DR137" s="20">
        <f t="shared" si="124"/>
        <v>866.85235804893318</v>
      </c>
      <c r="DS137" s="59">
        <f t="shared" si="125"/>
        <v>1151.3996978536375</v>
      </c>
      <c r="DT137" s="59">
        <f ca="1">AVERAGE(OFFSET($DS$3,0,0,'Données projet'!$E$14+1,1))-AVERAGE(OFFSET($H$3,0,0,'Données projet'!$E$14+1,1))</f>
        <v>651.35546372812314</v>
      </c>
      <c r="DU137" s="59">
        <f t="shared" si="152"/>
        <v>293.6561676213388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24.055205515646119</v>
      </c>
      <c r="EB137" s="21">
        <f>EXP(-LN(2)/25)*EB136+(1-EXP(-LN(2)/25))/(LN(2)/25)*Calculateur!DW137*Calculateur!DY137*VLOOKUP('Données projet'!$B$14,Paramètres!$A$1:$I$89,3,0)*0.475*44/12</f>
        <v>24.761253886208774</v>
      </c>
      <c r="EC137" s="21">
        <f>EXP(-LN(2)/2)*EC136+(1-EXP(-LN(2)/2))/(LN(2)/2)*DW137*DZ137*VLOOKUP('Données projet'!$B$14,Paramètres!$A$1:$I$89,3,0)*0.475*44/12</f>
        <v>0.28942371150915541</v>
      </c>
      <c r="ED137" s="22">
        <f t="shared" si="126"/>
        <v>49.105883113364051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8.5265128291212022E-14</v>
      </c>
      <c r="EK137" s="17">
        <f>EJ137*VLOOKUP('Données projet'!$B$15,Paramètres!$A$1:$I$89,3,0)*VLOOKUP('Données projet'!$B$15,Paramètres!$A$1:$I$89,5,0)</f>
        <v>8.9119112089974823E-14</v>
      </c>
      <c r="EL137" s="13">
        <f t="shared" si="153"/>
        <v>1.3568952080113142E-12</v>
      </c>
      <c r="EM137" s="20">
        <f t="shared" si="127"/>
        <v>2.5184749408430782E-12</v>
      </c>
      <c r="EN137" s="59">
        <f t="shared" si="128"/>
        <v>284.54733980470678</v>
      </c>
      <c r="EO137" s="59">
        <f ca="1">AVERAGE(OFFSET($EN$3,0,0,'Données projet'!$E$15+1,1))-AVERAGE(OFFSET($H$3,0,0,'Données projet'!$E$15+1,1))</f>
        <v>290.69667785754848</v>
      </c>
      <c r="EP137" s="59">
        <f t="shared" si="154"/>
        <v>256.28124185489082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9.0776473111592004</v>
      </c>
      <c r="EW137" s="21">
        <f>EXP(-LN(2)/25)*EW136+(1-EXP(-LN(2)/25))/(LN(2)/25)*Calculateur!ER137*Calculateur!ET137*VLOOKUP('Données projet'!$B$15,Paramètres!$A$1:$I$89,3,0)*0.475*44/12</f>
        <v>17.705242038058771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26.782889349217971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9.1440000000000055</v>
      </c>
      <c r="N138" s="13">
        <f>IF('Données projet'!$A$36&gt;35,N137+M138-V137,IF(A138&lt;'Données projet'!$A$36,$K$205^A138,IF(A138='Données projet'!$A$36,'Données projet'!$B$36,N137+M138-V137)))</f>
        <v>432.64400000000091</v>
      </c>
      <c r="O138" s="13">
        <f>N138*VLOOKUP('Données projet'!$B$9,Paramètres!$A$1:$I$89,3,0)*VLOOKUP('Données projet'!$B$9,Paramètres!$A$1:$I$89,5,0)</f>
        <v>438.70101600000095</v>
      </c>
      <c r="P138" s="13">
        <f t="shared" si="141"/>
        <v>99.580035175975198</v>
      </c>
      <c r="Q138" s="20">
        <f t="shared" si="108"/>
        <v>937.50616413149157</v>
      </c>
      <c r="R138" s="59">
        <f t="shared" si="109"/>
        <v>1222.2059212813788</v>
      </c>
      <c r="S138" s="59">
        <f ca="1">AVERAGE(OFFSET($R$3,0,0,'Données projet'!$E$9+1,1))-AVERAGE(OFFSET($H$3,0,0,'Données projet'!$E$9+1,1))</f>
        <v>752.45542076695506</v>
      </c>
      <c r="T138" s="59">
        <f t="shared" si="142"/>
        <v>329.70629768420724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49.163346864589606</v>
      </c>
      <c r="AA138" s="21">
        <f>EXP(-LN(2)/25)*AA137+(1-EXP(-LN(2)/25))/(LN(2)/25)*Calculateur!V138*Calculateur!X138*VLOOKUP('Données projet'!$B$9,Paramètres!$A$1:$I$89,3,0)*0.475*44/12</f>
        <v>25.909001832276324</v>
      </c>
      <c r="AB138" s="21">
        <f>EXP(-LN(2)/2)*AB137+(1-EXP(-LN(2)/2))/(LN(2)/2)*V138*Y138*VLOOKUP('Données projet'!$B$9,Paramètres!$A$1:$I$89,3,0)*0.475*44/12</f>
        <v>0.12644437816943682</v>
      </c>
      <c r="AC138" s="22">
        <f t="shared" si="111"/>
        <v>75.198793075035368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408.246209980743</v>
      </c>
      <c r="AO138" s="59">
        <f t="shared" si="144"/>
        <v>394.10236303013903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19.205447713435866</v>
      </c>
      <c r="AV138" s="21">
        <f>EXP(-LN(2)/25)*AV137+(1-EXP(-LN(2)/25))/(LN(2)/25)*Calculateur!AQ138*Calculateur!AS138*VLOOKUP('Données projet'!$B$10,Paramètres!$A$1:$I$89,3,0)*0.475*44/12</f>
        <v>12.265075179508829</v>
      </c>
      <c r="AW138" s="21">
        <f>EXP(-LN(2)/2)*AW137+(1-EXP(-LN(2)/2))/(LN(2)/2)*AQ138*AT138*VLOOKUP('Données projet'!$B$10,Paramètres!$A$1:$I$89,3,0)*0.475*44/12</f>
        <v>3.6109870157965214E-7</v>
      </c>
      <c r="AX138" s="21">
        <f t="shared" si="114"/>
        <v>31.470523254043396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9.1440000000000055</v>
      </c>
      <c r="BD138" s="12">
        <f>IF('Données projet'!$A$88&gt;35,BD137+BC138-BL137,IF(A138&lt;'Données projet'!$A$88,$BA$205^A138,IF(A138='Données projet'!$A$88,'Données projet'!$B$88,BD137+BC138-BL137)))</f>
        <v>432.64400000000091</v>
      </c>
      <c r="BE138" s="13">
        <f>BD138*VLOOKUP('Données projet'!$B$11,Paramètres!$A$1:$I$89,3,0)*VLOOKUP('Données projet'!$B$11,Paramètres!$A$1:$I$89,5,0)</f>
        <v>411.70403040000082</v>
      </c>
      <c r="BF138" s="13">
        <f t="shared" si="145"/>
        <v>94.145480349040895</v>
      </c>
      <c r="BG138" s="20">
        <f t="shared" si="115"/>
        <v>881.0212312212476</v>
      </c>
      <c r="BH138" s="59">
        <f t="shared" si="116"/>
        <v>1165.7209883711348</v>
      </c>
      <c r="BI138" s="59">
        <f ca="1">AVERAGE(OFFSET($BH$3,0,0,'Données projet'!$E$11+1,1))-AVERAGE(OFFSET($H$3,0,0,'Données projet'!$E$11+1,1))</f>
        <v>711.91538686535682</v>
      </c>
      <c r="BJ138" s="59">
        <f t="shared" si="146"/>
        <v>313.24593837351722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46.137910134461009</v>
      </c>
      <c r="BQ138" s="21">
        <f>EXP(-LN(2)/25)*BQ137+(1-EXP(-LN(2)/25))/(LN(2)/25)*Calculateur!BL138*Calculateur!BN138*VLOOKUP('Données projet'!$B$11,Paramètres!$A$1:$I$89,3,0)*0.475*44/12</f>
        <v>24.314601719520851</v>
      </c>
      <c r="BR138" s="21">
        <f>EXP(-LN(2)/2)*BR137+(1-EXP(-LN(2)/2))/(LN(2)/2)*BL138*BO138*VLOOKUP('Données projet'!$B$11,Paramètres!$A$1:$I$89,3,0)*0.475*44/12</f>
        <v>0.11866318566670235</v>
      </c>
      <c r="BS138" s="22">
        <f t="shared" si="117"/>
        <v>70.571175039648566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9.1440000000000055</v>
      </c>
      <c r="BY138" s="12">
        <f>IF('Données projet'!$A$114&gt;35,BY137+BX138-CG137,IF(A138&lt;'Données projet'!$A$114,$BV$205^A138,IF(A138='Données projet'!$A$114,'Données projet'!$B$114,BY137+BX138-CG137)))</f>
        <v>432.64400000000091</v>
      </c>
      <c r="BZ138" s="13">
        <f>BY138*VLOOKUP('Données projet'!$B$12,Paramètres!$A$1:$I$89,3,0)*VLOOKUP('Données projet'!$B$12,Paramètres!$A$1:$I$89,5,0)</f>
        <v>391.45629120000086</v>
      </c>
      <c r="CA138" s="13">
        <f t="shared" si="147"/>
        <v>90.042388870129827</v>
      </c>
      <c r="CB138" s="20">
        <f t="shared" si="118"/>
        <v>838.6102011221443</v>
      </c>
      <c r="CC138" s="59">
        <f t="shared" si="119"/>
        <v>1123.3099582720315</v>
      </c>
      <c r="CD138" s="59">
        <f ca="1">AVERAGE(OFFSET($CC$3,0,0,'Données projet'!$E$12+1,1))-AVERAGE(OFFSET($H$3,0,0,'Données projet'!$E$12+1,1))</f>
        <v>681.47578137804555</v>
      </c>
      <c r="CE138" s="59">
        <f t="shared" si="148"/>
        <v>300.88511065995885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43.868832586864571</v>
      </c>
      <c r="CL138" s="21">
        <f>EXP(-LN(2)/25)*CL137+(1-EXP(-LN(2)/25))/(LN(2)/25)*Calculateur!CG138*Calculateur!CI138*VLOOKUP('Données projet'!$B$12,Paramètres!$A$1:$I$89,3,0)*0.475*44/12</f>
        <v>23.118801634954256</v>
      </c>
      <c r="CM138" s="21">
        <f>EXP(-LN(2)/2)*CM137+(1-EXP(-LN(2)/2))/(LN(2)/2)*CG138*CJ138*VLOOKUP('Données projet'!$B$12,Paramètres!$A$1:$I$89,3,0)*0.475*44/12</f>
        <v>0.1128272912896514</v>
      </c>
      <c r="CN138" s="22">
        <f t="shared" si="120"/>
        <v>67.100461513108471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-8.5265128291212022E-14</v>
      </c>
      <c r="CU138" s="17">
        <f>CT138*VLOOKUP('Données projet'!$B$13,Paramètres!$A$1:$I$89,3,0)*VLOOKUP('Données projet'!$B$13,Paramètres!$A$1:$I$89,5,0)</f>
        <v>-6.9167072069831198E-14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186.54446846714993</v>
      </c>
      <c r="CZ138" s="59">
        <f t="shared" si="150"/>
        <v>154.43773051601286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</v>
      </c>
      <c r="DG138" s="21">
        <f>EXP(-LN(2)/25)*DG137+(1-EXP(-LN(2)/25))/(LN(2)/25)*Calculateur!DB138*Calculateur!DD138*VLOOKUP('Données projet'!$B$13,Paramètres!$A$1:$I$89,3,0)*0.475*44/12</f>
        <v>4.6462927320544889</v>
      </c>
      <c r="DH138" s="21">
        <f>EXP(-LN(2)/2)*DH137+(1-EXP(-LN(2)/2))/(LN(2)/2)*DB138*DE138*VLOOKUP('Données projet'!$B$13,Paramètres!$A$1:$I$89,3,0)*0.475*44/12</f>
        <v>4.2222824819407305E-6</v>
      </c>
      <c r="DI138" s="22">
        <f t="shared" si="123"/>
        <v>4.6462969543369708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7.3924999999999983</v>
      </c>
      <c r="DO138" s="12">
        <f>IF('Données projet'!$A$166&gt;35,DO137+DN138-DW137,IF(A138&lt;'Données projet'!$A$166,$DL$205^A138,IF(A138='Données projet'!$A$166,'Données projet'!$B$166,DO137+DN138-DW137)))</f>
        <v>362.97500000000002</v>
      </c>
      <c r="DP138" s="17">
        <f>DO138*VLOOKUP('Données projet'!$B$14,Paramètres!$A$1:$I$89,3,0)*VLOOKUP('Données projet'!$B$14,Paramètres!$A$1:$I$89,5,0)</f>
        <v>413.35593</v>
      </c>
      <c r="DQ138" s="13">
        <f t="shared" si="151"/>
        <v>94.479177451579503</v>
      </c>
      <c r="DR138" s="20">
        <f t="shared" si="124"/>
        <v>884.47947881150094</v>
      </c>
      <c r="DS138" s="59">
        <f t="shared" si="125"/>
        <v>1169.179235961388</v>
      </c>
      <c r="DT138" s="59">
        <f ca="1">AVERAGE(OFFSET($DS$3,0,0,'Données projet'!$E$14+1,1))-AVERAGE(OFFSET($H$3,0,0,'Données projet'!$E$14+1,1))</f>
        <v>651.35546372812314</v>
      </c>
      <c r="DU138" s="59">
        <f t="shared" si="152"/>
        <v>293.6561676213388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23.5834976077109</v>
      </c>
      <c r="EB138" s="21">
        <f>EXP(-LN(2)/25)*EB137+(1-EXP(-LN(2)/25))/(LN(2)/25)*Calculateur!DW138*Calculateur!DY138*VLOOKUP('Données projet'!$B$14,Paramètres!$A$1:$I$89,3,0)*0.475*44/12</f>
        <v>24.084156096552647</v>
      </c>
      <c r="EC138" s="21">
        <f>EXP(-LN(2)/2)*EC137+(1-EXP(-LN(2)/2))/(LN(2)/2)*DW138*DZ138*VLOOKUP('Données projet'!$B$14,Paramètres!$A$1:$I$89,3,0)*0.475*44/12</f>
        <v>0.20465346904430282</v>
      </c>
      <c r="ED138" s="22">
        <f t="shared" si="126"/>
        <v>47.872307173307846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8.5265128291212022E-14</v>
      </c>
      <c r="EK138" s="17">
        <f>EJ138*VLOOKUP('Données projet'!$B$15,Paramètres!$A$1:$I$89,3,0)*VLOOKUP('Données projet'!$B$15,Paramètres!$A$1:$I$89,5,0)</f>
        <v>8.9119112089974823E-14</v>
      </c>
      <c r="EL138" s="13">
        <f t="shared" si="153"/>
        <v>1.3568952080113142E-12</v>
      </c>
      <c r="EM138" s="20">
        <f t="shared" si="127"/>
        <v>2.5184749408430782E-12</v>
      </c>
      <c r="EN138" s="59">
        <f t="shared" si="128"/>
        <v>284.69975714988965</v>
      </c>
      <c r="EO138" s="59">
        <f ca="1">AVERAGE(OFFSET($EN$3,0,0,'Données projet'!$E$15+1,1))-AVERAGE(OFFSET($H$3,0,0,'Données projet'!$E$15+1,1))</f>
        <v>290.69667785754848</v>
      </c>
      <c r="EP138" s="59">
        <f t="shared" si="154"/>
        <v>256.28124185489082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8.8996401842055128</v>
      </c>
      <c r="EW138" s="21">
        <f>EXP(-LN(2)/25)*EW137+(1-EXP(-LN(2)/25))/(LN(2)/25)*Calculateur!ER138*Calculateur!ET138*VLOOKUP('Données projet'!$B$15,Paramètres!$A$1:$I$89,3,0)*0.475*44/12</f>
        <v>17.221091263449839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26.120731447655352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9.1440000000000055</v>
      </c>
      <c r="N139" s="13">
        <f>IF('Données projet'!$A$36&gt;35,N138+M139-V138,IF(A139&lt;'Données projet'!$A$36,$K$205^A139,IF(A139='Données projet'!$A$36,'Données projet'!$B$36,N138+M139-V138)))</f>
        <v>441.78800000000092</v>
      </c>
      <c r="O139" s="13">
        <f>N139*VLOOKUP('Données projet'!$B$9,Paramètres!$A$1:$I$89,3,0)*VLOOKUP('Données projet'!$B$9,Paramètres!$A$1:$I$89,5,0)</f>
        <v>447.97303200000096</v>
      </c>
      <c r="P139" s="13">
        <f t="shared" si="141"/>
        <v>101.43742531380877</v>
      </c>
      <c r="Q139" s="20">
        <f t="shared" si="108"/>
        <v>956.88987982155186</v>
      </c>
      <c r="R139" s="59">
        <f t="shared" si="109"/>
        <v>1241.7394102164371</v>
      </c>
      <c r="S139" s="59">
        <f ca="1">AVERAGE(OFFSET($R$3,0,0,'Données projet'!$E$9+1,1))-AVERAGE(OFFSET($H$3,0,0,'Données projet'!$E$9+1,1))</f>
        <v>752.45542076695506</v>
      </c>
      <c r="T139" s="59">
        <f t="shared" si="142"/>
        <v>329.70629768420724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48.199283619255652</v>
      </c>
      <c r="AA139" s="21">
        <f>EXP(-LN(2)/25)*AA138+(1-EXP(-LN(2)/25))/(LN(2)/25)*Calculateur!V139*Calculateur!X139*VLOOKUP('Données projet'!$B$9,Paramètres!$A$1:$I$89,3,0)*0.475*44/12</f>
        <v>25.200518814677537</v>
      </c>
      <c r="AB139" s="21">
        <f>EXP(-LN(2)/2)*AB138+(1-EXP(-LN(2)/2))/(LN(2)/2)*V139*Y139*VLOOKUP('Données projet'!$B$9,Paramètres!$A$1:$I$89,3,0)*0.475*44/12</f>
        <v>8.9409677246525029E-2</v>
      </c>
      <c r="AC139" s="22">
        <f t="shared" si="111"/>
        <v>73.489212111179711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408.246209980743</v>
      </c>
      <c r="AO139" s="59">
        <f t="shared" si="144"/>
        <v>394.10236303013903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18.828840597941817</v>
      </c>
      <c r="AV139" s="21">
        <f>EXP(-LN(2)/25)*AV138+(1-EXP(-LN(2)/25))/(LN(2)/25)*Calculateur!AQ139*Calculateur!AS139*VLOOKUP('Données projet'!$B$10,Paramètres!$A$1:$I$89,3,0)*0.475*44/12</f>
        <v>11.929686053732889</v>
      </c>
      <c r="AW139" s="21">
        <f>EXP(-LN(2)/2)*AW138+(1-EXP(-LN(2)/2))/(LN(2)/2)*AQ139*AT139*VLOOKUP('Données projet'!$B$10,Paramètres!$A$1:$I$89,3,0)*0.475*44/12</f>
        <v>2.5533534056462951E-7</v>
      </c>
      <c r="AX139" s="21">
        <f t="shared" si="114"/>
        <v>30.758526907010047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9.1440000000000055</v>
      </c>
      <c r="BD139" s="12">
        <f>IF('Données projet'!$A$88&gt;35,BD138+BC139-BL138,IF(A139&lt;'Données projet'!$A$88,$BA$205^A139,IF(A139='Données projet'!$A$88,'Données projet'!$B$88,BD138+BC139-BL138)))</f>
        <v>441.78800000000092</v>
      </c>
      <c r="BE139" s="13">
        <f>BD139*VLOOKUP('Données projet'!$B$11,Paramètres!$A$1:$I$89,3,0)*VLOOKUP('Données projet'!$B$11,Paramètres!$A$1:$I$89,5,0)</f>
        <v>420.40546080000092</v>
      </c>
      <c r="BF139" s="13">
        <f t="shared" si="145"/>
        <v>95.901503897465091</v>
      </c>
      <c r="BG139" s="20">
        <f t="shared" si="115"/>
        <v>899.2346301814199</v>
      </c>
      <c r="BH139" s="59">
        <f t="shared" si="116"/>
        <v>1184.0841605763051</v>
      </c>
      <c r="BI139" s="59">
        <f ca="1">AVERAGE(OFFSET($BH$3,0,0,'Données projet'!$E$11+1,1))-AVERAGE(OFFSET($H$3,0,0,'Données projet'!$E$11+1,1))</f>
        <v>711.91538686535682</v>
      </c>
      <c r="BJ139" s="59">
        <f t="shared" si="146"/>
        <v>313.24593837351722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45.233173858070685</v>
      </c>
      <c r="BQ139" s="21">
        <f>EXP(-LN(2)/25)*BQ138+(1-EXP(-LN(2)/25))/(LN(2)/25)*Calculateur!BL139*Calculateur!BN139*VLOOKUP('Données projet'!$B$11,Paramètres!$A$1:$I$89,3,0)*0.475*44/12</f>
        <v>23.64971765685122</v>
      </c>
      <c r="BR139" s="21">
        <f>EXP(-LN(2)/2)*BR138+(1-EXP(-LN(2)/2))/(LN(2)/2)*BL139*BO139*VLOOKUP('Données projet'!$B$11,Paramètres!$A$1:$I$89,3,0)*0.475*44/12</f>
        <v>8.3907543262123574E-2</v>
      </c>
      <c r="BS139" s="22">
        <f t="shared" si="117"/>
        <v>68.966799058184037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9.1440000000000055</v>
      </c>
      <c r="BY139" s="12">
        <f>IF('Données projet'!$A$114&gt;35,BY138+BX139-CG138,IF(A139&lt;'Données projet'!$A$114,$BV$205^A139,IF(A139='Données projet'!$A$114,'Données projet'!$B$114,BY138+BX139-CG138)))</f>
        <v>441.78800000000092</v>
      </c>
      <c r="BZ139" s="13">
        <f>BY139*VLOOKUP('Données projet'!$B$12,Paramètres!$A$1:$I$89,3,0)*VLOOKUP('Données projet'!$B$12,Paramètres!$A$1:$I$89,5,0)</f>
        <v>399.72978240000077</v>
      </c>
      <c r="CA139" s="13">
        <f t="shared" si="147"/>
        <v>91.721880595341759</v>
      </c>
      <c r="CB139" s="20">
        <f t="shared" si="118"/>
        <v>855.94497971688827</v>
      </c>
      <c r="CC139" s="59">
        <f t="shared" si="119"/>
        <v>1140.7945101117734</v>
      </c>
      <c r="CD139" s="59">
        <f ca="1">AVERAGE(OFFSET($CC$3,0,0,'Données projet'!$E$12+1,1))-AVERAGE(OFFSET($H$3,0,0,'Données projet'!$E$12+1,1))</f>
        <v>681.47578137804555</v>
      </c>
      <c r="CE139" s="59">
        <f t="shared" si="148"/>
        <v>300.88511065995885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43.008591537181964</v>
      </c>
      <c r="CL139" s="21">
        <f>EXP(-LN(2)/25)*CL138+(1-EXP(-LN(2)/25))/(LN(2)/25)*Calculateur!CG139*Calculateur!CI139*VLOOKUP('Données projet'!$B$12,Paramètres!$A$1:$I$89,3,0)*0.475*44/12</f>
        <v>22.486616788481491</v>
      </c>
      <c r="CM139" s="21">
        <f>EXP(-LN(2)/2)*CM138+(1-EXP(-LN(2)/2))/(LN(2)/2)*CG139*CJ139*VLOOKUP('Données projet'!$B$12,Paramètres!$A$1:$I$89,3,0)*0.475*44/12</f>
        <v>7.9780942773822389E-2</v>
      </c>
      <c r="CN139" s="22">
        <f t="shared" si="120"/>
        <v>65.574989268437278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-8.5265128291212022E-14</v>
      </c>
      <c r="CU139" s="17">
        <f>CT139*VLOOKUP('Données projet'!$B$13,Paramètres!$A$1:$I$89,3,0)*VLOOKUP('Données projet'!$B$13,Paramètres!$A$1:$I$89,5,0)</f>
        <v>-6.9167072069831198E-14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186.54446846714993</v>
      </c>
      <c r="CZ139" s="59">
        <f t="shared" si="150"/>
        <v>154.43773051601286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</v>
      </c>
      <c r="DG139" s="21">
        <f>EXP(-LN(2)/25)*DG138+(1-EXP(-LN(2)/25))/(LN(2)/25)*Calculateur!DB139*Calculateur!DD139*VLOOKUP('Données projet'!$B$13,Paramètres!$A$1:$I$89,3,0)*0.475*44/12</f>
        <v>4.5192396129585433</v>
      </c>
      <c r="DH139" s="21">
        <f>EXP(-LN(2)/2)*DH138+(1-EXP(-LN(2)/2))/(LN(2)/2)*DB139*DE139*VLOOKUP('Données projet'!$B$13,Paramètres!$A$1:$I$89,3,0)*0.475*44/12</f>
        <v>2.985604575065457E-6</v>
      </c>
      <c r="DI139" s="22">
        <f t="shared" si="123"/>
        <v>4.5192425985631184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7.3924999999999983</v>
      </c>
      <c r="DO139" s="12">
        <f>IF('Données projet'!$A$166&gt;35,DO138+DN139-DW138,IF(A139&lt;'Données projet'!$A$166,$DL$205^A139,IF(A139='Données projet'!$A$166,'Données projet'!$B$166,DO138+DN139-DW138)))</f>
        <v>370.36750000000001</v>
      </c>
      <c r="DP139" s="17">
        <f>DO139*VLOOKUP('Données projet'!$B$14,Paramètres!$A$1:$I$89,3,0)*VLOOKUP('Données projet'!$B$14,Paramètres!$A$1:$I$89,5,0)</f>
        <v>421.77450899999997</v>
      </c>
      <c r="DQ139" s="13">
        <f t="shared" si="151"/>
        <v>96.177402369757331</v>
      </c>
      <c r="DR139" s="20">
        <f t="shared" si="124"/>
        <v>902.09957896899402</v>
      </c>
      <c r="DS139" s="59">
        <f t="shared" si="125"/>
        <v>1186.9491093638792</v>
      </c>
      <c r="DT139" s="59">
        <f ca="1">AVERAGE(OFFSET($DS$3,0,0,'Données projet'!$E$14+1,1))-AVERAGE(OFFSET($H$3,0,0,'Données projet'!$E$14+1,1))</f>
        <v>651.35546372812314</v>
      </c>
      <c r="DU139" s="59">
        <f t="shared" si="152"/>
        <v>293.6561676213388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23.121039604136875</v>
      </c>
      <c r="EB139" s="21">
        <f>EXP(-LN(2)/25)*EB138+(1-EXP(-LN(2)/25))/(LN(2)/25)*Calculateur!DW139*Calculateur!DY139*VLOOKUP('Données projet'!$B$14,Paramètres!$A$1:$I$89,3,0)*0.475*44/12</f>
        <v>23.425573581561689</v>
      </c>
      <c r="EC139" s="21">
        <f>EXP(-LN(2)/2)*EC138+(1-EXP(-LN(2)/2))/(LN(2)/2)*DW139*DZ139*VLOOKUP('Données projet'!$B$14,Paramètres!$A$1:$I$89,3,0)*0.475*44/12</f>
        <v>0.14471185575457771</v>
      </c>
      <c r="ED139" s="22">
        <f t="shared" si="126"/>
        <v>46.69132504145314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8.5265128291212022E-14</v>
      </c>
      <c r="EK139" s="17">
        <f>EJ139*VLOOKUP('Données projet'!$B$15,Paramètres!$A$1:$I$89,3,0)*VLOOKUP('Données projet'!$B$15,Paramètres!$A$1:$I$89,5,0)</f>
        <v>8.9119112089974823E-14</v>
      </c>
      <c r="EL139" s="13">
        <f t="shared" si="153"/>
        <v>1.3568952080113142E-12</v>
      </c>
      <c r="EM139" s="20">
        <f t="shared" si="127"/>
        <v>2.5184749408430782E-12</v>
      </c>
      <c r="EN139" s="59">
        <f t="shared" si="128"/>
        <v>284.84953039488772</v>
      </c>
      <c r="EO139" s="59">
        <f ca="1">AVERAGE(OFFSET($EN$3,0,0,'Données projet'!$E$15+1,1))-AVERAGE(OFFSET($H$3,0,0,'Données projet'!$E$15+1,1))</f>
        <v>290.69667785754848</v>
      </c>
      <c r="EP139" s="59">
        <f t="shared" si="154"/>
        <v>256.28124185489082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8.7251236684377602</v>
      </c>
      <c r="EW139" s="21">
        <f>EXP(-LN(2)/25)*EW138+(1-EXP(-LN(2)/25))/(LN(2)/25)*Calculateur!ER139*Calculateur!ET139*VLOOKUP('Données projet'!$B$15,Paramètres!$A$1:$I$89,3,0)*0.475*44/12</f>
        <v>16.750179617232973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25.475303285670734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9.1440000000000055</v>
      </c>
      <c r="N140" s="13">
        <f>IF('Données projet'!$A$36&gt;35,N139+M140-V139,IF(A140&lt;'Données projet'!$A$36,$K$205^A140,IF(A140='Données projet'!$A$36,'Données projet'!$B$36,N139+M140-V139)))</f>
        <v>450.93200000000093</v>
      </c>
      <c r="O140" s="13">
        <f>N140*VLOOKUP('Données projet'!$B$9,Paramètres!$A$1:$I$89,3,0)*VLOOKUP('Données projet'!$B$9,Paramètres!$A$1:$I$89,5,0)</f>
        <v>457.24504800000096</v>
      </c>
      <c r="P140" s="13">
        <f t="shared" si="141"/>
        <v>103.29034565107023</v>
      </c>
      <c r="Q140" s="20">
        <f t="shared" si="108"/>
        <v>976.26581060894898</v>
      </c>
      <c r="R140" s="59">
        <f t="shared" si="109"/>
        <v>1261.2625160178743</v>
      </c>
      <c r="S140" s="59">
        <f ca="1">AVERAGE(OFFSET($R$3,0,0,'Données projet'!$E$9+1,1))-AVERAGE(OFFSET($H$3,0,0,'Données projet'!$E$9+1,1))</f>
        <v>752.45542076695506</v>
      </c>
      <c r="T140" s="59">
        <f t="shared" si="142"/>
        <v>329.70629768420724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47.25412506614218</v>
      </c>
      <c r="AA140" s="21">
        <f>EXP(-LN(2)/25)*AA139+(1-EXP(-LN(2)/25))/(LN(2)/25)*Calculateur!V140*Calculateur!X140*VLOOKUP('Données projet'!$B$9,Paramètres!$A$1:$I$89,3,0)*0.475*44/12</f>
        <v>24.511409302452492</v>
      </c>
      <c r="AB140" s="21">
        <f>EXP(-LN(2)/2)*AB139+(1-EXP(-LN(2)/2))/(LN(2)/2)*V140*Y140*VLOOKUP('Données projet'!$B$9,Paramètres!$A$1:$I$89,3,0)*0.475*44/12</f>
        <v>6.3222189084718411E-2</v>
      </c>
      <c r="AC140" s="22">
        <f t="shared" si="111"/>
        <v>71.828756557679384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408.246209980743</v>
      </c>
      <c r="AO140" s="59">
        <f t="shared" si="144"/>
        <v>394.10236303013903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18.459618518274947</v>
      </c>
      <c r="AV140" s="21">
        <f>EXP(-LN(2)/25)*AV139+(1-EXP(-LN(2)/25))/(LN(2)/25)*Calculateur!AQ140*Calculateur!AS140*VLOOKUP('Données projet'!$B$10,Paramètres!$A$1:$I$89,3,0)*0.475*44/12</f>
        <v>11.60346816123864</v>
      </c>
      <c r="AW140" s="21">
        <f>EXP(-LN(2)/2)*AW139+(1-EXP(-LN(2)/2))/(LN(2)/2)*AQ140*AT140*VLOOKUP('Données projet'!$B$10,Paramètres!$A$1:$I$89,3,0)*0.475*44/12</f>
        <v>1.8054935078982607E-7</v>
      </c>
      <c r="AX140" s="21">
        <f t="shared" si="114"/>
        <v>30.063086860062938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9.1440000000000055</v>
      </c>
      <c r="BD140" s="12">
        <f>IF('Données projet'!$A$88&gt;35,BD139+BC140-BL139,IF(A140&lt;'Données projet'!$A$88,$BA$205^A140,IF(A140='Données projet'!$A$88,'Données projet'!$B$88,BD139+BC140-BL139)))</f>
        <v>450.93200000000093</v>
      </c>
      <c r="BE140" s="13">
        <f>BD140*VLOOKUP('Données projet'!$B$11,Paramètres!$A$1:$I$89,3,0)*VLOOKUP('Données projet'!$B$11,Paramètres!$A$1:$I$89,5,0)</f>
        <v>429.10689120000086</v>
      </c>
      <c r="BF140" s="13">
        <f t="shared" si="145"/>
        <v>97.653301583534528</v>
      </c>
      <c r="BG140" s="20">
        <f t="shared" si="115"/>
        <v>917.44066909799074</v>
      </c>
      <c r="BH140" s="59">
        <f t="shared" si="116"/>
        <v>1202.4373745069161</v>
      </c>
      <c r="BI140" s="59">
        <f ca="1">AVERAGE(OFFSET($BH$3,0,0,'Données projet'!$E$11+1,1))-AVERAGE(OFFSET($H$3,0,0,'Données projet'!$E$11+1,1))</f>
        <v>711.91538686535682</v>
      </c>
      <c r="BJ140" s="59">
        <f t="shared" si="146"/>
        <v>313.24593837351722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44.346178908225738</v>
      </c>
      <c r="BQ140" s="21">
        <f>EXP(-LN(2)/25)*BQ139+(1-EXP(-LN(2)/25))/(LN(2)/25)*Calculateur!BL140*Calculateur!BN140*VLOOKUP('Données projet'!$B$11,Paramètres!$A$1:$I$89,3,0)*0.475*44/12</f>
        <v>23.003014883840024</v>
      </c>
      <c r="BR140" s="21">
        <f>EXP(-LN(2)/2)*BR139+(1-EXP(-LN(2)/2))/(LN(2)/2)*BL140*BO140*VLOOKUP('Données projet'!$B$11,Paramètres!$A$1:$I$89,3,0)*0.475*44/12</f>
        <v>5.9331592833351189E-2</v>
      </c>
      <c r="BS140" s="22">
        <f t="shared" si="117"/>
        <v>67.408525384899107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9.1440000000000055</v>
      </c>
      <c r="BY140" s="12">
        <f>IF('Données projet'!$A$114&gt;35,BY139+BX140-CG139,IF(A140&lt;'Données projet'!$A$114,$BV$205^A140,IF(A140='Données projet'!$A$114,'Données projet'!$B$114,BY139+BX140-CG139)))</f>
        <v>450.93200000000093</v>
      </c>
      <c r="BZ140" s="13">
        <f>BY140*VLOOKUP('Données projet'!$B$12,Paramètres!$A$1:$I$89,3,0)*VLOOKUP('Données projet'!$B$12,Paramètres!$A$1:$I$89,5,0)</f>
        <v>408.00327360000085</v>
      </c>
      <c r="CA140" s="13">
        <f t="shared" si="147"/>
        <v>93.397330631669121</v>
      </c>
      <c r="CB140" s="20">
        <f t="shared" si="118"/>
        <v>873.27271903682515</v>
      </c>
      <c r="CC140" s="59">
        <f t="shared" si="119"/>
        <v>1158.2694244457505</v>
      </c>
      <c r="CD140" s="59">
        <f ca="1">AVERAGE(OFFSET($CC$3,0,0,'Données projet'!$E$12+1,1))-AVERAGE(OFFSET($H$3,0,0,'Données projet'!$E$12+1,1))</f>
        <v>681.47578137804555</v>
      </c>
      <c r="CE140" s="59">
        <f t="shared" si="148"/>
        <v>300.88511065995885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42.165219289788404</v>
      </c>
      <c r="CL140" s="21">
        <f>EXP(-LN(2)/25)*CL139+(1-EXP(-LN(2)/25))/(LN(2)/25)*Calculateur!CG140*Calculateur!CI140*VLOOKUP('Données projet'!$B$12,Paramètres!$A$1:$I$89,3,0)*0.475*44/12</f>
        <v>21.871719069880683</v>
      </c>
      <c r="CM140" s="21">
        <f>EXP(-LN(2)/2)*CM139+(1-EXP(-LN(2)/2))/(LN(2)/2)*CG140*CJ140*VLOOKUP('Données projet'!$B$12,Paramètres!$A$1:$I$89,3,0)*0.475*44/12</f>
        <v>5.6413645644825698E-2</v>
      </c>
      <c r="CN140" s="22">
        <f t="shared" si="120"/>
        <v>64.093352005313903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-8.5265128291212022E-14</v>
      </c>
      <c r="CU140" s="17">
        <f>CT140*VLOOKUP('Données projet'!$B$13,Paramètres!$A$1:$I$89,3,0)*VLOOKUP('Données projet'!$B$13,Paramètres!$A$1:$I$89,5,0)</f>
        <v>-6.9167072069831198E-14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186.54446846714993</v>
      </c>
      <c r="CZ140" s="59">
        <f t="shared" si="150"/>
        <v>154.43773051601286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</v>
      </c>
      <c r="DG140" s="21">
        <f>EXP(-LN(2)/25)*DG139+(1-EXP(-LN(2)/25))/(LN(2)/25)*Calculateur!DB140*Calculateur!DD140*VLOOKUP('Données projet'!$B$13,Paramètres!$A$1:$I$89,3,0)*0.475*44/12</f>
        <v>4.3956607680857092</v>
      </c>
      <c r="DH140" s="21">
        <f>EXP(-LN(2)/2)*DH139+(1-EXP(-LN(2)/2))/(LN(2)/2)*DB140*DE140*VLOOKUP('Données projet'!$B$13,Paramètres!$A$1:$I$89,3,0)*0.475*44/12</f>
        <v>2.1111412409703653E-6</v>
      </c>
      <c r="DI140" s="22">
        <f t="shared" si="123"/>
        <v>4.3956628792269505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>
        <f>VLOOKUP(A140,'Données projet'!$A$165:$I$185,2,0)</f>
        <v>377.76</v>
      </c>
      <c r="DM140" s="12">
        <f>VLOOKUP(A140,'Données projet'!$A$165:$I$185,9,0)</f>
        <v>7.3924999999999983</v>
      </c>
      <c r="DN140" s="12">
        <f t="array" ref="DN140">INDEX(DM:DM,MIN(IF(ISNUMBER(DM140:DM336),ROW(DM140:DM336),"")))</f>
        <v>7.3924999999999983</v>
      </c>
      <c r="DO140" s="12">
        <f>IF('Données projet'!$A$166&gt;35,DO139+DN140-DW139,IF(A140&lt;'Données projet'!$A$166,$DL$205^A140,IF(A140='Données projet'!$A$166,'Données projet'!$B$166,DO139+DN140-DW139)))</f>
        <v>377.76</v>
      </c>
      <c r="DP140" s="17">
        <f>DO140*VLOOKUP('Données projet'!$B$14,Paramètres!$A$1:$I$89,3,0)*VLOOKUP('Données projet'!$B$14,Paramètres!$A$1:$I$89,5,0)</f>
        <v>430.19308799999999</v>
      </c>
      <c r="DQ140" s="13">
        <f t="shared" si="151"/>
        <v>97.871686049324694</v>
      </c>
      <c r="DR140" s="20">
        <f t="shared" si="124"/>
        <v>919.71281480257392</v>
      </c>
      <c r="DS140" s="59">
        <f t="shared" si="125"/>
        <v>1204.7095202114992</v>
      </c>
      <c r="DT140" s="59">
        <f ca="1">AVERAGE(OFFSET($DS$3,0,0,'Données projet'!$E$14+1,1))-AVERAGE(OFFSET($H$3,0,0,'Données projet'!$E$14+1,1))</f>
        <v>651.35546372812314</v>
      </c>
      <c r="DU140" s="59">
        <f t="shared" si="152"/>
        <v>293.6561676213388</v>
      </c>
      <c r="DV140" s="15">
        <f>IF(ISNA(VLOOKUP(A140,'Données projet'!$A$165:$I$185,3,0)),0,VLOOKUP(A140,'Données projet'!$A$165:$I$185,3,0))</f>
        <v>10</v>
      </c>
      <c r="DW140" s="15">
        <f>IF(ISNA(VLOOKUP(A140,'Données projet'!$A$165:$I$185,4,0)),0,VLOOKUP(A140,'Données projet'!$A$165:$I$185,4,0))</f>
        <v>57.71999999999997</v>
      </c>
      <c r="DX140" s="16">
        <f>IF(ISNA(VLOOKUP(A140,'Données projet'!$A$165:$I$185,5,0)),0%,VLOOKUP(A140,'Données projet'!$A$165:$I$185,5,0)*VLOOKUP('Données projet'!$B$14,Paramètres!$A$1:$I$89,7,0))</f>
        <v>0.15049999999999999</v>
      </c>
      <c r="DY140" s="16">
        <f>IF(ISNA(VLOOKUP(A140,'Données projet'!$A$165:$I$185,6,0)),0%,VLOOKUP(A140,'Données projet'!$A$165:$I$185,6,0)*VLOOKUP('Données projet'!$B$14,Paramètres!$A$1:$I$89,7,0))</f>
        <v>8.6000000000000007E-2</v>
      </c>
      <c r="DZ140" s="16">
        <f>IF(ISNA(VLOOKUP(A140,'Données projet'!$A$165:$I$185,7,0)),0%,VLOOKUP(A140,'Données projet'!$A$165:$I$185,7,0))</f>
        <v>0.1</v>
      </c>
      <c r="EA140" s="21">
        <f>EXP(-LN(2)/35)*EA139+(1-EXP(-LN(2)/35))/(LN(2)/35)*DW140*DX140*VLOOKUP('Données projet'!$B$14,Paramètres!$A$1:$I$89,3,0)*0.475*44/12</f>
        <v>33.603622160346575</v>
      </c>
      <c r="EB140" s="21">
        <f>EXP(-LN(2)/25)*EB139+(1-EXP(-LN(2)/25))/(LN(2)/25)*Calculateur!DW140*Calculateur!DY140*VLOOKUP('Données projet'!$B$14,Paramètres!$A$1:$I$89,3,0)*0.475*44/12</f>
        <v>29.009521726676546</v>
      </c>
      <c r="EC140" s="21">
        <f>EXP(-LN(2)/2)*EC139+(1-EXP(-LN(2)/2))/(LN(2)/2)*DW140*DZ140*VLOOKUP('Données projet'!$B$14,Paramètres!$A$1:$I$89,3,0)*0.475*44/12</f>
        <v>6.3042740699574482</v>
      </c>
      <c r="ED140" s="22">
        <f t="shared" si="126"/>
        <v>68.917417956980572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8.5265128291212022E-14</v>
      </c>
      <c r="EK140" s="17">
        <f>EJ140*VLOOKUP('Données projet'!$B$15,Paramètres!$A$1:$I$89,3,0)*VLOOKUP('Données projet'!$B$15,Paramètres!$A$1:$I$89,5,0)</f>
        <v>8.9119112089974823E-14</v>
      </c>
      <c r="EL140" s="13">
        <f t="shared" si="153"/>
        <v>1.3568952080113142E-12</v>
      </c>
      <c r="EM140" s="20">
        <f t="shared" si="127"/>
        <v>2.5184749408430782E-12</v>
      </c>
      <c r="EN140" s="59">
        <f t="shared" si="128"/>
        <v>284.99670540892788</v>
      </c>
      <c r="EO140" s="59">
        <f ca="1">AVERAGE(OFFSET($EN$3,0,0,'Données projet'!$E$15+1,1))-AVERAGE(OFFSET($H$3,0,0,'Données projet'!$E$15+1,1))</f>
        <v>290.69667785754848</v>
      </c>
      <c r="EP140" s="59">
        <f t="shared" si="154"/>
        <v>256.28124185489082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8.5540293150996494</v>
      </c>
      <c r="EW140" s="21">
        <f>EXP(-LN(2)/25)*EW139+(1-EXP(-LN(2)/25))/(LN(2)/25)*Calculateur!ER140*Calculateur!ET140*VLOOKUP('Données projet'!$B$15,Paramètres!$A$1:$I$89,3,0)*0.475*44/12</f>
        <v>16.292145074746074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24.846174389845721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9.1440000000000055</v>
      </c>
      <c r="N141" s="13">
        <f>IF('Données projet'!$A$36&gt;35,N140+M141-V140,IF(A141&lt;'Données projet'!$A$36,$K$205^A141,IF(A141='Données projet'!$A$36,'Données projet'!$B$36,N140+M141-V140)))</f>
        <v>460.07600000000093</v>
      </c>
      <c r="O141" s="13">
        <f>N141*VLOOKUP('Données projet'!$B$9,Paramètres!$A$1:$I$89,3,0)*VLOOKUP('Données projet'!$B$9,Paramètres!$A$1:$I$89,5,0)</f>
        <v>466.51706400000097</v>
      </c>
      <c r="P141" s="13">
        <f t="shared" si="141"/>
        <v>105.13889727137632</v>
      </c>
      <c r="Q141" s="20">
        <f t="shared" si="108"/>
        <v>995.63413254764862</v>
      </c>
      <c r="R141" s="59">
        <f t="shared" si="109"/>
        <v>1280.7754598131546</v>
      </c>
      <c r="S141" s="59">
        <f ca="1">AVERAGE(OFFSET($R$3,0,0,'Données projet'!$E$9+1,1))-AVERAGE(OFFSET($H$3,0,0,'Données projet'!$E$9+1,1))</f>
        <v>752.45542076695506</v>
      </c>
      <c r="T141" s="59">
        <f t="shared" si="142"/>
        <v>329.70629768420724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46.32750049576547</v>
      </c>
      <c r="AA141" s="21">
        <f>EXP(-LN(2)/25)*AA140+(1-EXP(-LN(2)/25))/(LN(2)/25)*Calculateur!V141*Calculateur!X141*VLOOKUP('Données projet'!$B$9,Paramètres!$A$1:$I$89,3,0)*0.475*44/12</f>
        <v>23.841143526077936</v>
      </c>
      <c r="AB141" s="21">
        <f>EXP(-LN(2)/2)*AB140+(1-EXP(-LN(2)/2))/(LN(2)/2)*V141*Y141*VLOOKUP('Données projet'!$B$9,Paramètres!$A$1:$I$89,3,0)*0.475*44/12</f>
        <v>4.4704838623262515E-2</v>
      </c>
      <c r="AC141" s="22">
        <f t="shared" si="111"/>
        <v>70.213348860466667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408.246209980743</v>
      </c>
      <c r="AO141" s="59">
        <f t="shared" si="144"/>
        <v>394.10236303013903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18.097636658387113</v>
      </c>
      <c r="AV141" s="21">
        <f>EXP(-LN(2)/25)*AV140+(1-EXP(-LN(2)/25))/(LN(2)/25)*Calculateur!AQ141*Calculateur!AS141*VLOOKUP('Données projet'!$B$10,Paramètres!$A$1:$I$89,3,0)*0.475*44/12</f>
        <v>11.286170714169698</v>
      </c>
      <c r="AW141" s="21">
        <f>EXP(-LN(2)/2)*AW140+(1-EXP(-LN(2)/2))/(LN(2)/2)*AQ141*AT141*VLOOKUP('Données projet'!$B$10,Paramètres!$A$1:$I$89,3,0)*0.475*44/12</f>
        <v>1.2766767028231475E-7</v>
      </c>
      <c r="AX141" s="21">
        <f t="shared" si="114"/>
        <v>29.383807500224481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9.1440000000000055</v>
      </c>
      <c r="BD141" s="12">
        <f>IF('Données projet'!$A$88&gt;35,BD140+BC141-BL140,IF(A141&lt;'Données projet'!$A$88,$BA$205^A141,IF(A141='Données projet'!$A$88,'Données projet'!$B$88,BD140+BC141-BL140)))</f>
        <v>460.07600000000093</v>
      </c>
      <c r="BE141" s="13">
        <f>BD141*VLOOKUP('Données projet'!$B$11,Paramètres!$A$1:$I$89,3,0)*VLOOKUP('Données projet'!$B$11,Paramètres!$A$1:$I$89,5,0)</f>
        <v>437.80832160000091</v>
      </c>
      <c r="BF141" s="13">
        <f t="shared" si="145"/>
        <v>99.400968974253743</v>
      </c>
      <c r="BG141" s="20">
        <f t="shared" si="115"/>
        <v>935.63951441682673</v>
      </c>
      <c r="BH141" s="59">
        <f t="shared" si="116"/>
        <v>1220.7808416823327</v>
      </c>
      <c r="BI141" s="59">
        <f ca="1">AVERAGE(OFFSET($BH$3,0,0,'Données projet'!$E$11+1,1))-AVERAGE(OFFSET($H$3,0,0,'Données projet'!$E$11+1,1))</f>
        <v>711.91538686535682</v>
      </c>
      <c r="BJ141" s="59">
        <f t="shared" si="146"/>
        <v>313.24593837351722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43.476577388333752</v>
      </c>
      <c r="BQ141" s="21">
        <f>EXP(-LN(2)/25)*BQ140+(1-EXP(-LN(2)/25))/(LN(2)/25)*Calculateur!BL141*Calculateur!BN141*VLOOKUP('Données projet'!$B$11,Paramètres!$A$1:$I$89,3,0)*0.475*44/12</f>
        <v>22.373996232165439</v>
      </c>
      <c r="BR141" s="21">
        <f>EXP(-LN(2)/2)*BR140+(1-EXP(-LN(2)/2))/(LN(2)/2)*BL141*BO141*VLOOKUP('Données projet'!$B$11,Paramètres!$A$1:$I$89,3,0)*0.475*44/12</f>
        <v>4.1953771631061794E-2</v>
      </c>
      <c r="BS141" s="22">
        <f t="shared" si="117"/>
        <v>65.892527392130248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9.1440000000000055</v>
      </c>
      <c r="BY141" s="12">
        <f>IF('Données projet'!$A$114&gt;35,BY140+BX141-CG140,IF(A141&lt;'Données projet'!$A$114,$BV$205^A141,IF(A141='Données projet'!$A$114,'Données projet'!$B$114,BY140+BX141-CG140)))</f>
        <v>460.07600000000093</v>
      </c>
      <c r="BZ141" s="13">
        <f>BY141*VLOOKUP('Données projet'!$B$12,Paramètres!$A$1:$I$89,3,0)*VLOOKUP('Données projet'!$B$12,Paramètres!$A$1:$I$89,5,0)</f>
        <v>416.27676480000082</v>
      </c>
      <c r="CA141" s="13">
        <f t="shared" si="147"/>
        <v>95.068830381071379</v>
      </c>
      <c r="CB141" s="20">
        <f t="shared" si="118"/>
        <v>890.5935782737007</v>
      </c>
      <c r="CC141" s="59">
        <f t="shared" si="119"/>
        <v>1175.7349055392067</v>
      </c>
      <c r="CD141" s="59">
        <f ca="1">AVERAGE(OFFSET($CC$3,0,0,'Données projet'!$E$12+1,1))-AVERAGE(OFFSET($H$3,0,0,'Données projet'!$E$12+1,1))</f>
        <v>681.47578137804555</v>
      </c>
      <c r="CE141" s="59">
        <f t="shared" si="148"/>
        <v>300.88511065995885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41.338385057759957</v>
      </c>
      <c r="CL141" s="21">
        <f>EXP(-LN(2)/25)*CL140+(1-EXP(-LN(2)/25))/(LN(2)/25)*Calculateur!CG141*Calculateur!CI141*VLOOKUP('Données projet'!$B$12,Paramètres!$A$1:$I$89,3,0)*0.475*44/12</f>
        <v>21.273635761731079</v>
      </c>
      <c r="CM141" s="21">
        <f>EXP(-LN(2)/2)*CM140+(1-EXP(-LN(2)/2))/(LN(2)/2)*CG141*CJ141*VLOOKUP('Données projet'!$B$12,Paramètres!$A$1:$I$89,3,0)*0.475*44/12</f>
        <v>3.9890471386911194E-2</v>
      </c>
      <c r="CN141" s="22">
        <f t="shared" si="120"/>
        <v>62.651911290877948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-8.5265128291212022E-14</v>
      </c>
      <c r="CU141" s="17">
        <f>CT141*VLOOKUP('Données projet'!$B$13,Paramètres!$A$1:$I$89,3,0)*VLOOKUP('Données projet'!$B$13,Paramètres!$A$1:$I$89,5,0)</f>
        <v>-6.9167072069831198E-14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186.54446846714993</v>
      </c>
      <c r="CZ141" s="59">
        <f t="shared" si="150"/>
        <v>154.43773051601286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</v>
      </c>
      <c r="DG141" s="21">
        <f>EXP(-LN(2)/25)*DG140+(1-EXP(-LN(2)/25))/(LN(2)/25)*Calculateur!DB141*Calculateur!DD141*VLOOKUP('Données projet'!$B$13,Paramètres!$A$1:$I$89,3,0)*0.475*44/12</f>
        <v>4.2754611932246522</v>
      </c>
      <c r="DH141" s="21">
        <f>EXP(-LN(2)/2)*DH140+(1-EXP(-LN(2)/2))/(LN(2)/2)*DB141*DE141*VLOOKUP('Données projet'!$B$13,Paramètres!$A$1:$I$89,3,0)*0.475*44/12</f>
        <v>1.4928022875327285E-6</v>
      </c>
      <c r="DI141" s="22">
        <f t="shared" si="123"/>
        <v>4.2754626860269394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7.6233333333333304</v>
      </c>
      <c r="DO141" s="12">
        <f>IF('Données projet'!$A$166&gt;35,DO140+DN141-DW140,IF(A141&lt;'Données projet'!$A$166,$DL$205^A141,IF(A141='Données projet'!$A$166,'Données projet'!$B$166,DO140+DN141-DW140)))</f>
        <v>327.66333333333336</v>
      </c>
      <c r="DP141" s="17">
        <f>DO141*VLOOKUP('Données projet'!$B$14,Paramètres!$A$1:$I$89,3,0)*VLOOKUP('Données projet'!$B$14,Paramètres!$A$1:$I$89,5,0)</f>
        <v>373.14300400000002</v>
      </c>
      <c r="DQ141" s="13">
        <f t="shared" si="151"/>
        <v>86.309993331180053</v>
      </c>
      <c r="DR141" s="20">
        <f t="shared" si="124"/>
        <v>800.21397035180519</v>
      </c>
      <c r="DS141" s="59">
        <f t="shared" si="125"/>
        <v>1085.3552976173112</v>
      </c>
      <c r="DT141" s="59">
        <f ca="1">AVERAGE(OFFSET($DS$3,0,0,'Données projet'!$E$14+1,1))-AVERAGE(OFFSET($H$3,0,0,'Données projet'!$E$14+1,1))</f>
        <v>651.35546372812314</v>
      </c>
      <c r="DU141" s="59">
        <f t="shared" si="152"/>
        <v>293.6561676213388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32.944675625967868</v>
      </c>
      <c r="EB141" s="21">
        <f>EXP(-LN(2)/25)*EB140+(1-EXP(-LN(2)/25))/(LN(2)/25)*Calculateur!DW141*Calculateur!DY141*VLOOKUP('Données projet'!$B$14,Paramètres!$A$1:$I$89,3,0)*0.475*44/12</f>
        <v>28.216254829516132</v>
      </c>
      <c r="EC141" s="21">
        <f>EXP(-LN(2)/2)*EC140+(1-EXP(-LN(2)/2))/(LN(2)/2)*DW141*DZ141*VLOOKUP('Données projet'!$B$14,Paramètres!$A$1:$I$89,3,0)*0.475*44/12</f>
        <v>4.4577949453254266</v>
      </c>
      <c r="ED141" s="22">
        <f t="shared" si="126"/>
        <v>65.618725400809424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8.5265128291212022E-14</v>
      </c>
      <c r="EK141" s="17">
        <f>EJ141*VLOOKUP('Données projet'!$B$15,Paramètres!$A$1:$I$89,3,0)*VLOOKUP('Données projet'!$B$15,Paramètres!$A$1:$I$89,5,0)</f>
        <v>8.9119112089974823E-14</v>
      </c>
      <c r="EL141" s="13">
        <f t="shared" si="153"/>
        <v>1.3568952080113142E-12</v>
      </c>
      <c r="EM141" s="20">
        <f t="shared" si="127"/>
        <v>2.5184749408430782E-12</v>
      </c>
      <c r="EN141" s="59">
        <f t="shared" si="128"/>
        <v>285.14132726550844</v>
      </c>
      <c r="EO141" s="59">
        <f ca="1">AVERAGE(OFFSET($EN$3,0,0,'Données projet'!$E$15+1,1))-AVERAGE(OFFSET($H$3,0,0,'Données projet'!$E$15+1,1))</f>
        <v>290.69667785754848</v>
      </c>
      <c r="EP141" s="59">
        <f t="shared" si="154"/>
        <v>256.28124185489082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8.3862900176732484</v>
      </c>
      <c r="EW141" s="21">
        <f>EXP(-LN(2)/25)*EW140+(1-EXP(-LN(2)/25))/(LN(2)/25)*Calculateur!ER141*Calculateur!ET141*VLOOKUP('Données projet'!$B$15,Paramètres!$A$1:$I$89,3,0)*0.475*44/12</f>
        <v>15.846635510910469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24.232925528583717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9.1440000000000055</v>
      </c>
      <c r="N142" s="13">
        <f>IF('Données projet'!$A$36&gt;35,N141+M142-V141,IF(A142&lt;'Données projet'!$A$36,$K$205^A142,IF(A142='Données projet'!$A$36,'Données projet'!$B$36,N141+M142-V141)))</f>
        <v>469.22000000000094</v>
      </c>
      <c r="O142" s="13">
        <f>N142*VLOOKUP('Données projet'!$B$9,Paramètres!$A$1:$I$89,3,0)*VLOOKUP('Données projet'!$B$9,Paramètres!$A$1:$I$89,5,0)</f>
        <v>475.78908000000098</v>
      </c>
      <c r="P142" s="13">
        <f t="shared" si="141"/>
        <v>106.98317701049932</v>
      </c>
      <c r="Q142" s="20">
        <f t="shared" si="108"/>
        <v>1014.9950142932879</v>
      </c>
      <c r="R142" s="59">
        <f t="shared" si="109"/>
        <v>1300.2784545494887</v>
      </c>
      <c r="S142" s="59">
        <f ca="1">AVERAGE(OFFSET($R$3,0,0,'Données projet'!$E$9+1,1))-AVERAGE(OFFSET($H$3,0,0,'Données projet'!$E$9+1,1))</f>
        <v>752.45542076695506</v>
      </c>
      <c r="T142" s="59">
        <f t="shared" si="142"/>
        <v>329.70629768420724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45.419046468028668</v>
      </c>
      <c r="AA142" s="21">
        <f>EXP(-LN(2)/25)*AA141+(1-EXP(-LN(2)/25))/(LN(2)/25)*Calculateur!V142*Calculateur!X142*VLOOKUP('Données projet'!$B$9,Paramètres!$A$1:$I$89,3,0)*0.475*44/12</f>
        <v>23.189206202606087</v>
      </c>
      <c r="AB142" s="21">
        <f>EXP(-LN(2)/2)*AB141+(1-EXP(-LN(2)/2))/(LN(2)/2)*V142*Y142*VLOOKUP('Données projet'!$B$9,Paramètres!$A$1:$I$89,3,0)*0.475*44/12</f>
        <v>3.1611094542359205E-2</v>
      </c>
      <c r="AC142" s="22">
        <f t="shared" si="111"/>
        <v>68.639863765177111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408.246209980743</v>
      </c>
      <c r="AO142" s="59">
        <f t="shared" si="144"/>
        <v>394.10236303013903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17.742753041984546</v>
      </c>
      <c r="AV142" s="21">
        <f>EXP(-LN(2)/25)*AV141+(1-EXP(-LN(2)/25))/(LN(2)/25)*Calculateur!AQ142*Calculateur!AS142*VLOOKUP('Données projet'!$B$10,Paramètres!$A$1:$I$89,3,0)*0.475*44/12</f>
        <v>10.977549782476805</v>
      </c>
      <c r="AW142" s="21">
        <f>EXP(-LN(2)/2)*AW141+(1-EXP(-LN(2)/2))/(LN(2)/2)*AQ142*AT142*VLOOKUP('Données projet'!$B$10,Paramètres!$A$1:$I$89,3,0)*0.475*44/12</f>
        <v>9.0274675394913036E-8</v>
      </c>
      <c r="AX142" s="21">
        <f t="shared" si="114"/>
        <v>28.720302914736024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9.1440000000000055</v>
      </c>
      <c r="BD142" s="12">
        <f>IF('Données projet'!$A$88&gt;35,BD141+BC142-BL141,IF(A142&lt;'Données projet'!$A$88,$BA$205^A142,IF(A142='Données projet'!$A$88,'Données projet'!$B$88,BD141+BC142-BL141)))</f>
        <v>469.22000000000094</v>
      </c>
      <c r="BE142" s="13">
        <f>BD142*VLOOKUP('Données projet'!$B$11,Paramètres!$A$1:$I$89,3,0)*VLOOKUP('Données projet'!$B$11,Paramètres!$A$1:$I$89,5,0)</f>
        <v>446.5097520000009</v>
      </c>
      <c r="BF142" s="13">
        <f t="shared" si="145"/>
        <v>101.14459762060724</v>
      </c>
      <c r="BG142" s="20">
        <f t="shared" si="115"/>
        <v>953.8313255892258</v>
      </c>
      <c r="BH142" s="59">
        <f t="shared" si="116"/>
        <v>1239.1147658454267</v>
      </c>
      <c r="BI142" s="59">
        <f ca="1">AVERAGE(OFFSET($BH$3,0,0,'Données projet'!$E$11+1,1))-AVERAGE(OFFSET($H$3,0,0,'Données projet'!$E$11+1,1))</f>
        <v>711.91538686535682</v>
      </c>
      <c r="BJ142" s="59">
        <f t="shared" si="146"/>
        <v>313.24593837351722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42.624028223842288</v>
      </c>
      <c r="BQ142" s="21">
        <f>EXP(-LN(2)/25)*BQ141+(1-EXP(-LN(2)/25))/(LN(2)/25)*Calculateur!BL142*Calculateur!BN142*VLOOKUP('Données projet'!$B$11,Paramètres!$A$1:$I$89,3,0)*0.475*44/12</f>
        <v>21.762178128599551</v>
      </c>
      <c r="BR142" s="21">
        <f>EXP(-LN(2)/2)*BR141+(1-EXP(-LN(2)/2))/(LN(2)/2)*BL142*BO142*VLOOKUP('Données projet'!$B$11,Paramètres!$A$1:$I$89,3,0)*0.475*44/12</f>
        <v>2.9665796416675598E-2</v>
      </c>
      <c r="BS142" s="22">
        <f t="shared" si="117"/>
        <v>64.415872148858512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9.1440000000000055</v>
      </c>
      <c r="BY142" s="12">
        <f>IF('Données projet'!$A$114&gt;35,BY141+BX142-CG141,IF(A142&lt;'Données projet'!$A$114,$BV$205^A142,IF(A142='Données projet'!$A$114,'Données projet'!$B$114,BY141+BX142-CG141)))</f>
        <v>469.22000000000094</v>
      </c>
      <c r="BZ142" s="13">
        <f>BY142*VLOOKUP('Données projet'!$B$12,Paramètres!$A$1:$I$89,3,0)*VLOOKUP('Données projet'!$B$12,Paramètres!$A$1:$I$89,5,0)</f>
        <v>424.55025600000084</v>
      </c>
      <c r="CA142" s="13">
        <f t="shared" si="147"/>
        <v>96.736467404516418</v>
      </c>
      <c r="CB142" s="20">
        <f t="shared" si="118"/>
        <v>907.90770992953412</v>
      </c>
      <c r="CC142" s="59">
        <f t="shared" si="119"/>
        <v>1193.1911501857351</v>
      </c>
      <c r="CD142" s="59">
        <f ca="1">AVERAGE(OFFSET($CC$3,0,0,'Données projet'!$E$12+1,1))-AVERAGE(OFFSET($H$3,0,0,'Données projet'!$E$12+1,1))</f>
        <v>681.47578137804555</v>
      </c>
      <c r="CE142" s="59">
        <f t="shared" si="148"/>
        <v>300.88511065995885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40.527764540702499</v>
      </c>
      <c r="CL142" s="21">
        <f>EXP(-LN(2)/25)*CL141+(1-EXP(-LN(2)/25))/(LN(2)/25)*Calculateur!CG142*Calculateur!CI142*VLOOKUP('Données projet'!$B$12,Paramètres!$A$1:$I$89,3,0)*0.475*44/12</f>
        <v>20.691907073094658</v>
      </c>
      <c r="CM142" s="21">
        <f>EXP(-LN(2)/2)*CM141+(1-EXP(-LN(2)/2))/(LN(2)/2)*CG142*CJ142*VLOOKUP('Données projet'!$B$12,Paramètres!$A$1:$I$89,3,0)*0.475*44/12</f>
        <v>2.8206822822412849E-2</v>
      </c>
      <c r="CN142" s="22">
        <f t="shared" si="120"/>
        <v>61.247878436619573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-8.5265128291212022E-14</v>
      </c>
      <c r="CU142" s="17">
        <f>CT142*VLOOKUP('Données projet'!$B$13,Paramètres!$A$1:$I$89,3,0)*VLOOKUP('Données projet'!$B$13,Paramètres!$A$1:$I$89,5,0)</f>
        <v>-6.9167072069831198E-14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186.54446846714993</v>
      </c>
      <c r="CZ142" s="59">
        <f t="shared" si="150"/>
        <v>154.43773051601286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</v>
      </c>
      <c r="DG142" s="21">
        <f>EXP(-LN(2)/25)*DG141+(1-EXP(-LN(2)/25))/(LN(2)/25)*Calculateur!DB142*Calculateur!DD142*VLOOKUP('Données projet'!$B$13,Paramètres!$A$1:$I$89,3,0)*0.475*44/12</f>
        <v>4.1585484820591914</v>
      </c>
      <c r="DH142" s="21">
        <f>EXP(-LN(2)/2)*DH141+(1-EXP(-LN(2)/2))/(LN(2)/2)*DB142*DE142*VLOOKUP('Données projet'!$B$13,Paramètres!$A$1:$I$89,3,0)*0.475*44/12</f>
        <v>1.0555706204851826E-6</v>
      </c>
      <c r="DI142" s="22">
        <f t="shared" si="123"/>
        <v>4.1585495376298116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7.6233333333333304</v>
      </c>
      <c r="DO142" s="12">
        <f>IF('Données projet'!$A$166&gt;35,DO141+DN142-DW141,IF(A142&lt;'Données projet'!$A$166,$DL$205^A142,IF(A142='Données projet'!$A$166,'Données projet'!$B$166,DO141+DN142-DW141)))</f>
        <v>335.28666666666669</v>
      </c>
      <c r="DP142" s="17">
        <f>DO142*VLOOKUP('Données projet'!$B$14,Paramètres!$A$1:$I$89,3,0)*VLOOKUP('Données projet'!$B$14,Paramètres!$A$1:$I$89,5,0)</f>
        <v>381.82445600000005</v>
      </c>
      <c r="DQ142" s="13">
        <f t="shared" si="151"/>
        <v>88.081939113793752</v>
      </c>
      <c r="DR142" s="20">
        <f t="shared" si="124"/>
        <v>818.4203048231908</v>
      </c>
      <c r="DS142" s="59">
        <f t="shared" si="125"/>
        <v>1103.7037450793916</v>
      </c>
      <c r="DT142" s="59">
        <f ca="1">AVERAGE(OFFSET($DS$3,0,0,'Données projet'!$E$14+1,1))-AVERAGE(OFFSET($H$3,0,0,'Données projet'!$E$14+1,1))</f>
        <v>651.35546372812314</v>
      </c>
      <c r="DU142" s="59">
        <f t="shared" si="152"/>
        <v>293.6561676213388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32.298650631210627</v>
      </c>
      <c r="EB142" s="21">
        <f>EXP(-LN(2)/25)*EB141+(1-EXP(-LN(2)/25))/(LN(2)/25)*Calculateur!DW142*Calculateur!DY142*VLOOKUP('Données projet'!$B$14,Paramètres!$A$1:$I$89,3,0)*0.475*44/12</f>
        <v>27.444679857374659</v>
      </c>
      <c r="EC142" s="21">
        <f>EXP(-LN(2)/2)*EC141+(1-EXP(-LN(2)/2))/(LN(2)/2)*DW142*DZ142*VLOOKUP('Données projet'!$B$14,Paramètres!$A$1:$I$89,3,0)*0.475*44/12</f>
        <v>3.1521370349787241</v>
      </c>
      <c r="ED142" s="22">
        <f t="shared" si="126"/>
        <v>62.895467523564008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8.5265128291212022E-14</v>
      </c>
      <c r="EK142" s="17">
        <f>EJ142*VLOOKUP('Données projet'!$B$15,Paramètres!$A$1:$I$89,3,0)*VLOOKUP('Données projet'!$B$15,Paramètres!$A$1:$I$89,5,0)</f>
        <v>8.9119112089974823E-14</v>
      </c>
      <c r="EL142" s="13">
        <f t="shared" si="153"/>
        <v>1.3568952080113142E-12</v>
      </c>
      <c r="EM142" s="20">
        <f t="shared" si="127"/>
        <v>2.5184749408430782E-12</v>
      </c>
      <c r="EN142" s="59">
        <f t="shared" si="128"/>
        <v>285.28344025620339</v>
      </c>
      <c r="EO142" s="59">
        <f ca="1">AVERAGE(OFFSET($EN$3,0,0,'Données projet'!$E$15+1,1))-AVERAGE(OFFSET($H$3,0,0,'Données projet'!$E$15+1,1))</f>
        <v>290.69667785754848</v>
      </c>
      <c r="EP142" s="59">
        <f t="shared" si="154"/>
        <v>256.28124185489082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8.2218399855585087</v>
      </c>
      <c r="EW142" s="21">
        <f>EXP(-LN(2)/25)*EW141+(1-EXP(-LN(2)/25))/(LN(2)/25)*Calculateur!ER142*Calculateur!ET142*VLOOKUP('Données projet'!$B$15,Paramètres!$A$1:$I$89,3,0)*0.475*44/12</f>
        <v>15.413308429526278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23.635148415084785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9.1440000000000055</v>
      </c>
      <c r="N143" s="13">
        <f>IF('Données projet'!$A$36&gt;35,N142+M143-V142,IF(A143&lt;'Données projet'!$A$36,$K$205^A143,IF(A143='Données projet'!$A$36,'Données projet'!$B$36,N142+M143-V142)))</f>
        <v>478.36400000000094</v>
      </c>
      <c r="O143" s="13">
        <f>N143*VLOOKUP('Données projet'!$B$9,Paramètres!$A$1:$I$89,3,0)*VLOOKUP('Données projet'!$B$9,Paramètres!$A$1:$I$89,5,0)</f>
        <v>485.06109600000099</v>
      </c>
      <c r="P143" s="13">
        <f t="shared" si="141"/>
        <v>108.82327771411607</v>
      </c>
      <c r="Q143" s="20">
        <f t="shared" si="108"/>
        <v>1034.348617552087</v>
      </c>
      <c r="R143" s="59">
        <f t="shared" si="109"/>
        <v>1319.7717054563113</v>
      </c>
      <c r="S143" s="59">
        <f ca="1">AVERAGE(OFFSET($R$3,0,0,'Données projet'!$E$9+1,1))-AVERAGE(OFFSET($H$3,0,0,'Données projet'!$E$9+1,1))</f>
        <v>752.45542076695506</v>
      </c>
      <c r="T143" s="59">
        <f t="shared" si="142"/>
        <v>329.70629768420724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44.528406669673537</v>
      </c>
      <c r="AA143" s="21">
        <f>EXP(-LN(2)/25)*AA142+(1-EXP(-LN(2)/25))/(LN(2)/25)*Calculateur!V143*Calculateur!X143*VLOOKUP('Données projet'!$B$9,Paramètres!$A$1:$I$89,3,0)*0.475*44/12</f>
        <v>22.555096139528469</v>
      </c>
      <c r="AB143" s="21">
        <f>EXP(-LN(2)/2)*AB142+(1-EXP(-LN(2)/2))/(LN(2)/2)*V143*Y143*VLOOKUP('Données projet'!$B$9,Paramètres!$A$1:$I$89,3,0)*0.475*44/12</f>
        <v>2.2352419311631257E-2</v>
      </c>
      <c r="AC143" s="22">
        <f t="shared" si="111"/>
        <v>67.105855228513633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408.246209980743</v>
      </c>
      <c r="AO143" s="59">
        <f t="shared" si="144"/>
        <v>394.10236303013903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17.394828476842001</v>
      </c>
      <c r="AV143" s="21">
        <f>EXP(-LN(2)/25)*AV142+(1-EXP(-LN(2)/25))/(LN(2)/25)*Calculateur!AQ143*Calculateur!AS143*VLOOKUP('Données projet'!$B$10,Paramètres!$A$1:$I$89,3,0)*0.475*44/12</f>
        <v>10.677368106390723</v>
      </c>
      <c r="AW143" s="21">
        <f>EXP(-LN(2)/2)*AW142+(1-EXP(-LN(2)/2))/(LN(2)/2)*AQ143*AT143*VLOOKUP('Données projet'!$B$10,Paramètres!$A$1:$I$89,3,0)*0.475*44/12</f>
        <v>6.3833835141157377E-8</v>
      </c>
      <c r="AX143" s="21">
        <f t="shared" si="114"/>
        <v>28.072196647066558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9.1440000000000055</v>
      </c>
      <c r="BD143" s="12">
        <f>IF('Données projet'!$A$88&gt;35,BD142+BC143-BL142,IF(A143&lt;'Données projet'!$A$88,$BA$205^A143,IF(A143='Données projet'!$A$88,'Données projet'!$B$88,BD142+BC143-BL142)))</f>
        <v>478.36400000000094</v>
      </c>
      <c r="BE143" s="13">
        <f>BD143*VLOOKUP('Données projet'!$B$11,Paramètres!$A$1:$I$89,3,0)*VLOOKUP('Données projet'!$B$11,Paramètres!$A$1:$I$89,5,0)</f>
        <v>455.21118240000089</v>
      </c>
      <c r="BF143" s="13">
        <f t="shared" si="145"/>
        <v>102.88427530124351</v>
      </c>
      <c r="BG143" s="20">
        <f t="shared" si="115"/>
        <v>972.016255496334</v>
      </c>
      <c r="BH143" s="59">
        <f t="shared" si="116"/>
        <v>1257.4393434005583</v>
      </c>
      <c r="BI143" s="59">
        <f ca="1">AVERAGE(OFFSET($BH$3,0,0,'Données projet'!$E$11+1,1))-AVERAGE(OFFSET($H$3,0,0,'Données projet'!$E$11+1,1))</f>
        <v>711.91538686535682</v>
      </c>
      <c r="BJ143" s="59">
        <f t="shared" si="146"/>
        <v>313.24593837351722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41.788197028462861</v>
      </c>
      <c r="BQ143" s="21">
        <f>EXP(-LN(2)/25)*BQ142+(1-EXP(-LN(2)/25))/(LN(2)/25)*Calculateur!BL143*Calculateur!BN143*VLOOKUP('Données projet'!$B$11,Paramètres!$A$1:$I$89,3,0)*0.475*44/12</f>
        <v>21.167090223249787</v>
      </c>
      <c r="BR143" s="21">
        <f>EXP(-LN(2)/2)*BR142+(1-EXP(-LN(2)/2))/(LN(2)/2)*BL143*BO143*VLOOKUP('Données projet'!$B$11,Paramètres!$A$1:$I$89,3,0)*0.475*44/12</f>
        <v>2.09768858155309E-2</v>
      </c>
      <c r="BS143" s="22">
        <f t="shared" si="117"/>
        <v>62.976264137528176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9.1440000000000055</v>
      </c>
      <c r="BY143" s="12">
        <f>IF('Données projet'!$A$114&gt;35,BY142+BX143-CG142,IF(A143&lt;'Données projet'!$A$114,$BV$205^A143,IF(A143='Données projet'!$A$114,'Données projet'!$B$114,BY142+BX143-CG142)))</f>
        <v>478.36400000000094</v>
      </c>
      <c r="BZ143" s="13">
        <f>BY143*VLOOKUP('Données projet'!$B$12,Paramètres!$A$1:$I$89,3,0)*VLOOKUP('Données projet'!$B$12,Paramètres!$A$1:$I$89,5,0)</f>
        <v>432.82374720000081</v>
      </c>
      <c r="CA143" s="13">
        <f t="shared" si="147"/>
        <v>98.400325655042849</v>
      </c>
      <c r="CB143" s="20">
        <f t="shared" si="118"/>
        <v>925.21526022253431</v>
      </c>
      <c r="CC143" s="59">
        <f t="shared" si="119"/>
        <v>1210.6383481267587</v>
      </c>
      <c r="CD143" s="59">
        <f ca="1">AVERAGE(OFFSET($CC$3,0,0,'Données projet'!$E$12+1,1))-AVERAGE(OFFSET($H$3,0,0,'Données projet'!$E$12+1,1))</f>
        <v>681.47578137804555</v>
      </c>
      <c r="CE143" s="59">
        <f t="shared" si="148"/>
        <v>300.88511065995885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39.733039797554845</v>
      </c>
      <c r="CL143" s="21">
        <f>EXP(-LN(2)/25)*CL142+(1-EXP(-LN(2)/25))/(LN(2)/25)*Calculateur!CG143*Calculateur!CI143*VLOOKUP('Données projet'!$B$12,Paramètres!$A$1:$I$89,3,0)*0.475*44/12</f>
        <v>20.126085786040782</v>
      </c>
      <c r="CM143" s="21">
        <f>EXP(-LN(2)/2)*CM142+(1-EXP(-LN(2)/2))/(LN(2)/2)*CG143*CJ143*VLOOKUP('Données projet'!$B$12,Paramètres!$A$1:$I$89,3,0)*0.475*44/12</f>
        <v>1.9945235693455597E-2</v>
      </c>
      <c r="CN143" s="22">
        <f t="shared" si="120"/>
        <v>59.879070819289083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-8.5265128291212022E-14</v>
      </c>
      <c r="CU143" s="17">
        <f>CT143*VLOOKUP('Données projet'!$B$13,Paramètres!$A$1:$I$89,3,0)*VLOOKUP('Données projet'!$B$13,Paramètres!$A$1:$I$89,5,0)</f>
        <v>-6.9167072069831198E-14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186.54446846714993</v>
      </c>
      <c r="CZ143" s="59">
        <f t="shared" si="150"/>
        <v>154.43773051601286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</v>
      </c>
      <c r="DG143" s="21">
        <f>EXP(-LN(2)/25)*DG142+(1-EXP(-LN(2)/25))/(LN(2)/25)*Calculateur!DB143*Calculateur!DD143*VLOOKUP('Données projet'!$B$13,Paramètres!$A$1:$I$89,3,0)*0.475*44/12</f>
        <v>4.0448327551287226</v>
      </c>
      <c r="DH143" s="21">
        <f>EXP(-LN(2)/2)*DH142+(1-EXP(-LN(2)/2))/(LN(2)/2)*DB143*DE143*VLOOKUP('Données projet'!$B$13,Paramètres!$A$1:$I$89,3,0)*0.475*44/12</f>
        <v>7.4640114376636426E-7</v>
      </c>
      <c r="DI143" s="22">
        <f t="shared" si="123"/>
        <v>4.0448335015298662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7.6233333333333304</v>
      </c>
      <c r="DO143" s="12">
        <f>IF('Données projet'!$A$166&gt;35,DO142+DN143-DW142,IF(A143&lt;'Données projet'!$A$166,$DL$205^A143,IF(A143='Données projet'!$A$166,'Données projet'!$B$166,DO142+DN143-DW142)))</f>
        <v>342.91</v>
      </c>
      <c r="DP143" s="17">
        <f>DO143*VLOOKUP('Données projet'!$B$14,Paramètres!$A$1:$I$89,3,0)*VLOOKUP('Données projet'!$B$14,Paramètres!$A$1:$I$89,5,0)</f>
        <v>390.50590800000003</v>
      </c>
      <c r="DQ143" s="13">
        <f t="shared" si="151"/>
        <v>89.849201110656054</v>
      </c>
      <c r="DR143" s="20">
        <f t="shared" si="124"/>
        <v>836.6184817010593</v>
      </c>
      <c r="DS143" s="59">
        <f t="shared" si="125"/>
        <v>1122.0415696052837</v>
      </c>
      <c r="DT143" s="59">
        <f ca="1">AVERAGE(OFFSET($DS$3,0,0,'Données projet'!$E$14+1,1))-AVERAGE(OFFSET($H$3,0,0,'Données projet'!$E$14+1,1))</f>
        <v>651.35546372812314</v>
      </c>
      <c r="DU143" s="59">
        <f t="shared" si="152"/>
        <v>293.6561676213388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31.665293792564235</v>
      </c>
      <c r="EB143" s="21">
        <f>EXP(-LN(2)/25)*EB142+(1-EXP(-LN(2)/25))/(LN(2)/25)*Calculateur!DW143*Calculateur!DY143*VLOOKUP('Données projet'!$B$14,Paramètres!$A$1:$I$89,3,0)*0.475*44/12</f>
        <v>26.694203643421762</v>
      </c>
      <c r="EC143" s="21">
        <f>EXP(-LN(2)/2)*EC142+(1-EXP(-LN(2)/2))/(LN(2)/2)*DW143*DZ143*VLOOKUP('Données projet'!$B$14,Paramètres!$A$1:$I$89,3,0)*0.475*44/12</f>
        <v>2.2288974726627133</v>
      </c>
      <c r="ED143" s="22">
        <f t="shared" si="126"/>
        <v>60.588394908648716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8.5265128291212022E-14</v>
      </c>
      <c r="EK143" s="17">
        <f>EJ143*VLOOKUP('Données projet'!$B$15,Paramètres!$A$1:$I$89,3,0)*VLOOKUP('Données projet'!$B$15,Paramètres!$A$1:$I$89,5,0)</f>
        <v>8.9119112089974823E-14</v>
      </c>
      <c r="EL143" s="13">
        <f t="shared" si="153"/>
        <v>1.3568952080113142E-12</v>
      </c>
      <c r="EM143" s="20">
        <f t="shared" si="127"/>
        <v>2.5184749408430782E-12</v>
      </c>
      <c r="EN143" s="59">
        <f t="shared" si="128"/>
        <v>285.42308790422686</v>
      </c>
      <c r="EO143" s="59">
        <f ca="1">AVERAGE(OFFSET($EN$3,0,0,'Données projet'!$E$15+1,1))-AVERAGE(OFFSET($H$3,0,0,'Données projet'!$E$15+1,1))</f>
        <v>290.69667785754848</v>
      </c>
      <c r="EP143" s="59">
        <f t="shared" si="154"/>
        <v>256.28124185489082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8.0606147182689245</v>
      </c>
      <c r="EW143" s="21">
        <f>EXP(-LN(2)/25)*EW142+(1-EXP(-LN(2)/25))/(LN(2)/25)*Calculateur!ER143*Calculateur!ET143*VLOOKUP('Données projet'!$B$15,Paramètres!$A$1:$I$89,3,0)*0.475*44/12</f>
        <v>14.991830699970219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23.052445418239145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9.1440000000000055</v>
      </c>
      <c r="N144" s="13">
        <f>IF('Données projet'!$A$36&gt;35,N143+M144-V143,IF(A144&lt;'Données projet'!$A$36,$K$205^A144,IF(A144='Données projet'!$A$36,'Données projet'!$B$36,N143+M144-V143)))</f>
        <v>487.50800000000095</v>
      </c>
      <c r="O144" s="13">
        <f>N144*VLOOKUP('Données projet'!$B$9,Paramètres!$A$1:$I$89,3,0)*VLOOKUP('Données projet'!$B$9,Paramètres!$A$1:$I$89,5,0)</f>
        <v>494.33311200000099</v>
      </c>
      <c r="P144" s="13">
        <f t="shared" si="141"/>
        <v>110.65928847529446</v>
      </c>
      <c r="Q144" s="20">
        <f t="shared" si="108"/>
        <v>1053.6950974944727</v>
      </c>
      <c r="R144" s="59">
        <f t="shared" si="109"/>
        <v>1339.2554104722328</v>
      </c>
      <c r="S144" s="59">
        <f ca="1">AVERAGE(OFFSET($R$3,0,0,'Données projet'!$E$9+1,1))-AVERAGE(OFFSET($H$3,0,0,'Données projet'!$E$9+1,1))</f>
        <v>752.45542076695506</v>
      </c>
      <c r="T144" s="59">
        <f t="shared" si="142"/>
        <v>329.70629768420724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43.655231774527515</v>
      </c>
      <c r="AA144" s="21">
        <f>EXP(-LN(2)/25)*AA143+(1-EXP(-LN(2)/25))/(LN(2)/25)*Calculateur!V144*Calculateur!X144*VLOOKUP('Données projet'!$B$9,Paramètres!$A$1:$I$89,3,0)*0.475*44/12</f>
        <v>21.938325849472108</v>
      </c>
      <c r="AB144" s="21">
        <f>EXP(-LN(2)/2)*AB143+(1-EXP(-LN(2)/2))/(LN(2)/2)*V144*Y144*VLOOKUP('Données projet'!$B$9,Paramètres!$A$1:$I$89,3,0)*0.475*44/12</f>
        <v>1.5805547271179603E-2</v>
      </c>
      <c r="AC144" s="22">
        <f t="shared" si="111"/>
        <v>65.609363171270815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408.246209980743</v>
      </c>
      <c r="AO144" s="59">
        <f t="shared" si="144"/>
        <v>394.10236303013903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17.053726500208871</v>
      </c>
      <c r="AV144" s="21">
        <f>EXP(-LN(2)/25)*AV143+(1-EXP(-LN(2)/25))/(LN(2)/25)*Calculateur!AQ144*Calculateur!AS144*VLOOKUP('Données projet'!$B$10,Paramètres!$A$1:$I$89,3,0)*0.475*44/12</f>
        <v>10.385394914023085</v>
      </c>
      <c r="AW144" s="21">
        <f>EXP(-LN(2)/2)*AW143+(1-EXP(-LN(2)/2))/(LN(2)/2)*AQ144*AT144*VLOOKUP('Données projet'!$B$10,Paramètres!$A$1:$I$89,3,0)*0.475*44/12</f>
        <v>4.5137337697456518E-8</v>
      </c>
      <c r="AX144" s="21">
        <f t="shared" si="114"/>
        <v>27.439121459369293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9.1440000000000055</v>
      </c>
      <c r="BD144" s="12">
        <f>IF('Données projet'!$A$88&gt;35,BD143+BC144-BL143,IF(A144&lt;'Données projet'!$A$88,$BA$205^A144,IF(A144='Données projet'!$A$88,'Données projet'!$B$88,BD143+BC144-BL143)))</f>
        <v>487.50800000000095</v>
      </c>
      <c r="BE144" s="13">
        <f>BD144*VLOOKUP('Données projet'!$B$11,Paramètres!$A$1:$I$89,3,0)*VLOOKUP('Données projet'!$B$11,Paramètres!$A$1:$I$89,5,0)</f>
        <v>463.91261280000094</v>
      </c>
      <c r="BF144" s="13">
        <f t="shared" si="145"/>
        <v>104.62008624699871</v>
      </c>
      <c r="BG144" s="20">
        <f t="shared" si="115"/>
        <v>990.19445084019083</v>
      </c>
      <c r="BH144" s="59">
        <f t="shared" si="116"/>
        <v>1275.7547638179508</v>
      </c>
      <c r="BI144" s="59">
        <f ca="1">AVERAGE(OFFSET($BH$3,0,0,'Données projet'!$E$11+1,1))-AVERAGE(OFFSET($H$3,0,0,'Données projet'!$E$11+1,1))</f>
        <v>711.91538686535682</v>
      </c>
      <c r="BJ144" s="59">
        <f t="shared" si="146"/>
        <v>313.24593837351722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40.968755973018133</v>
      </c>
      <c r="BQ144" s="21">
        <f>EXP(-LN(2)/25)*BQ143+(1-EXP(-LN(2)/25))/(LN(2)/25)*Calculateur!BL144*Calculateur!BN144*VLOOKUP('Données projet'!$B$11,Paramètres!$A$1:$I$89,3,0)*0.475*44/12</f>
        <v>20.588275027966123</v>
      </c>
      <c r="BR144" s="21">
        <f>EXP(-LN(2)/2)*BR143+(1-EXP(-LN(2)/2))/(LN(2)/2)*BL144*BO144*VLOOKUP('Données projet'!$B$11,Paramètres!$A$1:$I$89,3,0)*0.475*44/12</f>
        <v>1.4832898208337802E-2</v>
      </c>
      <c r="BS144" s="22">
        <f t="shared" si="117"/>
        <v>61.571863899192593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9.1440000000000055</v>
      </c>
      <c r="BY144" s="12">
        <f>IF('Données projet'!$A$114&gt;35,BY143+BX144-CG143,IF(A144&lt;'Données projet'!$A$114,$BV$205^A144,IF(A144='Données projet'!$A$114,'Données projet'!$B$114,BY143+BX144-CG143)))</f>
        <v>487.50800000000095</v>
      </c>
      <c r="BZ144" s="13">
        <f>BY144*VLOOKUP('Données projet'!$B$12,Paramètres!$A$1:$I$89,3,0)*VLOOKUP('Données projet'!$B$12,Paramètres!$A$1:$I$89,5,0)</f>
        <v>441.09723840000083</v>
      </c>
      <c r="CA144" s="13">
        <f t="shared" si="147"/>
        <v>100.06048569250036</v>
      </c>
      <c r="CB144" s="20">
        <f t="shared" si="118"/>
        <v>942.51636946110614</v>
      </c>
      <c r="CC144" s="59">
        <f t="shared" si="119"/>
        <v>1228.0766824388661</v>
      </c>
      <c r="CD144" s="59">
        <f ca="1">AVERAGE(OFFSET($CC$3,0,0,'Données projet'!$E$12+1,1))-AVERAGE(OFFSET($H$3,0,0,'Données projet'!$E$12+1,1))</f>
        <v>681.47578137804555</v>
      </c>
      <c r="CE144" s="59">
        <f t="shared" si="148"/>
        <v>300.88511065995885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38.953899121886089</v>
      </c>
      <c r="CL144" s="21">
        <f>EXP(-LN(2)/25)*CL143+(1-EXP(-LN(2)/25))/(LN(2)/25)*Calculateur!CG144*Calculateur!CI144*VLOOKUP('Données projet'!$B$12,Paramètres!$A$1:$I$89,3,0)*0.475*44/12</f>
        <v>19.575736911836646</v>
      </c>
      <c r="CM144" s="21">
        <f>EXP(-LN(2)/2)*CM143+(1-EXP(-LN(2)/2))/(LN(2)/2)*CG144*CJ144*VLOOKUP('Données projet'!$B$12,Paramètres!$A$1:$I$89,3,0)*0.475*44/12</f>
        <v>1.4103411411206425E-2</v>
      </c>
      <c r="CN144" s="22">
        <f t="shared" si="120"/>
        <v>58.543739445133944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-8.5265128291212022E-14</v>
      </c>
      <c r="CU144" s="17">
        <f>CT144*VLOOKUP('Données projet'!$B$13,Paramètres!$A$1:$I$89,3,0)*VLOOKUP('Données projet'!$B$13,Paramètres!$A$1:$I$89,5,0)</f>
        <v>-6.9167072069831198E-14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186.54446846714993</v>
      </c>
      <c r="CZ144" s="59">
        <f t="shared" si="150"/>
        <v>154.43773051601286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</v>
      </c>
      <c r="DG144" s="21">
        <f>EXP(-LN(2)/25)*DG143+(1-EXP(-LN(2)/25))/(LN(2)/25)*Calculateur!DB144*Calculateur!DD144*VLOOKUP('Données projet'!$B$13,Paramètres!$A$1:$I$89,3,0)*0.475*44/12</f>
        <v>3.9342265907312179</v>
      </c>
      <c r="DH144" s="21">
        <f>EXP(-LN(2)/2)*DH143+(1-EXP(-LN(2)/2))/(LN(2)/2)*DB144*DE144*VLOOKUP('Données projet'!$B$13,Paramètres!$A$1:$I$89,3,0)*0.475*44/12</f>
        <v>5.2778531024259132E-7</v>
      </c>
      <c r="DI144" s="22">
        <f t="shared" si="123"/>
        <v>3.9342271185165281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7.6233333333333304</v>
      </c>
      <c r="DO144" s="12">
        <f>IF('Données projet'!$A$166&gt;35,DO143+DN144-DW143,IF(A144&lt;'Données projet'!$A$166,$DL$205^A144,IF(A144='Données projet'!$A$166,'Données projet'!$B$166,DO143+DN144-DW143)))</f>
        <v>350.53333333333336</v>
      </c>
      <c r="DP144" s="17">
        <f>DO144*VLOOKUP('Données projet'!$B$14,Paramètres!$A$1:$I$89,3,0)*VLOOKUP('Données projet'!$B$14,Paramètres!$A$1:$I$89,5,0)</f>
        <v>399.18736000000007</v>
      </c>
      <c r="DQ144" s="13">
        <f t="shared" si="151"/>
        <v>91.611895437774379</v>
      </c>
      <c r="DR144" s="20">
        <f t="shared" si="124"/>
        <v>854.80870322079045</v>
      </c>
      <c r="DS144" s="59">
        <f t="shared" si="125"/>
        <v>1140.3690161985505</v>
      </c>
      <c r="DT144" s="59">
        <f ca="1">AVERAGE(OFFSET($DS$3,0,0,'Données projet'!$E$14+1,1))-AVERAGE(OFFSET($H$3,0,0,'Données projet'!$E$14+1,1))</f>
        <v>651.35546372812314</v>
      </c>
      <c r="DU144" s="59">
        <f t="shared" si="152"/>
        <v>293.6561676213388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31.044356695214173</v>
      </c>
      <c r="EB144" s="21">
        <f>EXP(-LN(2)/25)*EB143+(1-EXP(-LN(2)/25))/(LN(2)/25)*Calculateur!DW144*Calculateur!DY144*VLOOKUP('Données projet'!$B$14,Paramètres!$A$1:$I$89,3,0)*0.475*44/12</f>
        <v>25.964249241005234</v>
      </c>
      <c r="EC144" s="21">
        <f>EXP(-LN(2)/2)*EC143+(1-EXP(-LN(2)/2))/(LN(2)/2)*DW144*DZ144*VLOOKUP('Données projet'!$B$14,Paramètres!$A$1:$I$89,3,0)*0.475*44/12</f>
        <v>1.5760685174893621</v>
      </c>
      <c r="ED144" s="22">
        <f t="shared" si="126"/>
        <v>58.584674453708772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8.5265128291212022E-14</v>
      </c>
      <c r="EK144" s="17">
        <f>EJ144*VLOOKUP('Données projet'!$B$15,Paramètres!$A$1:$I$89,3,0)*VLOOKUP('Données projet'!$B$15,Paramètres!$A$1:$I$89,5,0)</f>
        <v>8.9119112089974823E-14</v>
      </c>
      <c r="EL144" s="13">
        <f t="shared" si="153"/>
        <v>1.3568952080113142E-12</v>
      </c>
      <c r="EM144" s="20">
        <f t="shared" si="127"/>
        <v>2.5184749408430782E-12</v>
      </c>
      <c r="EN144" s="59">
        <f t="shared" si="128"/>
        <v>285.56031297776252</v>
      </c>
      <c r="EO144" s="59">
        <f ca="1">AVERAGE(OFFSET($EN$3,0,0,'Données projet'!$E$15+1,1))-AVERAGE(OFFSET($H$3,0,0,'Données projet'!$E$15+1,1))</f>
        <v>290.69667785754848</v>
      </c>
      <c r="EP144" s="59">
        <f t="shared" si="154"/>
        <v>256.28124185489082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7.9025509801331859</v>
      </c>
      <c r="EW144" s="21">
        <f>EXP(-LN(2)/25)*EW143+(1-EXP(-LN(2)/25))/(LN(2)/25)*Calculateur!ER144*Calculateur!ET144*VLOOKUP('Données projet'!$B$15,Paramètres!$A$1:$I$89,3,0)*0.475*44/12</f>
        <v>14.581878301093422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22.484429281226607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9.1440000000000055</v>
      </c>
      <c r="N145" s="13">
        <f>IF('Données projet'!$A$36&gt;35,N144+M145-V144,IF(A145&lt;'Données projet'!$A$36,$K$205^A145,IF(A145='Données projet'!$A$36,'Données projet'!$B$36,N144+M145-V144)))</f>
        <v>496.65200000000095</v>
      </c>
      <c r="O145" s="13">
        <f>N145*VLOOKUP('Données projet'!$B$9,Paramètres!$A$1:$I$89,3,0)*VLOOKUP('Données projet'!$B$9,Paramètres!$A$1:$I$89,5,0)</f>
        <v>503.605128000001</v>
      </c>
      <c r="P145" s="13">
        <f t="shared" si="141"/>
        <v>112.49129485365643</v>
      </c>
      <c r="Q145" s="20">
        <f t="shared" si="108"/>
        <v>1073.0346031367867</v>
      </c>
      <c r="R145" s="59">
        <f t="shared" si="109"/>
        <v>1358.7297606398458</v>
      </c>
      <c r="S145" s="59">
        <f ca="1">AVERAGE(OFFSET($R$3,0,0,'Données projet'!$E$9+1,1))-AVERAGE(OFFSET($H$3,0,0,'Données projet'!$E$9+1,1))</f>
        <v>752.45542076695506</v>
      </c>
      <c r="T145" s="59">
        <f t="shared" si="142"/>
        <v>329.70629768420724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42.799179306491212</v>
      </c>
      <c r="AA145" s="21">
        <f>EXP(-LN(2)/25)*AA144+(1-EXP(-LN(2)/25))/(LN(2)/25)*Calculateur!V145*Calculateur!X145*VLOOKUP('Données projet'!$B$9,Paramètres!$A$1:$I$89,3,0)*0.475*44/12</f>
        <v>21.338421175431876</v>
      </c>
      <c r="AB145" s="21">
        <f>EXP(-LN(2)/2)*AB144+(1-EXP(-LN(2)/2))/(LN(2)/2)*V145*Y145*VLOOKUP('Données projet'!$B$9,Paramètres!$A$1:$I$89,3,0)*0.475*44/12</f>
        <v>1.1176209655815629E-2</v>
      </c>
      <c r="AC145" s="22">
        <f t="shared" si="111"/>
        <v>64.148776691578902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408.246209980743</v>
      </c>
      <c r="AO145" s="59">
        <f t="shared" si="144"/>
        <v>394.10236303013903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16.719313325285853</v>
      </c>
      <c r="AV145" s="21">
        <f>EXP(-LN(2)/25)*AV144+(1-EXP(-LN(2)/25))/(LN(2)/25)*Calculateur!AQ145*Calculateur!AS145*VLOOKUP('Données projet'!$B$10,Paramètres!$A$1:$I$89,3,0)*0.475*44/12</f>
        <v>10.10140574395494</v>
      </c>
      <c r="AW145" s="21">
        <f>EXP(-LN(2)/2)*AW144+(1-EXP(-LN(2)/2))/(LN(2)/2)*AQ145*AT145*VLOOKUP('Données projet'!$B$10,Paramètres!$A$1:$I$89,3,0)*0.475*44/12</f>
        <v>3.1916917570578688E-8</v>
      </c>
      <c r="AX145" s="21">
        <f t="shared" si="114"/>
        <v>26.820719101157714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9.1440000000000055</v>
      </c>
      <c r="BD145" s="12">
        <f>IF('Données projet'!$A$88&gt;35,BD144+BC145-BL144,IF(A145&lt;'Données projet'!$A$88,$BA$205^A145,IF(A145='Données projet'!$A$88,'Données projet'!$B$88,BD144+BC145-BL144)))</f>
        <v>496.65200000000095</v>
      </c>
      <c r="BE145" s="13">
        <f>BD145*VLOOKUP('Données projet'!$B$11,Paramètres!$A$1:$I$89,3,0)*VLOOKUP('Données projet'!$B$11,Paramètres!$A$1:$I$89,5,0)</f>
        <v>472.61404320000088</v>
      </c>
      <c r="BF145" s="13">
        <f t="shared" si="145"/>
        <v>106.35211134810046</v>
      </c>
      <c r="BG145" s="20">
        <f t="shared" si="115"/>
        <v>1008.3660525046098</v>
      </c>
      <c r="BH145" s="59">
        <f t="shared" si="116"/>
        <v>1294.0612100076689</v>
      </c>
      <c r="BI145" s="59">
        <f ca="1">AVERAGE(OFFSET($BH$3,0,0,'Données projet'!$E$11+1,1))-AVERAGE(OFFSET($H$3,0,0,'Données projet'!$E$11+1,1))</f>
        <v>711.91538686535682</v>
      </c>
      <c r="BJ145" s="59">
        <f t="shared" si="146"/>
        <v>313.24593837351722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40.165383656860982</v>
      </c>
      <c r="BQ145" s="21">
        <f>EXP(-LN(2)/25)*BQ144+(1-EXP(-LN(2)/25))/(LN(2)/25)*Calculateur!BL145*Calculateur!BN145*VLOOKUP('Données projet'!$B$11,Paramètres!$A$1:$I$89,3,0)*0.475*44/12</f>
        <v>20.025287564636059</v>
      </c>
      <c r="BR145" s="21">
        <f>EXP(-LN(2)/2)*BR144+(1-EXP(-LN(2)/2))/(LN(2)/2)*BL145*BO145*VLOOKUP('Données projet'!$B$11,Paramètres!$A$1:$I$89,3,0)*0.475*44/12</f>
        <v>1.0488442907765452E-2</v>
      </c>
      <c r="BS145" s="22">
        <f t="shared" si="117"/>
        <v>60.201159664404805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9.1440000000000055</v>
      </c>
      <c r="BY145" s="12">
        <f>IF('Données projet'!$A$114&gt;35,BY144+BX145-CG144,IF(A145&lt;'Données projet'!$A$114,$BV$205^A145,IF(A145='Données projet'!$A$114,'Données projet'!$B$114,BY144+BX145-CG144)))</f>
        <v>496.65200000000095</v>
      </c>
      <c r="BZ145" s="13">
        <f>BY145*VLOOKUP('Données projet'!$B$12,Paramètres!$A$1:$I$89,3,0)*VLOOKUP('Données projet'!$B$12,Paramètres!$A$1:$I$89,5,0)</f>
        <v>449.37072960000086</v>
      </c>
      <c r="CA145" s="13">
        <f t="shared" si="147"/>
        <v>101.71702488172154</v>
      </c>
      <c r="CB145" s="20">
        <f t="shared" si="118"/>
        <v>959.81117238899981</v>
      </c>
      <c r="CC145" s="59">
        <f t="shared" si="119"/>
        <v>1245.5063298920588</v>
      </c>
      <c r="CD145" s="59">
        <f ca="1">AVERAGE(OFFSET($CC$3,0,0,'Données projet'!$E$12+1,1))-AVERAGE(OFFSET($H$3,0,0,'Données projet'!$E$12+1,1))</f>
        <v>681.47578137804555</v>
      </c>
      <c r="CE145" s="59">
        <f t="shared" si="148"/>
        <v>300.88511065995885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38.19003691963831</v>
      </c>
      <c r="CL145" s="21">
        <f>EXP(-LN(2)/25)*CL144+(1-EXP(-LN(2)/25))/(LN(2)/25)*Calculateur!CG145*Calculateur!CI145*VLOOKUP('Données projet'!$B$12,Paramètres!$A$1:$I$89,3,0)*0.475*44/12</f>
        <v>19.040437356539211</v>
      </c>
      <c r="CM145" s="21">
        <f>EXP(-LN(2)/2)*CM144+(1-EXP(-LN(2)/2))/(LN(2)/2)*CG145*CJ145*VLOOKUP('Données projet'!$B$12,Paramètres!$A$1:$I$89,3,0)*0.475*44/12</f>
        <v>9.9726178467277986E-3</v>
      </c>
      <c r="CN145" s="22">
        <f t="shared" si="120"/>
        <v>57.240446894024245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-8.5265128291212022E-14</v>
      </c>
      <c r="CU145" s="17">
        <f>CT145*VLOOKUP('Données projet'!$B$13,Paramètres!$A$1:$I$89,3,0)*VLOOKUP('Données projet'!$B$13,Paramètres!$A$1:$I$89,5,0)</f>
        <v>-6.9167072069831198E-14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186.54446846714993</v>
      </c>
      <c r="CZ145" s="59">
        <f t="shared" si="150"/>
        <v>154.43773051601286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</v>
      </c>
      <c r="DG145" s="21">
        <f>EXP(-LN(2)/25)*DG144+(1-EXP(-LN(2)/25))/(LN(2)/25)*Calculateur!DB145*Calculateur!DD145*VLOOKUP('Données projet'!$B$13,Paramètres!$A$1:$I$89,3,0)*0.475*44/12</f>
        <v>3.826644957715688</v>
      </c>
      <c r="DH145" s="21">
        <f>EXP(-LN(2)/2)*DH144+(1-EXP(-LN(2)/2))/(LN(2)/2)*DB145*DE145*VLOOKUP('Données projet'!$B$13,Paramètres!$A$1:$I$89,3,0)*0.475*44/12</f>
        <v>3.7320057188318213E-7</v>
      </c>
      <c r="DI145" s="22">
        <f t="shared" si="123"/>
        <v>3.8266453309162598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7.6233333333333304</v>
      </c>
      <c r="DO145" s="12">
        <f>IF('Données projet'!$A$166&gt;35,DO144+DN145-DW144,IF(A145&lt;'Données projet'!$A$166,$DL$205^A145,IF(A145='Données projet'!$A$166,'Données projet'!$B$166,DO144+DN145-DW144)))</f>
        <v>358.15666666666669</v>
      </c>
      <c r="DP145" s="17">
        <f>DO145*VLOOKUP('Données projet'!$B$14,Paramètres!$A$1:$I$89,3,0)*VLOOKUP('Données projet'!$B$14,Paramètres!$A$1:$I$89,5,0)</f>
        <v>407.86881199999999</v>
      </c>
      <c r="DQ145" s="13">
        <f t="shared" si="151"/>
        <v>93.370132872170927</v>
      </c>
      <c r="DR145" s="20">
        <f t="shared" si="124"/>
        <v>872.99116231903099</v>
      </c>
      <c r="DS145" s="59">
        <f t="shared" si="125"/>
        <v>1158.6863198220901</v>
      </c>
      <c r="DT145" s="59">
        <f ca="1">AVERAGE(OFFSET($DS$3,0,0,'Données projet'!$E$14+1,1))-AVERAGE(OFFSET($H$3,0,0,'Données projet'!$E$14+1,1))</f>
        <v>651.35546372812314</v>
      </c>
      <c r="DU145" s="59">
        <f t="shared" si="152"/>
        <v>293.6561676213388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30.435595795608911</v>
      </c>
      <c r="EB145" s="21">
        <f>EXP(-LN(2)/25)*EB144+(1-EXP(-LN(2)/25))/(LN(2)/25)*Calculateur!DW145*Calculateur!DY145*VLOOKUP('Données projet'!$B$14,Paramètres!$A$1:$I$89,3,0)*0.475*44/12</f>
        <v>25.254255480109421</v>
      </c>
      <c r="EC145" s="21">
        <f>EXP(-LN(2)/2)*EC144+(1-EXP(-LN(2)/2))/(LN(2)/2)*DW145*DZ145*VLOOKUP('Données projet'!$B$14,Paramètres!$A$1:$I$89,3,0)*0.475*44/12</f>
        <v>1.1144487363313567</v>
      </c>
      <c r="ED145" s="22">
        <f t="shared" si="126"/>
        <v>56.804300012049687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8.5265128291212022E-14</v>
      </c>
      <c r="EK145" s="17">
        <f>EJ145*VLOOKUP('Données projet'!$B$15,Paramètres!$A$1:$I$89,3,0)*VLOOKUP('Données projet'!$B$15,Paramètres!$A$1:$I$89,5,0)</f>
        <v>8.9119112089974823E-14</v>
      </c>
      <c r="EL145" s="13">
        <f t="shared" si="153"/>
        <v>1.3568952080113142E-12</v>
      </c>
      <c r="EM145" s="20">
        <f t="shared" si="127"/>
        <v>2.5184749408430782E-12</v>
      </c>
      <c r="EN145" s="59">
        <f t="shared" si="128"/>
        <v>285.69515750306158</v>
      </c>
      <c r="EO145" s="59">
        <f ca="1">AVERAGE(OFFSET($EN$3,0,0,'Données projet'!$E$15+1,1))-AVERAGE(OFFSET($H$3,0,0,'Données projet'!$E$15+1,1))</f>
        <v>290.69667785754848</v>
      </c>
      <c r="EP145" s="59">
        <f t="shared" si="154"/>
        <v>256.28124185489082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7.7475867754929286</v>
      </c>
      <c r="EW145" s="21">
        <f>EXP(-LN(2)/25)*EW144+(1-EXP(-LN(2)/25))/(LN(2)/25)*Calculateur!ER145*Calculateur!ET145*VLOOKUP('Données projet'!$B$15,Paramètres!$A$1:$I$89,3,0)*0.475*44/12</f>
        <v>14.18313607212237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21.9307228476153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9.1440000000000055</v>
      </c>
      <c r="N146" s="13">
        <f>IF('Données projet'!$A$36&gt;35,N145+M146-V145,IF(A146&lt;'Données projet'!$A$36,$K$205^A146,IF(A146='Données projet'!$A$36,'Données projet'!$B$36,N145+M146-V145)))</f>
        <v>505.79600000000096</v>
      </c>
      <c r="O146" s="13">
        <f>N146*VLOOKUP('Données projet'!$B$9,Paramètres!$A$1:$I$89,3,0)*VLOOKUP('Données projet'!$B$9,Paramètres!$A$1:$I$89,5,0)</f>
        <v>512.87714400000095</v>
      </c>
      <c r="P146" s="13">
        <f t="shared" si="141"/>
        <v>114.31937907794493</v>
      </c>
      <c r="Q146" s="20">
        <f t="shared" si="108"/>
        <v>1092.3672776940891</v>
      </c>
      <c r="R146" s="59">
        <f t="shared" si="109"/>
        <v>1378.1949404714005</v>
      </c>
      <c r="S146" s="59">
        <f ca="1">AVERAGE(OFFSET($R$3,0,0,'Données projet'!$E$9+1,1))-AVERAGE(OFFSET($H$3,0,0,'Données projet'!$E$9+1,1))</f>
        <v>752.45542076695506</v>
      </c>
      <c r="T146" s="59">
        <f t="shared" si="142"/>
        <v>329.70629768420724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41.959913505212647</v>
      </c>
      <c r="AA146" s="21">
        <f>EXP(-LN(2)/25)*AA145+(1-EXP(-LN(2)/25))/(LN(2)/25)*Calculateur!V146*Calculateur!X146*VLOOKUP('Données projet'!$B$9,Paramètres!$A$1:$I$89,3,0)*0.475*44/12</f>
        <v>20.75492092625089</v>
      </c>
      <c r="AB146" s="21">
        <f>EXP(-LN(2)/2)*AB145+(1-EXP(-LN(2)/2))/(LN(2)/2)*V146*Y146*VLOOKUP('Données projet'!$B$9,Paramètres!$A$1:$I$89,3,0)*0.475*44/12</f>
        <v>7.9027736355898014E-3</v>
      </c>
      <c r="AC146" s="22">
        <f t="shared" si="111"/>
        <v>62.722737205099129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408.246209980743</v>
      </c>
      <c r="AO146" s="59">
        <f t="shared" si="144"/>
        <v>394.10236303013903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16.391457788751179</v>
      </c>
      <c r="AV146" s="21">
        <f>EXP(-LN(2)/25)*AV145+(1-EXP(-LN(2)/25))/(LN(2)/25)*Calculateur!AQ146*Calculateur!AS146*VLOOKUP('Données projet'!$B$10,Paramètres!$A$1:$I$89,3,0)*0.475*44/12</f>
        <v>9.8251822726766509</v>
      </c>
      <c r="AW146" s="21">
        <f>EXP(-LN(2)/2)*AW145+(1-EXP(-LN(2)/2))/(LN(2)/2)*AQ146*AT146*VLOOKUP('Données projet'!$B$10,Paramètres!$A$1:$I$89,3,0)*0.475*44/12</f>
        <v>2.2568668848728259E-8</v>
      </c>
      <c r="AX146" s="21">
        <f t="shared" si="114"/>
        <v>26.216640083996502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9.1440000000000055</v>
      </c>
      <c r="BD146" s="12">
        <f>IF('Données projet'!$A$88&gt;35,BD145+BC146-BL145,IF(A146&lt;'Données projet'!$A$88,$BA$205^A146,IF(A146='Données projet'!$A$88,'Données projet'!$B$88,BD145+BC146-BL145)))</f>
        <v>505.79600000000096</v>
      </c>
      <c r="BE146" s="13">
        <f>BD146*VLOOKUP('Données projet'!$B$11,Paramètres!$A$1:$I$89,3,0)*VLOOKUP('Données projet'!$B$11,Paramètres!$A$1:$I$89,5,0)</f>
        <v>481.31547360000093</v>
      </c>
      <c r="BF146" s="13">
        <f t="shared" si="145"/>
        <v>108.08042834567949</v>
      </c>
      <c r="BG146" s="20">
        <f t="shared" si="115"/>
        <v>1026.5311958887266</v>
      </c>
      <c r="BH146" s="59">
        <f t="shared" si="116"/>
        <v>1312.358858666038</v>
      </c>
      <c r="BI146" s="59">
        <f ca="1">AVERAGE(OFFSET($BH$3,0,0,'Données projet'!$E$11+1,1))-AVERAGE(OFFSET($H$3,0,0,'Données projet'!$E$11+1,1))</f>
        <v>711.91538686535682</v>
      </c>
      <c r="BJ146" s="59">
        <f t="shared" si="146"/>
        <v>313.24593837351722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39.377764981814948</v>
      </c>
      <c r="BQ146" s="21">
        <f>EXP(-LN(2)/25)*BQ145+(1-EXP(-LN(2)/25))/(LN(2)/25)*Calculateur!BL146*Calculateur!BN146*VLOOKUP('Données projet'!$B$11,Paramètres!$A$1:$I$89,3,0)*0.475*44/12</f>
        <v>19.477695023096981</v>
      </c>
      <c r="BR146" s="21">
        <f>EXP(-LN(2)/2)*BR145+(1-EXP(-LN(2)/2))/(LN(2)/2)*BL146*BO146*VLOOKUP('Données projet'!$B$11,Paramètres!$A$1:$I$89,3,0)*0.475*44/12</f>
        <v>7.4164491041689021E-3</v>
      </c>
      <c r="BS146" s="22">
        <f t="shared" si="117"/>
        <v>58.862876454016103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9.1440000000000055</v>
      </c>
      <c r="BY146" s="12">
        <f>IF('Données projet'!$A$114&gt;35,BY145+BX146-CG145,IF(A146&lt;'Données projet'!$A$114,$BV$205^A146,IF(A146='Données projet'!$A$114,'Données projet'!$B$114,BY145+BX146-CG145)))</f>
        <v>505.79600000000096</v>
      </c>
      <c r="BZ146" s="13">
        <f>BY146*VLOOKUP('Données projet'!$B$12,Paramètres!$A$1:$I$89,3,0)*VLOOKUP('Données projet'!$B$12,Paramètres!$A$1:$I$89,5,0)</f>
        <v>457.64422080000088</v>
      </c>
      <c r="CA146" s="13">
        <f t="shared" si="147"/>
        <v>103.37001757568726</v>
      </c>
      <c r="CB146" s="20">
        <f t="shared" si="118"/>
        <v>977.0997985043233</v>
      </c>
      <c r="CC146" s="59">
        <f t="shared" si="119"/>
        <v>1262.9274612816348</v>
      </c>
      <c r="CD146" s="59">
        <f ca="1">AVERAGE(OFFSET($CC$3,0,0,'Données projet'!$E$12+1,1))-AVERAGE(OFFSET($H$3,0,0,'Données projet'!$E$12+1,1))</f>
        <v>681.47578137804555</v>
      </c>
      <c r="CE146" s="59">
        <f t="shared" si="148"/>
        <v>300.88511065995885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37.441153589266669</v>
      </c>
      <c r="CL146" s="21">
        <f>EXP(-LN(2)/25)*CL145+(1-EXP(-LN(2)/25))/(LN(2)/25)*Calculateur!CG146*Calculateur!CI146*VLOOKUP('Données projet'!$B$12,Paramètres!$A$1:$I$89,3,0)*0.475*44/12</f>
        <v>18.519775595731563</v>
      </c>
      <c r="CM146" s="21">
        <f>EXP(-LN(2)/2)*CM145+(1-EXP(-LN(2)/2))/(LN(2)/2)*CG146*CJ146*VLOOKUP('Données projet'!$B$12,Paramètres!$A$1:$I$89,3,0)*0.475*44/12</f>
        <v>7.0517057056032123E-3</v>
      </c>
      <c r="CN146" s="22">
        <f t="shared" si="120"/>
        <v>55.967980890703842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-8.5265128291212022E-14</v>
      </c>
      <c r="CU146" s="17">
        <f>CT146*VLOOKUP('Données projet'!$B$13,Paramètres!$A$1:$I$89,3,0)*VLOOKUP('Données projet'!$B$13,Paramètres!$A$1:$I$89,5,0)</f>
        <v>-6.9167072069831198E-14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186.54446846714993</v>
      </c>
      <c r="CZ146" s="59">
        <f t="shared" si="150"/>
        <v>154.43773051601286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</v>
      </c>
      <c r="DG146" s="21">
        <f>EXP(-LN(2)/25)*DG145+(1-EXP(-LN(2)/25))/(LN(2)/25)*Calculateur!DB146*Calculateur!DD146*VLOOKUP('Données projet'!$B$13,Paramètres!$A$1:$I$89,3,0)*0.475*44/12</f>
        <v>3.72200515011244</v>
      </c>
      <c r="DH146" s="21">
        <f>EXP(-LN(2)/2)*DH145+(1-EXP(-LN(2)/2))/(LN(2)/2)*DB146*DE146*VLOOKUP('Données projet'!$B$13,Paramètres!$A$1:$I$89,3,0)*0.475*44/12</f>
        <v>2.6389265512129566E-7</v>
      </c>
      <c r="DI146" s="22">
        <f t="shared" si="123"/>
        <v>3.7220054140050953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7.6233333333333304</v>
      </c>
      <c r="DO146" s="12">
        <f>IF('Données projet'!$A$166&gt;35,DO145+DN146-DW145,IF(A146&lt;'Données projet'!$A$166,$DL$205^A146,IF(A146='Données projet'!$A$166,'Données projet'!$B$166,DO145+DN146-DW145)))</f>
        <v>365.78000000000003</v>
      </c>
      <c r="DP146" s="17">
        <f>DO146*VLOOKUP('Données projet'!$B$14,Paramètres!$A$1:$I$89,3,0)*VLOOKUP('Données projet'!$B$14,Paramètres!$A$1:$I$89,5,0)</f>
        <v>416.55026400000003</v>
      </c>
      <c r="DQ146" s="13">
        <f t="shared" si="151"/>
        <v>95.124019205698232</v>
      </c>
      <c r="DR146" s="20">
        <f t="shared" si="124"/>
        <v>891.16604324992443</v>
      </c>
      <c r="DS146" s="59">
        <f t="shared" si="125"/>
        <v>1176.9937060272359</v>
      </c>
      <c r="DT146" s="59">
        <f ca="1">AVERAGE(OFFSET($DS$3,0,0,'Données projet'!$E$14+1,1))-AVERAGE(OFFSET($H$3,0,0,'Données projet'!$E$14+1,1))</f>
        <v>651.35546372812314</v>
      </c>
      <c r="DU146" s="59">
        <f t="shared" si="152"/>
        <v>293.6561676213388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29.838772325937423</v>
      </c>
      <c r="EB146" s="21">
        <f>EXP(-LN(2)/25)*EB145+(1-EXP(-LN(2)/25))/(LN(2)/25)*Calculateur!DW146*Calculateur!DY146*VLOOKUP('Données projet'!$B$14,Paramètres!$A$1:$I$89,3,0)*0.475*44/12</f>
        <v>24.563676535942253</v>
      </c>
      <c r="EC146" s="21">
        <f>EXP(-LN(2)/2)*EC145+(1-EXP(-LN(2)/2))/(LN(2)/2)*DW146*DZ146*VLOOKUP('Données projet'!$B$14,Paramètres!$A$1:$I$89,3,0)*0.475*44/12</f>
        <v>0.78803425874468103</v>
      </c>
      <c r="ED146" s="22">
        <f t="shared" si="126"/>
        <v>55.190483120624357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8.5265128291212022E-14</v>
      </c>
      <c r="EK146" s="17">
        <f>EJ146*VLOOKUP('Données projet'!$B$15,Paramètres!$A$1:$I$89,3,0)*VLOOKUP('Données projet'!$B$15,Paramètres!$A$1:$I$89,5,0)</f>
        <v>8.9119112089974823E-14</v>
      </c>
      <c r="EL146" s="13">
        <f t="shared" si="153"/>
        <v>1.3568952080113142E-12</v>
      </c>
      <c r="EM146" s="20">
        <f t="shared" si="127"/>
        <v>2.5184749408430782E-12</v>
      </c>
      <c r="EN146" s="59">
        <f t="shared" si="128"/>
        <v>285.82766277731395</v>
      </c>
      <c r="EO146" s="59">
        <f ca="1">AVERAGE(OFFSET($EN$3,0,0,'Données projet'!$E$15+1,1))-AVERAGE(OFFSET($H$3,0,0,'Données projet'!$E$15+1,1))</f>
        <v>290.69667785754848</v>
      </c>
      <c r="EP146" s="59">
        <f t="shared" si="154"/>
        <v>256.28124185489082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7.5956613243868345</v>
      </c>
      <c r="EW146" s="21">
        <f>EXP(-LN(2)/25)*EW145+(1-EXP(-LN(2)/25))/(LN(2)/25)*Calculateur!ER146*Calculateur!ET146*VLOOKUP('Données projet'!$B$15,Paramètres!$A$1:$I$89,3,0)*0.475*44/12</f>
        <v>13.795297470371473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21.390958794758308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>
        <f>VLOOKUP(A147,'Données projet'!$A$35:$I$55,2,0)</f>
        <v>514.94000000000005</v>
      </c>
      <c r="L147" s="12">
        <f>VLOOKUP(A147,'Données projet'!$A$35:$I$55,9,0)</f>
        <v>9.1440000000000055</v>
      </c>
      <c r="M147" s="12">
        <f t="array" ref="M147">INDEX(L:L,MIN(IF(ISNUMBER(L147:L343),ROW(L147:L343),"")))</f>
        <v>9.1440000000000055</v>
      </c>
      <c r="N147" s="13">
        <f>IF('Données projet'!$A$36&gt;35,N146+M147-V146,IF(A147&lt;'Données projet'!$A$36,$K$205^A147,IF(A147='Données projet'!$A$36,'Données projet'!$B$36,N146+M147-V146)))</f>
        <v>514.94000000000096</v>
      </c>
      <c r="O147" s="13">
        <f>N147*VLOOKUP('Données projet'!$B$9,Paramètres!$A$1:$I$89,3,0)*VLOOKUP('Données projet'!$B$9,Paramètres!$A$1:$I$89,5,0)</f>
        <v>522.14916000000096</v>
      </c>
      <c r="P147" s="13">
        <f t="shared" si="141"/>
        <v>116.14362023352821</v>
      </c>
      <c r="Q147" s="20">
        <f t="shared" si="108"/>
        <v>1111.6932589067299</v>
      </c>
      <c r="R147" s="59">
        <f t="shared" si="109"/>
        <v>1397.6511282880228</v>
      </c>
      <c r="S147" s="59">
        <f ca="1">AVERAGE(OFFSET($R$3,0,0,'Données projet'!$E$9+1,1))-AVERAGE(OFFSET($H$3,0,0,'Données projet'!$E$9+1,1))</f>
        <v>752.45542076695506</v>
      </c>
      <c r="T147" s="59">
        <f t="shared" si="142"/>
        <v>329.70629768420724</v>
      </c>
      <c r="U147" s="15">
        <f>IF(ISNA(VLOOKUP(A147,'Données projet'!$A$35:$I$55,3,0)),0,VLOOKUP(A147,'Données projet'!$A$35:$I$55,3,0))</f>
        <v>12</v>
      </c>
      <c r="V147" s="15">
        <f>IF(ISNA(VLOOKUP(A147,'Données projet'!$A$35:$I$55,4,0)),0,VLOOKUP(A147,'Données projet'!$A$35:$I$55,4,0))</f>
        <v>61.800000000000068</v>
      </c>
      <c r="W147" s="16">
        <f>IF(ISNA(VLOOKUP(A147,'Données projet'!$A$35:$I$55,5,0)),0%,VLOOKUP(A147,'Données projet'!$A$35:$I$55,5,0)*VLOOKUP('Données projet'!$B$9,Paramètres!$A$1:$I$89,7,0))</f>
        <v>0.215</v>
      </c>
      <c r="X147" s="16">
        <f>IF(ISNA(VLOOKUP(A147,'Données projet'!$A$35:$I$55,6,0)),0%,VLOOKUP(A147,'Données projet'!$A$35:$I$55,6,0)*VLOOKUP('Données projet'!$B$9,Paramètres!$A$1:$I$89,7,0))</f>
        <v>8.6000000000000007E-2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56.031127516309859</v>
      </c>
      <c r="AA147" s="21">
        <f>EXP(-LN(2)/25)*AA146+(1-EXP(-LN(2)/25))/(LN(2)/25)*Calculateur!V147*Calculateur!X147*VLOOKUP('Données projet'!$B$9,Paramètres!$A$1:$I$89,3,0)*0.475*44/12</f>
        <v>26.121528074454901</v>
      </c>
      <c r="AB147" s="21">
        <f>EXP(-LN(2)/2)*AB146+(1-EXP(-LN(2)/2))/(LN(2)/2)*V147*Y147*VLOOKUP('Données projet'!$B$9,Paramètres!$A$1:$I$89,3,0)*0.475*44/12</f>
        <v>5.5881048279078143E-3</v>
      </c>
      <c r="AC147" s="22">
        <f t="shared" si="111"/>
        <v>82.158243695592674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408.246209980743</v>
      </c>
      <c r="AO147" s="59">
        <f t="shared" si="144"/>
        <v>394.10236303013903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16.070031299315819</v>
      </c>
      <c r="AV147" s="21">
        <f>EXP(-LN(2)/25)*AV146+(1-EXP(-LN(2)/25))/(LN(2)/25)*Calculateur!AQ147*Calculateur!AS147*VLOOKUP('Données projet'!$B$10,Paramètres!$A$1:$I$89,3,0)*0.475*44/12</f>
        <v>9.556512146746428</v>
      </c>
      <c r="AW147" s="21">
        <f>EXP(-LN(2)/2)*AW146+(1-EXP(-LN(2)/2))/(LN(2)/2)*AQ147*AT147*VLOOKUP('Données projet'!$B$10,Paramètres!$A$1:$I$89,3,0)*0.475*44/12</f>
        <v>1.5958458785289344E-8</v>
      </c>
      <c r="AX147" s="21">
        <f t="shared" si="114"/>
        <v>25.626543462020706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>
        <f>VLOOKUP(A147,'Données projet'!$A$87:$I$107,2,0)</f>
        <v>514.94000000000005</v>
      </c>
      <c r="BB147" s="12">
        <f>VLOOKUP(A147,'Données projet'!$A$87:$I$107,9,0)</f>
        <v>9.1440000000000055</v>
      </c>
      <c r="BC147" s="12">
        <f t="array" ref="BC147">INDEX(BB:BB,MIN(IF(ISNUMBER(BB147:BB343),ROW(BB147:BB343),"")))</f>
        <v>9.1440000000000055</v>
      </c>
      <c r="BD147" s="12">
        <f>IF('Données projet'!$A$88&gt;35,BD146+BC147-BL146,IF(A147&lt;'Données projet'!$A$88,$BA$205^A147,IF(A147='Données projet'!$A$88,'Données projet'!$B$88,BD146+BC147-BL146)))</f>
        <v>514.94000000000096</v>
      </c>
      <c r="BE147" s="13">
        <f>BD147*VLOOKUP('Données projet'!$B$11,Paramètres!$A$1:$I$89,3,0)*VLOOKUP('Données projet'!$B$11,Paramètres!$A$1:$I$89,5,0)</f>
        <v>490.01690400000092</v>
      </c>
      <c r="BF147" s="13">
        <f t="shared" si="145"/>
        <v>109.80511200904009</v>
      </c>
      <c r="BG147" s="20">
        <f t="shared" si="115"/>
        <v>1044.6900112157464</v>
      </c>
      <c r="BH147" s="59">
        <f t="shared" si="116"/>
        <v>1330.6478805970391</v>
      </c>
      <c r="BI147" s="59">
        <f ca="1">AVERAGE(OFFSET($BH$3,0,0,'Données projet'!$E$11+1,1))-AVERAGE(OFFSET($H$3,0,0,'Données projet'!$E$11+1,1))</f>
        <v>711.91538686535682</v>
      </c>
      <c r="BJ147" s="59">
        <f t="shared" si="146"/>
        <v>313.24593837351722</v>
      </c>
      <c r="BK147" s="15">
        <f>IF(ISNA(VLOOKUP(A147,'Données projet'!$A$87:$I$107,3,0)),0,VLOOKUP(A147,'Données projet'!$A$87:$I$107,3,0))</f>
        <v>12</v>
      </c>
      <c r="BL147" s="15">
        <f>IF(ISNA(VLOOKUP(A147,'Données projet'!$A$87:$I$107,4,0)),0,VLOOKUP(A147,'Données projet'!$A$87:$I$107,4,0))</f>
        <v>61.800000000000068</v>
      </c>
      <c r="BM147" s="16">
        <f>IF(ISNA(VLOOKUP(A147,'Données projet'!$A$87:$I$107,5,0)),0%,VLOOKUP(A147,'Données projet'!$A$87:$I$107,5,0)*VLOOKUP('Données projet'!$B$11,Paramètres!$A$1:$I$89,7,0))</f>
        <v>0.215</v>
      </c>
      <c r="BN147" s="16">
        <f>IF(ISNA(VLOOKUP(A147,'Données projet'!$A$87:$I$107,6,0)),0%,VLOOKUP(A147,'Données projet'!$A$87:$I$107,6,0)*VLOOKUP('Données projet'!$B$11,Paramètres!$A$1:$I$89,7,0))</f>
        <v>8.6000000000000007E-2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52.583058130690787</v>
      </c>
      <c r="BQ147" s="21">
        <f>EXP(-LN(2)/25)*BQ146+(1-EXP(-LN(2)/25))/(LN(2)/25)*Calculateur!BL147*Calculateur!BN147*VLOOKUP('Données projet'!$B$11,Paramètres!$A$1:$I$89,3,0)*0.475*44/12</f>
        <v>24.514049423719207</v>
      </c>
      <c r="BR147" s="21">
        <f>EXP(-LN(2)/2)*BR146+(1-EXP(-LN(2)/2))/(LN(2)/2)*BL147*BO147*VLOOKUP('Données projet'!$B$11,Paramètres!$A$1:$I$89,3,0)*0.475*44/12</f>
        <v>5.2442214538827268E-3</v>
      </c>
      <c r="BS147" s="22">
        <f t="shared" si="117"/>
        <v>77.10235177586388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>
        <f>VLOOKUP(A147,'Données projet'!$A$113:$I$133,2,0)</f>
        <v>514.94000000000005</v>
      </c>
      <c r="BW147" s="12">
        <f>VLOOKUP(A147,'Données projet'!$A$113:$I$133,9,0)</f>
        <v>9.1440000000000055</v>
      </c>
      <c r="BX147" s="12">
        <f t="array" ref="BX147">INDEX(BW:BW,MIN(IF(ISNUMBER(BW147:BW343),ROW(BW147:BW343),"")))</f>
        <v>9.1440000000000055</v>
      </c>
      <c r="BY147" s="12">
        <f>IF('Données projet'!$A$114&gt;35,BY146+BX147-CG146,IF(A147&lt;'Données projet'!$A$114,$BV$205^A147,IF(A147='Données projet'!$A$114,'Données projet'!$B$114,BY146+BX147-CG146)))</f>
        <v>514.94000000000096</v>
      </c>
      <c r="BZ147" s="13">
        <f>BY147*VLOOKUP('Données projet'!$B$12,Paramètres!$A$1:$I$89,3,0)*VLOOKUP('Données projet'!$B$12,Paramètres!$A$1:$I$89,5,0)</f>
        <v>465.91771200000085</v>
      </c>
      <c r="CA147" s="13">
        <f t="shared" si="147"/>
        <v>105.01953528507198</v>
      </c>
      <c r="CB147" s="20">
        <f t="shared" si="118"/>
        <v>994.38237235483496</v>
      </c>
      <c r="CC147" s="59">
        <f t="shared" si="119"/>
        <v>1280.3402417361278</v>
      </c>
      <c r="CD147" s="59">
        <f ca="1">AVERAGE(OFFSET($CC$3,0,0,'Données projet'!$E$12+1,1))-AVERAGE(OFFSET($H$3,0,0,'Données projet'!$E$12+1,1))</f>
        <v>681.47578137804555</v>
      </c>
      <c r="CE147" s="59">
        <f t="shared" si="148"/>
        <v>300.88511065995885</v>
      </c>
      <c r="CF147" s="15">
        <f>IF(ISNA(VLOOKUP(A147,'Données projet'!$A$113:$I$133,3,0)),0,VLOOKUP(A147,'Données projet'!$A$113:$I$133,3,0))</f>
        <v>12</v>
      </c>
      <c r="CG147" s="15">
        <f>IF(ISNA(VLOOKUP(A147,'Données projet'!$A$113:$I$133,4,0)),0,VLOOKUP(A147,'Données projet'!$A$113:$I$133,4,0))</f>
        <v>61.800000000000068</v>
      </c>
      <c r="CH147" s="16">
        <f>IF(ISNA(VLOOKUP(A147,'Données projet'!$A$113:$I$133,5,0)),0%,VLOOKUP(A147,'Données projet'!$A$113:$I$133,5,0)*VLOOKUP('Données projet'!$B$12,Paramètres!$A$1:$I$89,7,0))</f>
        <v>0.215</v>
      </c>
      <c r="CI147" s="16">
        <f>IF(ISNA(VLOOKUP(A147,'Données projet'!$A$113:$I$133,6,0)),0%,VLOOKUP(A147,'Données projet'!$A$113:$I$133,6,0)*VLOOKUP('Données projet'!$B$12,Paramètres!$A$1:$I$89,7,0))</f>
        <v>8.6000000000000007E-2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49.997006091476479</v>
      </c>
      <c r="CL147" s="21">
        <f>EXP(-LN(2)/25)*CL146+(1-EXP(-LN(2)/25))/(LN(2)/25)*Calculateur!CG147*Calculateur!CI147*VLOOKUP('Données projet'!$B$12,Paramètres!$A$1:$I$89,3,0)*0.475*44/12</f>
        <v>23.30844043566745</v>
      </c>
      <c r="CM147" s="21">
        <f>EXP(-LN(2)/2)*CM146+(1-EXP(-LN(2)/2))/(LN(2)/2)*CG147*CJ147*VLOOKUP('Données projet'!$B$12,Paramètres!$A$1:$I$89,3,0)*0.475*44/12</f>
        <v>4.9863089233638993E-3</v>
      </c>
      <c r="CN147" s="22">
        <f t="shared" si="120"/>
        <v>73.310432836067292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-8.5265128291212022E-14</v>
      </c>
      <c r="CU147" s="17">
        <f>CT147*VLOOKUP('Données projet'!$B$13,Paramètres!$A$1:$I$89,3,0)*VLOOKUP('Données projet'!$B$13,Paramètres!$A$1:$I$89,5,0)</f>
        <v>-6.9167072069831198E-14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186.54446846714993</v>
      </c>
      <c r="CZ147" s="59">
        <f t="shared" si="150"/>
        <v>154.43773051601286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</v>
      </c>
      <c r="DG147" s="21">
        <f>EXP(-LN(2)/25)*DG146+(1-EXP(-LN(2)/25))/(LN(2)/25)*Calculateur!DB147*Calculateur!DD147*VLOOKUP('Données projet'!$B$13,Paramètres!$A$1:$I$89,3,0)*0.475*44/12</f>
        <v>3.6202267235508714</v>
      </c>
      <c r="DH147" s="21">
        <f>EXP(-LN(2)/2)*DH146+(1-EXP(-LN(2)/2))/(LN(2)/2)*DB147*DE147*VLOOKUP('Données projet'!$B$13,Paramètres!$A$1:$I$89,3,0)*0.475*44/12</f>
        <v>1.8660028594159106E-7</v>
      </c>
      <c r="DI147" s="22">
        <f t="shared" si="123"/>
        <v>3.6202269101511573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7.6233333333333304</v>
      </c>
      <c r="DO147" s="12">
        <f>IF('Données projet'!$A$166&gt;35,DO146+DN147-DW146,IF(A147&lt;'Données projet'!$A$166,$DL$205^A147,IF(A147='Données projet'!$A$166,'Données projet'!$B$166,DO146+DN147-DW146)))</f>
        <v>373.40333333333336</v>
      </c>
      <c r="DP147" s="17">
        <f>DO147*VLOOKUP('Données projet'!$B$14,Paramètres!$A$1:$I$89,3,0)*VLOOKUP('Données projet'!$B$14,Paramètres!$A$1:$I$89,5,0)</f>
        <v>425.23171600000001</v>
      </c>
      <c r="DQ147" s="13">
        <f t="shared" si="151"/>
        <v>96.873655568526871</v>
      </c>
      <c r="DR147" s="20">
        <f t="shared" si="124"/>
        <v>909.33352214851755</v>
      </c>
      <c r="DS147" s="59">
        <f t="shared" si="125"/>
        <v>1195.2913915298104</v>
      </c>
      <c r="DT147" s="59">
        <f ca="1">AVERAGE(OFFSET($DS$3,0,0,'Données projet'!$E$14+1,1))-AVERAGE(OFFSET($H$3,0,0,'Données projet'!$E$14+1,1))</f>
        <v>651.35546372812314</v>
      </c>
      <c r="DU147" s="59">
        <f t="shared" si="152"/>
        <v>293.6561676213388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29.253652200479824</v>
      </c>
      <c r="EB147" s="21">
        <f>EXP(-LN(2)/25)*EB146+(1-EXP(-LN(2)/25))/(LN(2)/25)*Calculateur!DW147*Calculateur!DY147*VLOOKUP('Données projet'!$B$14,Paramètres!$A$1:$I$89,3,0)*0.475*44/12</f>
        <v>23.891981509319304</v>
      </c>
      <c r="EC147" s="21">
        <f>EXP(-LN(2)/2)*EC146+(1-EXP(-LN(2)/2))/(LN(2)/2)*DW147*DZ147*VLOOKUP('Données projet'!$B$14,Paramètres!$A$1:$I$89,3,0)*0.475*44/12</f>
        <v>0.55722436816567833</v>
      </c>
      <c r="ED147" s="22">
        <f t="shared" si="126"/>
        <v>53.702858077964805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8.5265128291212022E-14</v>
      </c>
      <c r="EK147" s="17">
        <f>EJ147*VLOOKUP('Données projet'!$B$15,Paramètres!$A$1:$I$89,3,0)*VLOOKUP('Données projet'!$B$15,Paramètres!$A$1:$I$89,5,0)</f>
        <v>8.9119112089974823E-14</v>
      </c>
      <c r="EL147" s="13">
        <f t="shared" si="153"/>
        <v>1.3568952080113142E-12</v>
      </c>
      <c r="EM147" s="20">
        <f t="shared" si="127"/>
        <v>2.5184749408430782E-12</v>
      </c>
      <c r="EN147" s="59">
        <f t="shared" si="128"/>
        <v>285.95786938129538</v>
      </c>
      <c r="EO147" s="59">
        <f ca="1">AVERAGE(OFFSET($EN$3,0,0,'Données projet'!$E$15+1,1))-AVERAGE(OFFSET($H$3,0,0,'Données projet'!$E$15+1,1))</f>
        <v>290.69667785754848</v>
      </c>
      <c r="EP147" s="59">
        <f t="shared" si="154"/>
        <v>256.28124185489082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7.4467150387115559</v>
      </c>
      <c r="EW147" s="21">
        <f>EXP(-LN(2)/25)*EW146+(1-EXP(-LN(2)/25))/(LN(2)/25)*Calculateur!ER147*Calculateur!ET147*VLOOKUP('Données projet'!$B$15,Paramètres!$A$1:$I$89,3,0)*0.475*44/12</f>
        <v>13.418064335581001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20.864779374292556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9.3350000000000026</v>
      </c>
      <c r="N148" s="13">
        <f>IF('Données projet'!$A$36&gt;35,N147+M148-V147,IF(A148&lt;'Données projet'!$A$36,$K$205^A148,IF(A148='Données projet'!$A$36,'Données projet'!$B$36,N147+M148-V147)))</f>
        <v>462.47500000000093</v>
      </c>
      <c r="O148" s="13">
        <f>N148*VLOOKUP('Données projet'!$B$9,Paramètres!$A$1:$I$89,3,0)*VLOOKUP('Données projet'!$B$9,Paramètres!$A$1:$I$89,5,0)</f>
        <v>468.94965000000099</v>
      </c>
      <c r="P148" s="13">
        <f t="shared" si="141"/>
        <v>105.62316801364989</v>
      </c>
      <c r="Q148" s="20">
        <f t="shared" si="108"/>
        <v>1000.7143247071086</v>
      </c>
      <c r="R148" s="59">
        <f t="shared" si="109"/>
        <v>1286.8001418989022</v>
      </c>
      <c r="S148" s="59">
        <f ca="1">AVERAGE(OFFSET($R$3,0,0,'Données projet'!$E$9+1,1))-AVERAGE(OFFSET($H$3,0,0,'Données projet'!$E$9+1,1))</f>
        <v>752.45542076695506</v>
      </c>
      <c r="T148" s="59">
        <f t="shared" si="142"/>
        <v>329.70629768420724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54.932391281328243</v>
      </c>
      <c r="AA148" s="21">
        <f>EXP(-LN(2)/25)*AA147+(1-EXP(-LN(2)/25))/(LN(2)/25)*Calculateur!V148*Calculateur!X148*VLOOKUP('Données projet'!$B$9,Paramètres!$A$1:$I$89,3,0)*0.475*44/12</f>
        <v>25.407233515587471</v>
      </c>
      <c r="AB148" s="21">
        <f>EXP(-LN(2)/2)*AB147+(1-EXP(-LN(2)/2))/(LN(2)/2)*V148*Y148*VLOOKUP('Données projet'!$B$9,Paramètres!$A$1:$I$89,3,0)*0.475*44/12</f>
        <v>3.9513868177949007E-3</v>
      </c>
      <c r="AC148" s="22">
        <f t="shared" si="111"/>
        <v>80.343576183733504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408.246209980743</v>
      </c>
      <c r="AO148" s="59">
        <f t="shared" si="144"/>
        <v>394.10236303013903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15.754907787287486</v>
      </c>
      <c r="AV148" s="21">
        <f>EXP(-LN(2)/25)*AV147+(1-EXP(-LN(2)/25))/(LN(2)/25)*Calculateur!AQ148*Calculateur!AS148*VLOOKUP('Données projet'!$B$10,Paramètres!$A$1:$I$89,3,0)*0.475*44/12</f>
        <v>9.2951888195385148</v>
      </c>
      <c r="AW148" s="21">
        <f>EXP(-LN(2)/2)*AW147+(1-EXP(-LN(2)/2))/(LN(2)/2)*AQ148*AT148*VLOOKUP('Données projet'!$B$10,Paramètres!$A$1:$I$89,3,0)*0.475*44/12</f>
        <v>1.128433442436413E-8</v>
      </c>
      <c r="AX148" s="21">
        <f t="shared" si="114"/>
        <v>25.050096618110338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9.3350000000000026</v>
      </c>
      <c r="BD148" s="12">
        <f>IF('Données projet'!$A$88&gt;35,BD147+BC148-BL147,IF(A148&lt;'Données projet'!$A$88,$BA$205^A148,IF(A148='Données projet'!$A$88,'Données projet'!$B$88,BD147+BC148-BL147)))</f>
        <v>462.47500000000093</v>
      </c>
      <c r="BE148" s="13">
        <f>BD148*VLOOKUP('Données projet'!$B$11,Paramètres!$A$1:$I$89,3,0)*VLOOKUP('Données projet'!$B$11,Paramètres!$A$1:$I$89,5,0)</f>
        <v>440.09121000000096</v>
      </c>
      <c r="BF148" s="13">
        <f t="shared" si="145"/>
        <v>99.858810765228739</v>
      </c>
      <c r="BG148" s="20">
        <f t="shared" si="115"/>
        <v>940.4129528327752</v>
      </c>
      <c r="BH148" s="59">
        <f t="shared" si="116"/>
        <v>1226.4987700245688</v>
      </c>
      <c r="BI148" s="59">
        <f ca="1">AVERAGE(OFFSET($BH$3,0,0,'Données projet'!$E$11+1,1))-AVERAGE(OFFSET($H$3,0,0,'Données projet'!$E$11+1,1))</f>
        <v>711.91538686535682</v>
      </c>
      <c r="BJ148" s="59">
        <f t="shared" si="146"/>
        <v>313.24593837351722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51.551936433246503</v>
      </c>
      <c r="BQ148" s="21">
        <f>EXP(-LN(2)/25)*BQ147+(1-EXP(-LN(2)/25))/(LN(2)/25)*Calculateur!BL148*Calculateur!BN148*VLOOKUP('Données projet'!$B$11,Paramètres!$A$1:$I$89,3,0)*0.475*44/12</f>
        <v>23.843711453089774</v>
      </c>
      <c r="BR148" s="21">
        <f>EXP(-LN(2)/2)*BR147+(1-EXP(-LN(2)/2))/(LN(2)/2)*BL148*BO148*VLOOKUP('Données projet'!$B$11,Paramètres!$A$1:$I$89,3,0)*0.475*44/12</f>
        <v>3.7082245520844519E-3</v>
      </c>
      <c r="BS148" s="22">
        <f t="shared" si="117"/>
        <v>75.399356110888363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9.3350000000000026</v>
      </c>
      <c r="BY148" s="12">
        <f>IF('Données projet'!$A$114&gt;35,BY147+BX148-CG147,IF(A148&lt;'Données projet'!$A$114,$BV$205^A148,IF(A148='Données projet'!$A$114,'Données projet'!$B$114,BY147+BX148-CG147)))</f>
        <v>462.47500000000093</v>
      </c>
      <c r="BZ148" s="13">
        <f>BY148*VLOOKUP('Données projet'!$B$12,Paramètres!$A$1:$I$89,3,0)*VLOOKUP('Données projet'!$B$12,Paramètres!$A$1:$I$89,5,0)</f>
        <v>418.44738000000081</v>
      </c>
      <c r="CA148" s="13">
        <f t="shared" si="147"/>
        <v>95.506718301246906</v>
      </c>
      <c r="CB148" s="20">
        <f t="shared" si="118"/>
        <v>895.13672120800663</v>
      </c>
      <c r="CC148" s="59">
        <f t="shared" si="119"/>
        <v>1181.2225383998002</v>
      </c>
      <c r="CD148" s="59">
        <f ca="1">AVERAGE(OFFSET($CC$3,0,0,'Données projet'!$E$12+1,1))-AVERAGE(OFFSET($H$3,0,0,'Données projet'!$E$12+1,1))</f>
        <v>681.47578137804555</v>
      </c>
      <c r="CE148" s="59">
        <f t="shared" si="148"/>
        <v>300.88511065995885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49.016595297185191</v>
      </c>
      <c r="CL148" s="21">
        <f>EXP(-LN(2)/25)*CL147+(1-EXP(-LN(2)/25))/(LN(2)/25)*Calculateur!CG148*Calculateur!CI148*VLOOKUP('Données projet'!$B$12,Paramètres!$A$1:$I$89,3,0)*0.475*44/12</f>
        <v>22.671069906216513</v>
      </c>
      <c r="CM148" s="21">
        <f>EXP(-LN(2)/2)*CM147+(1-EXP(-LN(2)/2))/(LN(2)/2)*CG148*CJ148*VLOOKUP('Données projet'!$B$12,Paramètres!$A$1:$I$89,3,0)*0.475*44/12</f>
        <v>3.5258528528016061E-3</v>
      </c>
      <c r="CN148" s="22">
        <f t="shared" si="120"/>
        <v>71.69119105625451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-8.5265128291212022E-14</v>
      </c>
      <c r="CU148" s="17">
        <f>CT148*VLOOKUP('Données projet'!$B$13,Paramètres!$A$1:$I$89,3,0)*VLOOKUP('Données projet'!$B$13,Paramètres!$A$1:$I$89,5,0)</f>
        <v>-6.9167072069831198E-14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186.54446846714993</v>
      </c>
      <c r="CZ148" s="59">
        <f t="shared" si="150"/>
        <v>154.43773051601286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</v>
      </c>
      <c r="DG148" s="21">
        <f>EXP(-LN(2)/25)*DG147+(1-EXP(-LN(2)/25))/(LN(2)/25)*Calculateur!DB148*Calculateur!DD148*VLOOKUP('Données projet'!$B$13,Paramètres!$A$1:$I$89,3,0)*0.475*44/12</f>
        <v>3.5212314334159234</v>
      </c>
      <c r="DH148" s="21">
        <f>EXP(-LN(2)/2)*DH147+(1-EXP(-LN(2)/2))/(LN(2)/2)*DB148*DE148*VLOOKUP('Données projet'!$B$13,Paramètres!$A$1:$I$89,3,0)*0.475*44/12</f>
        <v>1.3194632756064783E-7</v>
      </c>
      <c r="DI148" s="22">
        <f t="shared" si="123"/>
        <v>3.521231565362251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7.6233333333333304</v>
      </c>
      <c r="DO148" s="12">
        <f>IF('Données projet'!$A$166&gt;35,DO147+DN148-DW147,IF(A148&lt;'Données projet'!$A$166,$DL$205^A148,IF(A148='Données projet'!$A$166,'Données projet'!$B$166,DO147+DN148-DW147)))</f>
        <v>381.0266666666667</v>
      </c>
      <c r="DP148" s="17">
        <f>DO148*VLOOKUP('Données projet'!$B$14,Paramètres!$A$1:$I$89,3,0)*VLOOKUP('Données projet'!$B$14,Paramètres!$A$1:$I$89,5,0)</f>
        <v>433.91316800000004</v>
      </c>
      <c r="DQ148" s="13">
        <f t="shared" si="151"/>
        <v>98.619138725469838</v>
      </c>
      <c r="DR148" s="20">
        <f t="shared" si="124"/>
        <v>927.49376754686</v>
      </c>
      <c r="DS148" s="59">
        <f t="shared" si="125"/>
        <v>1213.5795847386535</v>
      </c>
      <c r="DT148" s="59">
        <f ca="1">AVERAGE(OFFSET($DS$3,0,0,'Données projet'!$E$14+1,1))-AVERAGE(OFFSET($H$3,0,0,'Données projet'!$E$14+1,1))</f>
        <v>651.35546372812314</v>
      </c>
      <c r="DU148" s="59">
        <f t="shared" si="152"/>
        <v>293.6561676213388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28.680005923794411</v>
      </c>
      <c r="EB148" s="21">
        <f>EXP(-LN(2)/25)*EB147+(1-EXP(-LN(2)/25))/(LN(2)/25)*Calculateur!DW148*Calculateur!DY148*VLOOKUP('Données projet'!$B$14,Paramètres!$A$1:$I$89,3,0)*0.475*44/12</f>
        <v>23.238654018522265</v>
      </c>
      <c r="EC148" s="21">
        <f>EXP(-LN(2)/2)*EC147+(1-EXP(-LN(2)/2))/(LN(2)/2)*DW148*DZ148*VLOOKUP('Données projet'!$B$14,Paramètres!$A$1:$I$89,3,0)*0.475*44/12</f>
        <v>0.39401712937234051</v>
      </c>
      <c r="ED148" s="22">
        <f t="shared" si="126"/>
        <v>52.312677071689023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8.5265128291212022E-14</v>
      </c>
      <c r="EK148" s="17">
        <f>EJ148*VLOOKUP('Données projet'!$B$15,Paramètres!$A$1:$I$89,3,0)*VLOOKUP('Données projet'!$B$15,Paramètres!$A$1:$I$89,5,0)</f>
        <v>8.9119112089974823E-14</v>
      </c>
      <c r="EL148" s="13">
        <f t="shared" si="153"/>
        <v>1.3568952080113142E-12</v>
      </c>
      <c r="EM148" s="20">
        <f t="shared" si="127"/>
        <v>2.5184749408430782E-12</v>
      </c>
      <c r="EN148" s="59">
        <f t="shared" si="128"/>
        <v>286.08581719179608</v>
      </c>
      <c r="EO148" s="59">
        <f ca="1">AVERAGE(OFFSET($EN$3,0,0,'Données projet'!$E$15+1,1))-AVERAGE(OFFSET($H$3,0,0,'Données projet'!$E$15+1,1))</f>
        <v>290.69667785754848</v>
      </c>
      <c r="EP148" s="59">
        <f t="shared" si="154"/>
        <v>256.28124185489082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7.3006894988501063</v>
      </c>
      <c r="EW148" s="21">
        <f>EXP(-LN(2)/25)*EW147+(1-EXP(-LN(2)/25))/(LN(2)/25)*Calculateur!ER148*Calculateur!ET148*VLOOKUP('Données projet'!$B$15,Paramètres!$A$1:$I$89,3,0)*0.475*44/12</f>
        <v>13.051146660699201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20.351836159549308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9.3350000000000026</v>
      </c>
      <c r="N149" s="13">
        <f>IF('Données projet'!$A$36&gt;35,N148+M149-V148,IF(A149&lt;'Données projet'!$A$36,$K$205^A149,IF(A149='Données projet'!$A$36,'Données projet'!$B$36,N148+M149-V148)))</f>
        <v>471.81000000000091</v>
      </c>
      <c r="O149" s="13">
        <f>N149*VLOOKUP('Données projet'!$B$9,Paramètres!$A$1:$I$89,3,0)*VLOOKUP('Données projet'!$B$9,Paramètres!$A$1:$I$89,5,0)</f>
        <v>478.41534000000098</v>
      </c>
      <c r="P149" s="13">
        <f t="shared" si="141"/>
        <v>107.50479816034752</v>
      </c>
      <c r="Q149" s="20">
        <f t="shared" si="108"/>
        <v>1020.4775739626069</v>
      </c>
      <c r="R149" s="59">
        <f t="shared" si="109"/>
        <v>1306.6891193564375</v>
      </c>
      <c r="S149" s="59">
        <f ca="1">AVERAGE(OFFSET($R$3,0,0,'Données projet'!$E$9+1,1))-AVERAGE(OFFSET($H$3,0,0,'Données projet'!$E$9+1,1))</f>
        <v>752.45542076695506</v>
      </c>
      <c r="T149" s="59">
        <f t="shared" si="142"/>
        <v>329.70629768420724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53.85520059375169</v>
      </c>
      <c r="AA149" s="21">
        <f>EXP(-LN(2)/25)*AA148+(1-EXP(-LN(2)/25))/(LN(2)/25)*Calculateur!V149*Calculateur!X149*VLOOKUP('Données projet'!$B$9,Paramètres!$A$1:$I$89,3,0)*0.475*44/12</f>
        <v>24.712471378995389</v>
      </c>
      <c r="AB149" s="21">
        <f>EXP(-LN(2)/2)*AB148+(1-EXP(-LN(2)/2))/(LN(2)/2)*V149*Y149*VLOOKUP('Données projet'!$B$9,Paramètres!$A$1:$I$89,3,0)*0.475*44/12</f>
        <v>2.7940524139539072E-3</v>
      </c>
      <c r="AC149" s="22">
        <f t="shared" si="111"/>
        <v>78.570466025161039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408.246209980743</v>
      </c>
      <c r="AO149" s="59">
        <f t="shared" si="144"/>
        <v>394.10236303013903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15.445963655123665</v>
      </c>
      <c r="AV149" s="21">
        <f>EXP(-LN(2)/25)*AV148+(1-EXP(-LN(2)/25))/(LN(2)/25)*Calculateur!AQ149*Calculateur!AS149*VLOOKUP('Données projet'!$B$10,Paramètres!$A$1:$I$89,3,0)*0.475*44/12</f>
        <v>9.0410113924554985</v>
      </c>
      <c r="AW149" s="21">
        <f>EXP(-LN(2)/2)*AW148+(1-EXP(-LN(2)/2))/(LN(2)/2)*AQ149*AT149*VLOOKUP('Données projet'!$B$10,Paramètres!$A$1:$I$89,3,0)*0.475*44/12</f>
        <v>7.9792293926446721E-9</v>
      </c>
      <c r="AX149" s="21">
        <f t="shared" si="114"/>
        <v>24.486975055558393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9.3350000000000026</v>
      </c>
      <c r="BD149" s="12">
        <f>IF('Données projet'!$A$88&gt;35,BD148+BC149-BL148,IF(A149&lt;'Données projet'!$A$88,$BA$205^A149,IF(A149='Données projet'!$A$88,'Données projet'!$B$88,BD148+BC149-BL148)))</f>
        <v>471.81000000000091</v>
      </c>
      <c r="BE149" s="13">
        <f>BD149*VLOOKUP('Données projet'!$B$11,Paramètres!$A$1:$I$89,3,0)*VLOOKUP('Données projet'!$B$11,Paramètres!$A$1:$I$89,5,0)</f>
        <v>448.97439600000092</v>
      </c>
      <c r="BF149" s="13">
        <f t="shared" si="145"/>
        <v>101.63775143026291</v>
      </c>
      <c r="BG149" s="20">
        <f t="shared" si="115"/>
        <v>958.98282344104257</v>
      </c>
      <c r="BH149" s="59">
        <f t="shared" si="116"/>
        <v>1245.1943688348733</v>
      </c>
      <c r="BI149" s="59">
        <f ca="1">AVERAGE(OFFSET($BH$3,0,0,'Données projet'!$E$11+1,1))-AVERAGE(OFFSET($H$3,0,0,'Données projet'!$E$11+1,1))</f>
        <v>711.91538686535682</v>
      </c>
      <c r="BJ149" s="59">
        <f t="shared" si="146"/>
        <v>313.24593837351722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50.541034403366972</v>
      </c>
      <c r="BQ149" s="21">
        <f>EXP(-LN(2)/25)*BQ148+(1-EXP(-LN(2)/25))/(LN(2)/25)*Calculateur!BL149*Calculateur!BN149*VLOOKUP('Données projet'!$B$11,Paramètres!$A$1:$I$89,3,0)*0.475*44/12</f>
        <v>23.191703909518743</v>
      </c>
      <c r="BR149" s="21">
        <f>EXP(-LN(2)/2)*BR148+(1-EXP(-LN(2)/2))/(LN(2)/2)*BL149*BO149*VLOOKUP('Données projet'!$B$11,Paramètres!$A$1:$I$89,3,0)*0.475*44/12</f>
        <v>2.6221107269413639E-3</v>
      </c>
      <c r="BS149" s="22">
        <f t="shared" si="117"/>
        <v>73.735360423612661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9.3350000000000026</v>
      </c>
      <c r="BY149" s="12">
        <f>IF('Données projet'!$A$114&gt;35,BY148+BX149-CG148,IF(A149&lt;'Données projet'!$A$114,$BV$205^A149,IF(A149='Données projet'!$A$114,'Données projet'!$B$114,BY148+BX149-CG148)))</f>
        <v>471.81000000000091</v>
      </c>
      <c r="BZ149" s="13">
        <f>BY149*VLOOKUP('Données projet'!$B$12,Paramètres!$A$1:$I$89,3,0)*VLOOKUP('Données projet'!$B$12,Paramètres!$A$1:$I$89,5,0)</f>
        <v>426.89368800000079</v>
      </c>
      <c r="CA149" s="13">
        <f t="shared" si="147"/>
        <v>97.208128358788159</v>
      </c>
      <c r="CB149" s="20">
        <f t="shared" si="118"/>
        <v>912.81066349155742</v>
      </c>
      <c r="CC149" s="59">
        <f t="shared" si="119"/>
        <v>1199.022208885388</v>
      </c>
      <c r="CD149" s="59">
        <f ca="1">AVERAGE(OFFSET($CC$3,0,0,'Données projet'!$E$12+1,1))-AVERAGE(OFFSET($H$3,0,0,'Données projet'!$E$12+1,1))</f>
        <v>681.47578137804555</v>
      </c>
      <c r="CE149" s="59">
        <f t="shared" si="148"/>
        <v>300.88511065995885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48.055409760578421</v>
      </c>
      <c r="CL149" s="21">
        <f>EXP(-LN(2)/25)*CL148+(1-EXP(-LN(2)/25))/(LN(2)/25)*Calculateur!CG149*Calculateur!CI149*VLOOKUP('Données projet'!$B$12,Paramètres!$A$1:$I$89,3,0)*0.475*44/12</f>
        <v>22.051128307411272</v>
      </c>
      <c r="CM149" s="21">
        <f>EXP(-LN(2)/2)*CM148+(1-EXP(-LN(2)/2))/(LN(2)/2)*CG149*CJ149*VLOOKUP('Données projet'!$B$12,Paramètres!$A$1:$I$89,3,0)*0.475*44/12</f>
        <v>2.4931544616819496E-3</v>
      </c>
      <c r="CN149" s="22">
        <f t="shared" si="120"/>
        <v>70.109031222451364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-8.5265128291212022E-14</v>
      </c>
      <c r="CU149" s="17">
        <f>CT149*VLOOKUP('Données projet'!$B$13,Paramètres!$A$1:$I$89,3,0)*VLOOKUP('Données projet'!$B$13,Paramètres!$A$1:$I$89,5,0)</f>
        <v>-6.9167072069831198E-14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186.54446846714993</v>
      </c>
      <c r="CZ149" s="59">
        <f t="shared" si="150"/>
        <v>154.43773051601286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</v>
      </c>
      <c r="DG149" s="21">
        <f>EXP(-LN(2)/25)*DG148+(1-EXP(-LN(2)/25))/(LN(2)/25)*Calculateur!DB149*Calculateur!DD149*VLOOKUP('Données projet'!$B$13,Paramètres!$A$1:$I$89,3,0)*0.475*44/12</f>
        <v>3.4249431746956516</v>
      </c>
      <c r="DH149" s="21">
        <f>EXP(-LN(2)/2)*DH148+(1-EXP(-LN(2)/2))/(LN(2)/2)*DB149*DE149*VLOOKUP('Données projet'!$B$13,Paramètres!$A$1:$I$89,3,0)*0.475*44/12</f>
        <v>9.3300142970795532E-8</v>
      </c>
      <c r="DI149" s="22">
        <f t="shared" si="123"/>
        <v>3.4249432679957947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7.6233333333333304</v>
      </c>
      <c r="DO149" s="12">
        <f>IF('Données projet'!$A$166&gt;35,DO148+DN149-DW148,IF(A149&lt;'Données projet'!$A$166,$DL$205^A149,IF(A149='Données projet'!$A$166,'Données projet'!$B$166,DO148+DN149-DW148)))</f>
        <v>388.65000000000003</v>
      </c>
      <c r="DP149" s="17">
        <f>DO149*VLOOKUP('Données projet'!$B$14,Paramètres!$A$1:$I$89,3,0)*VLOOKUP('Données projet'!$B$14,Paramètres!$A$1:$I$89,5,0)</f>
        <v>442.59462000000008</v>
      </c>
      <c r="DQ149" s="13">
        <f t="shared" si="151"/>
        <v>100.36056134792263</v>
      </c>
      <c r="DR149" s="20">
        <f t="shared" si="124"/>
        <v>945.64694084763198</v>
      </c>
      <c r="DS149" s="59">
        <f t="shared" si="125"/>
        <v>1231.8584862414627</v>
      </c>
      <c r="DT149" s="59">
        <f ca="1">AVERAGE(OFFSET($DS$3,0,0,'Données projet'!$E$14+1,1))-AVERAGE(OFFSET($H$3,0,0,'Données projet'!$E$14+1,1))</f>
        <v>651.35546372812314</v>
      </c>
      <c r="DU149" s="59">
        <f t="shared" si="152"/>
        <v>293.6561676213388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28.117608500705117</v>
      </c>
      <c r="EB149" s="21">
        <f>EXP(-LN(2)/25)*EB148+(1-EXP(-LN(2)/25))/(LN(2)/25)*Calculateur!DW149*Calculateur!DY149*VLOOKUP('Données projet'!$B$14,Paramètres!$A$1:$I$89,3,0)*0.475*44/12</f>
        <v>22.603191802318072</v>
      </c>
      <c r="EC149" s="21">
        <f>EXP(-LN(2)/2)*EC148+(1-EXP(-LN(2)/2))/(LN(2)/2)*DW149*DZ149*VLOOKUP('Données projet'!$B$14,Paramètres!$A$1:$I$89,3,0)*0.475*44/12</f>
        <v>0.27861218408283916</v>
      </c>
      <c r="ED149" s="22">
        <f t="shared" si="126"/>
        <v>50.999412487106028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8.5265128291212022E-14</v>
      </c>
      <c r="EK149" s="17">
        <f>EJ149*VLOOKUP('Données projet'!$B$15,Paramètres!$A$1:$I$89,3,0)*VLOOKUP('Données projet'!$B$15,Paramètres!$A$1:$I$89,5,0)</f>
        <v>8.9119112089974823E-14</v>
      </c>
      <c r="EL149" s="13">
        <f t="shared" si="153"/>
        <v>1.3568952080113142E-12</v>
      </c>
      <c r="EM149" s="20">
        <f t="shared" si="127"/>
        <v>2.5184749408430782E-12</v>
      </c>
      <c r="EN149" s="59">
        <f t="shared" si="128"/>
        <v>286.21154539383315</v>
      </c>
      <c r="EO149" s="59">
        <f ca="1">AVERAGE(OFFSET($EN$3,0,0,'Données projet'!$E$15+1,1))-AVERAGE(OFFSET($H$3,0,0,'Données projet'!$E$15+1,1))</f>
        <v>290.69667785754848</v>
      </c>
      <c r="EP149" s="59">
        <f t="shared" si="154"/>
        <v>256.28124185489082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7.157527430758555</v>
      </c>
      <c r="EW149" s="21">
        <f>EXP(-LN(2)/25)*EW148+(1-EXP(-LN(2)/25))/(LN(2)/25)*Calculateur!ER149*Calculateur!ET149*VLOOKUP('Données projet'!$B$15,Paramètres!$A$1:$I$89,3,0)*0.475*44/12</f>
        <v>12.694262368932408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19.851789799690962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9.3350000000000026</v>
      </c>
      <c r="N150" s="13">
        <f>IF('Données projet'!$A$36&gt;35,N149+M150-V149,IF(A150&lt;'Données projet'!$A$36,$K$205^A150,IF(A150='Données projet'!$A$36,'Données projet'!$B$36,N149+M150-V149)))</f>
        <v>481.14500000000089</v>
      </c>
      <c r="O150" s="13">
        <f>N150*VLOOKUP('Données projet'!$B$9,Paramètres!$A$1:$I$89,3,0)*VLOOKUP('Données projet'!$B$9,Paramètres!$A$1:$I$89,5,0)</f>
        <v>487.88103000000092</v>
      </c>
      <c r="P150" s="13">
        <f t="shared" si="141"/>
        <v>109.38209953839079</v>
      </c>
      <c r="Q150" s="20">
        <f t="shared" si="108"/>
        <v>1040.2332839460321</v>
      </c>
      <c r="R150" s="59">
        <f t="shared" si="109"/>
        <v>1326.5683764386804</v>
      </c>
      <c r="S150" s="59">
        <f ca="1">AVERAGE(OFFSET($R$3,0,0,'Données projet'!$E$9+1,1))-AVERAGE(OFFSET($H$3,0,0,'Données projet'!$E$9+1,1))</f>
        <v>752.45542076695506</v>
      </c>
      <c r="T150" s="59">
        <f t="shared" si="142"/>
        <v>329.70629768420724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52.799132958537065</v>
      </c>
      <c r="AA150" s="21">
        <f>EXP(-LN(2)/25)*AA149+(1-EXP(-LN(2)/25))/(LN(2)/25)*Calculateur!V150*Calculateur!X150*VLOOKUP('Données projet'!$B$9,Paramètres!$A$1:$I$89,3,0)*0.475*44/12</f>
        <v>24.036707549564372</v>
      </c>
      <c r="AB150" s="21">
        <f>EXP(-LN(2)/2)*AB149+(1-EXP(-LN(2)/2))/(LN(2)/2)*V150*Y150*VLOOKUP('Données projet'!$B$9,Paramètres!$A$1:$I$89,3,0)*0.475*44/12</f>
        <v>1.9756934088974503E-3</v>
      </c>
      <c r="AC150" s="22">
        <f t="shared" si="111"/>
        <v>76.837816201510336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408.246209980743</v>
      </c>
      <c r="AO150" s="59">
        <f t="shared" si="144"/>
        <v>394.10236303013903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15.143077728954262</v>
      </c>
      <c r="AV150" s="21">
        <f>EXP(-LN(2)/25)*AV149+(1-EXP(-LN(2)/25))/(LN(2)/25)*Calculateur!AQ150*Calculateur!AS150*VLOOKUP('Données projet'!$B$10,Paramètres!$A$1:$I$89,3,0)*0.475*44/12</f>
        <v>8.7937844604826765</v>
      </c>
      <c r="AW150" s="21">
        <f>EXP(-LN(2)/2)*AW149+(1-EXP(-LN(2)/2))/(LN(2)/2)*AQ150*AT150*VLOOKUP('Données projet'!$B$10,Paramètres!$A$1:$I$89,3,0)*0.475*44/12</f>
        <v>5.6421672121820648E-9</v>
      </c>
      <c r="AX150" s="21">
        <f t="shared" si="114"/>
        <v>23.936862195079105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9.3350000000000026</v>
      </c>
      <c r="BD150" s="12">
        <f>IF('Données projet'!$A$88&gt;35,BD149+BC150-BL149,IF(A150&lt;'Données projet'!$A$88,$BA$205^A150,IF(A150='Données projet'!$A$88,'Données projet'!$B$88,BD149+BC150-BL149)))</f>
        <v>481.14500000000089</v>
      </c>
      <c r="BE150" s="13">
        <f>BD150*VLOOKUP('Données projet'!$B$11,Paramètres!$A$1:$I$89,3,0)*VLOOKUP('Données projet'!$B$11,Paramètres!$A$1:$I$89,5,0)</f>
        <v>457.85758200000089</v>
      </c>
      <c r="BF150" s="13">
        <f t="shared" si="145"/>
        <v>103.4125995680798</v>
      </c>
      <c r="BG150" s="20">
        <f t="shared" si="115"/>
        <v>977.54556623107385</v>
      </c>
      <c r="BH150" s="59">
        <f t="shared" si="116"/>
        <v>1263.8806587237223</v>
      </c>
      <c r="BI150" s="59">
        <f ca="1">AVERAGE(OFFSET($BH$3,0,0,'Données projet'!$E$11+1,1))-AVERAGE(OFFSET($H$3,0,0,'Données projet'!$E$11+1,1))</f>
        <v>711.91538686535682</v>
      </c>
      <c r="BJ150" s="59">
        <f t="shared" si="146"/>
        <v>313.24593837351722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49.549955545704016</v>
      </c>
      <c r="BQ150" s="21">
        <f>EXP(-LN(2)/25)*BQ149+(1-EXP(-LN(2)/25))/(LN(2)/25)*Calculateur!BL150*Calculateur!BN150*VLOOKUP('Données projet'!$B$11,Paramètres!$A$1:$I$89,3,0)*0.475*44/12</f>
        <v>22.557525546514249</v>
      </c>
      <c r="BR150" s="21">
        <f>EXP(-LN(2)/2)*BR149+(1-EXP(-LN(2)/2))/(LN(2)/2)*BL150*BO150*VLOOKUP('Données projet'!$B$11,Paramètres!$A$1:$I$89,3,0)*0.475*44/12</f>
        <v>1.8541122760422262E-3</v>
      </c>
      <c r="BS150" s="22">
        <f t="shared" si="117"/>
        <v>72.1093352044943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9.3350000000000026</v>
      </c>
      <c r="BY150" s="12">
        <f>IF('Données projet'!$A$114&gt;35,BY149+BX150-CG149,IF(A150&lt;'Données projet'!$A$114,$BV$205^A150,IF(A150='Données projet'!$A$114,'Données projet'!$B$114,BY149+BX150-CG149)))</f>
        <v>481.14500000000089</v>
      </c>
      <c r="BZ150" s="13">
        <f>BY150*VLOOKUP('Données projet'!$B$12,Paramètres!$A$1:$I$89,3,0)*VLOOKUP('Données projet'!$B$12,Paramètres!$A$1:$I$89,5,0)</f>
        <v>435.33999600000078</v>
      </c>
      <c r="CA150" s="13">
        <f t="shared" si="147"/>
        <v>98.905624251508897</v>
      </c>
      <c r="CB150" s="20">
        <f t="shared" si="118"/>
        <v>930.4777886047126</v>
      </c>
      <c r="CC150" s="59">
        <f t="shared" si="119"/>
        <v>1216.812881097361</v>
      </c>
      <c r="CD150" s="59">
        <f ca="1">AVERAGE(OFFSET($CC$3,0,0,'Données projet'!$E$12+1,1))-AVERAGE(OFFSET($H$3,0,0,'Données projet'!$E$12+1,1))</f>
        <v>681.47578137804555</v>
      </c>
      <c r="CE150" s="59">
        <f t="shared" si="148"/>
        <v>300.88511065995885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47.113072486079218</v>
      </c>
      <c r="CL150" s="21">
        <f>EXP(-LN(2)/25)*CL149+(1-EXP(-LN(2)/25))/(LN(2)/25)*Calculateur!CG150*Calculateur!CI150*VLOOKUP('Données projet'!$B$12,Paramètres!$A$1:$I$89,3,0)*0.475*44/12</f>
        <v>21.448139044226672</v>
      </c>
      <c r="CM150" s="21">
        <f>EXP(-LN(2)/2)*CM149+(1-EXP(-LN(2)/2))/(LN(2)/2)*CG150*CJ150*VLOOKUP('Données projet'!$B$12,Paramètres!$A$1:$I$89,3,0)*0.475*44/12</f>
        <v>1.7629264264008031E-3</v>
      </c>
      <c r="CN150" s="22">
        <f t="shared" si="120"/>
        <v>68.562974456732277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-8.5265128291212022E-14</v>
      </c>
      <c r="CU150" s="17">
        <f>CT150*VLOOKUP('Données projet'!$B$13,Paramètres!$A$1:$I$89,3,0)*VLOOKUP('Données projet'!$B$13,Paramètres!$A$1:$I$89,5,0)</f>
        <v>-6.9167072069831198E-14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186.54446846714993</v>
      </c>
      <c r="CZ150" s="59">
        <f t="shared" si="150"/>
        <v>154.43773051601286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</v>
      </c>
      <c r="DG150" s="21">
        <f>EXP(-LN(2)/25)*DG149+(1-EXP(-LN(2)/25))/(LN(2)/25)*Calculateur!DB150*Calculateur!DD150*VLOOKUP('Données projet'!$B$13,Paramètres!$A$1:$I$89,3,0)*0.475*44/12</f>
        <v>3.3312879234736652</v>
      </c>
      <c r="DH150" s="21">
        <f>EXP(-LN(2)/2)*DH149+(1-EXP(-LN(2)/2))/(LN(2)/2)*DB150*DE150*VLOOKUP('Données projet'!$B$13,Paramètres!$A$1:$I$89,3,0)*0.475*44/12</f>
        <v>6.5973163780323915E-8</v>
      </c>
      <c r="DI150" s="22">
        <f t="shared" si="123"/>
        <v>3.331287989446829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7.6233333333333304</v>
      </c>
      <c r="DO150" s="12">
        <f>IF('Données projet'!$A$166&gt;35,DO149+DN150-DW149,IF(A150&lt;'Données projet'!$A$166,$DL$205^A150,IF(A150='Données projet'!$A$166,'Données projet'!$B$166,DO149+DN150-DW149)))</f>
        <v>396.27333333333337</v>
      </c>
      <c r="DP150" s="17">
        <f>DO150*VLOOKUP('Données projet'!$B$14,Paramètres!$A$1:$I$89,3,0)*VLOOKUP('Données projet'!$B$14,Paramètres!$A$1:$I$89,5,0)</f>
        <v>451.27607200000006</v>
      </c>
      <c r="DQ150" s="13">
        <f t="shared" si="151"/>
        <v>102.0980122638635</v>
      </c>
      <c r="DR150" s="20">
        <f t="shared" si="124"/>
        <v>963.79319675956231</v>
      </c>
      <c r="DS150" s="59">
        <f t="shared" si="125"/>
        <v>1250.1282892522108</v>
      </c>
      <c r="DT150" s="59">
        <f ca="1">AVERAGE(OFFSET($DS$3,0,0,'Données projet'!$E$14+1,1))-AVERAGE(OFFSET($H$3,0,0,'Données projet'!$E$14+1,1))</f>
        <v>651.35546372812314</v>
      </c>
      <c r="DU150" s="59">
        <f t="shared" si="152"/>
        <v>293.6561676213388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27.566239348054047</v>
      </c>
      <c r="EB150" s="21">
        <f>EXP(-LN(2)/25)*EB149+(1-EXP(-LN(2)/25))/(LN(2)/25)*Calculateur!DW150*Calculateur!DY150*VLOOKUP('Données projet'!$B$14,Paramètres!$A$1:$I$89,3,0)*0.475*44/12</f>
        <v>21.985106333833489</v>
      </c>
      <c r="EC150" s="21">
        <f>EXP(-LN(2)/2)*EC149+(1-EXP(-LN(2)/2))/(LN(2)/2)*DW150*DZ150*VLOOKUP('Données projet'!$B$14,Paramètres!$A$1:$I$89,3,0)*0.475*44/12</f>
        <v>0.19700856468617026</v>
      </c>
      <c r="ED150" s="22">
        <f t="shared" si="126"/>
        <v>49.748354246573712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8.5265128291212022E-14</v>
      </c>
      <c r="EK150" s="17">
        <f>EJ150*VLOOKUP('Données projet'!$B$15,Paramètres!$A$1:$I$89,3,0)*VLOOKUP('Données projet'!$B$15,Paramètres!$A$1:$I$89,5,0)</f>
        <v>8.9119112089974823E-14</v>
      </c>
      <c r="EL150" s="13">
        <f t="shared" si="153"/>
        <v>1.3568952080113142E-12</v>
      </c>
      <c r="EM150" s="20">
        <f t="shared" si="127"/>
        <v>2.5184749408430782E-12</v>
      </c>
      <c r="EN150" s="59">
        <f t="shared" si="128"/>
        <v>286.33509249265092</v>
      </c>
      <c r="EO150" s="59">
        <f ca="1">AVERAGE(OFFSET($EN$3,0,0,'Données projet'!$E$15+1,1))-AVERAGE(OFFSET($H$3,0,0,'Données projet'!$E$15+1,1))</f>
        <v>290.69667785754848</v>
      </c>
      <c r="EP150" s="59">
        <f t="shared" si="154"/>
        <v>256.28124185489082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7.0171726835020394</v>
      </c>
      <c r="EW150" s="21">
        <f>EXP(-LN(2)/25)*EW149+(1-EXP(-LN(2)/25))/(LN(2)/25)*Calculateur!ER150*Calculateur!ET150*VLOOKUP('Données projet'!$B$15,Paramètres!$A$1:$I$89,3,0)*0.475*44/12</f>
        <v>12.347137096891707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19.364309780393747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9.3350000000000026</v>
      </c>
      <c r="N151" s="13">
        <f>IF('Données projet'!$A$36&gt;35,N150+M151-V150,IF(A151&lt;'Données projet'!$A$36,$K$205^A151,IF(A151='Données projet'!$A$36,'Données projet'!$B$36,N150+M151-V150)))</f>
        <v>490.48000000000087</v>
      </c>
      <c r="O151" s="13">
        <f>N151*VLOOKUP('Données projet'!$B$9,Paramètres!$A$1:$I$89,3,0)*VLOOKUP('Données projet'!$B$9,Paramètres!$A$1:$I$89,5,0)</f>
        <v>497.34672000000091</v>
      </c>
      <c r="P151" s="13">
        <f t="shared" si="141"/>
        <v>111.25516581491246</v>
      </c>
      <c r="Q151" s="20">
        <f t="shared" si="108"/>
        <v>1059.9816177943073</v>
      </c>
      <c r="R151" s="59">
        <f t="shared" si="109"/>
        <v>1346.4381141198191</v>
      </c>
      <c r="S151" s="59">
        <f ca="1">AVERAGE(OFFSET($R$3,0,0,'Données projet'!$E$9+1,1))-AVERAGE(OFFSET($H$3,0,0,'Données projet'!$E$9+1,1))</f>
        <v>752.45542076695506</v>
      </c>
      <c r="T151" s="59">
        <f t="shared" si="142"/>
        <v>329.70629768420724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51.76377416551135</v>
      </c>
      <c r="AA151" s="21">
        <f>EXP(-LN(2)/25)*AA150+(1-EXP(-LN(2)/25))/(LN(2)/25)*Calculateur!V151*Calculateur!X151*VLOOKUP('Données projet'!$B$9,Paramètres!$A$1:$I$89,3,0)*0.475*44/12</f>
        <v>23.379422517586022</v>
      </c>
      <c r="AB151" s="21">
        <f>EXP(-LN(2)/2)*AB150+(1-EXP(-LN(2)/2))/(LN(2)/2)*V151*Y151*VLOOKUP('Données projet'!$B$9,Paramètres!$A$1:$I$89,3,0)*0.475*44/12</f>
        <v>1.3970262069769536E-3</v>
      </c>
      <c r="AC151" s="22">
        <f t="shared" si="111"/>
        <v>75.144593709304345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408.246209980743</v>
      </c>
      <c r="AO151" s="59">
        <f t="shared" si="144"/>
        <v>394.10236303013903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14.846131211054868</v>
      </c>
      <c r="AV151" s="21">
        <f>EXP(-LN(2)/25)*AV150+(1-EXP(-LN(2)/25))/(LN(2)/25)*Calculateur!AQ151*Calculateur!AS151*VLOOKUP('Données projet'!$B$10,Paramètres!$A$1:$I$89,3,0)*0.475*44/12</f>
        <v>8.5533179619657513</v>
      </c>
      <c r="AW151" s="21">
        <f>EXP(-LN(2)/2)*AW150+(1-EXP(-LN(2)/2))/(LN(2)/2)*AQ151*AT151*VLOOKUP('Données projet'!$B$10,Paramètres!$A$1:$I$89,3,0)*0.475*44/12</f>
        <v>3.9896146963223361E-9</v>
      </c>
      <c r="AX151" s="21">
        <f t="shared" si="114"/>
        <v>23.399449177010236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9.3350000000000026</v>
      </c>
      <c r="BD151" s="12">
        <f>IF('Données projet'!$A$88&gt;35,BD150+BC151-BL150,IF(A151&lt;'Données projet'!$A$88,$BA$205^A151,IF(A151='Données projet'!$A$88,'Données projet'!$B$88,BD150+BC151-BL150)))</f>
        <v>490.48000000000087</v>
      </c>
      <c r="BE151" s="13">
        <f>BD151*VLOOKUP('Données projet'!$B$11,Paramètres!$A$1:$I$89,3,0)*VLOOKUP('Données projet'!$B$11,Paramètres!$A$1:$I$89,5,0)</f>
        <v>466.74076800000086</v>
      </c>
      <c r="BF151" s="13">
        <f t="shared" si="145"/>
        <v>105.18344373395189</v>
      </c>
      <c r="BG151" s="20">
        <f t="shared" si="115"/>
        <v>996.10133543663414</v>
      </c>
      <c r="BH151" s="59">
        <f t="shared" si="116"/>
        <v>1282.5578317621457</v>
      </c>
      <c r="BI151" s="59">
        <f ca="1">AVERAGE(OFFSET($BH$3,0,0,'Données projet'!$E$11+1,1))-AVERAGE(OFFSET($H$3,0,0,'Données projet'!$E$11+1,1))</f>
        <v>711.91538686535682</v>
      </c>
      <c r="BJ151" s="59">
        <f t="shared" si="146"/>
        <v>313.24593837351722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48.57831113994142</v>
      </c>
      <c r="BQ151" s="21">
        <f>EXP(-LN(2)/25)*BQ150+(1-EXP(-LN(2)/25))/(LN(2)/25)*Calculateur!BL151*Calculateur!BN151*VLOOKUP('Données projet'!$B$11,Paramètres!$A$1:$I$89,3,0)*0.475*44/12</f>
        <v>21.940688824196105</v>
      </c>
      <c r="BR151" s="21">
        <f>EXP(-LN(2)/2)*BR150+(1-EXP(-LN(2)/2))/(LN(2)/2)*BL151*BO151*VLOOKUP('Données projet'!$B$11,Paramètres!$A$1:$I$89,3,0)*0.475*44/12</f>
        <v>1.3110553634706821E-3</v>
      </c>
      <c r="BS151" s="22">
        <f t="shared" si="117"/>
        <v>70.520311019500994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9.3350000000000026</v>
      </c>
      <c r="BY151" s="12">
        <f>IF('Données projet'!$A$114&gt;35,BY150+BX151-CG150,IF(A151&lt;'Données projet'!$A$114,$BV$205^A151,IF(A151='Données projet'!$A$114,'Données projet'!$B$114,BY150+BX151-CG150)))</f>
        <v>490.48000000000087</v>
      </c>
      <c r="BZ151" s="13">
        <f>BY151*VLOOKUP('Données projet'!$B$12,Paramètres!$A$1:$I$89,3,0)*VLOOKUP('Données projet'!$B$12,Paramètres!$A$1:$I$89,5,0)</f>
        <v>443.78630400000077</v>
      </c>
      <c r="CA151" s="13">
        <f t="shared" si="147"/>
        <v>100.59929067522565</v>
      </c>
      <c r="CB151" s="20">
        <f t="shared" si="118"/>
        <v>948.13824405935259</v>
      </c>
      <c r="CC151" s="59">
        <f t="shared" si="119"/>
        <v>1234.5947403848643</v>
      </c>
      <c r="CD151" s="59">
        <f ca="1">AVERAGE(OFFSET($CC$3,0,0,'Données projet'!$E$12+1,1))-AVERAGE(OFFSET($H$3,0,0,'Données projet'!$E$12+1,1))</f>
        <v>681.47578137804555</v>
      </c>
      <c r="CE151" s="59">
        <f t="shared" si="148"/>
        <v>300.88511065995885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46.189213870763965</v>
      </c>
      <c r="CL151" s="21">
        <f>EXP(-LN(2)/25)*CL150+(1-EXP(-LN(2)/25))/(LN(2)/25)*Calculateur!CG151*Calculateur!CI151*VLOOKUP('Données projet'!$B$12,Paramètres!$A$1:$I$89,3,0)*0.475*44/12</f>
        <v>20.861638554153682</v>
      </c>
      <c r="CM151" s="21">
        <f>EXP(-LN(2)/2)*CM150+(1-EXP(-LN(2)/2))/(LN(2)/2)*CG151*CJ151*VLOOKUP('Données projet'!$B$12,Paramètres!$A$1:$I$89,3,0)*0.475*44/12</f>
        <v>1.2465772308409748E-3</v>
      </c>
      <c r="CN151" s="22">
        <f t="shared" si="120"/>
        <v>67.052099002148495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-8.5265128291212022E-14</v>
      </c>
      <c r="CU151" s="17">
        <f>CT151*VLOOKUP('Données projet'!$B$13,Paramètres!$A$1:$I$89,3,0)*VLOOKUP('Données projet'!$B$13,Paramètres!$A$1:$I$89,5,0)</f>
        <v>-6.9167072069831198E-14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186.54446846714993</v>
      </c>
      <c r="CZ151" s="59">
        <f t="shared" si="150"/>
        <v>154.43773051601286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</v>
      </c>
      <c r="DG151" s="21">
        <f>EXP(-LN(2)/25)*DG150+(1-EXP(-LN(2)/25))/(LN(2)/25)*Calculateur!DB151*Calculateur!DD151*VLOOKUP('Données projet'!$B$13,Paramètres!$A$1:$I$89,3,0)*0.475*44/12</f>
        <v>3.2401936800214597</v>
      </c>
      <c r="DH151" s="21">
        <f>EXP(-LN(2)/2)*DH150+(1-EXP(-LN(2)/2))/(LN(2)/2)*DB151*DE151*VLOOKUP('Données projet'!$B$13,Paramètres!$A$1:$I$89,3,0)*0.475*44/12</f>
        <v>4.6650071485397766E-8</v>
      </c>
      <c r="DI151" s="22">
        <f t="shared" si="123"/>
        <v>3.240193726671531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7.6233333333333304</v>
      </c>
      <c r="DO151" s="12">
        <f>IF('Données projet'!$A$166&gt;35,DO150+DN151-DW150,IF(A151&lt;'Données projet'!$A$166,$DL$205^A151,IF(A151='Données projet'!$A$166,'Données projet'!$B$166,DO150+DN151-DW150)))</f>
        <v>403.8966666666667</v>
      </c>
      <c r="DP151" s="17">
        <f>DO151*VLOOKUP('Données projet'!$B$14,Paramètres!$A$1:$I$89,3,0)*VLOOKUP('Données projet'!$B$14,Paramètres!$A$1:$I$89,5,0)</f>
        <v>459.95752400000009</v>
      </c>
      <c r="DQ151" s="13">
        <f t="shared" si="151"/>
        <v>103.8315766880728</v>
      </c>
      <c r="DR151" s="20">
        <f t="shared" si="124"/>
        <v>981.9326836983937</v>
      </c>
      <c r="DS151" s="59">
        <f t="shared" si="125"/>
        <v>1268.3891800239053</v>
      </c>
      <c r="DT151" s="59">
        <f ca="1">AVERAGE(OFFSET($DS$3,0,0,'Données projet'!$E$14+1,1))-AVERAGE(OFFSET($H$3,0,0,'Données projet'!$E$14+1,1))</f>
        <v>651.35546372812314</v>
      </c>
      <c r="DU151" s="59">
        <f t="shared" si="152"/>
        <v>293.6561676213388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27.025682208184492</v>
      </c>
      <c r="EB151" s="21">
        <f>EXP(-LN(2)/25)*EB150+(1-EXP(-LN(2)/25))/(LN(2)/25)*Calculateur!DW151*Calculateur!DY151*VLOOKUP('Données projet'!$B$14,Paramètres!$A$1:$I$89,3,0)*0.475*44/12</f>
        <v>21.383922444988318</v>
      </c>
      <c r="EC151" s="21">
        <f>EXP(-LN(2)/2)*EC150+(1-EXP(-LN(2)/2))/(LN(2)/2)*DW151*DZ151*VLOOKUP('Données projet'!$B$14,Paramètres!$A$1:$I$89,3,0)*0.475*44/12</f>
        <v>0.13930609204141958</v>
      </c>
      <c r="ED151" s="22">
        <f t="shared" si="126"/>
        <v>48.548910745214229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8.5265128291212022E-14</v>
      </c>
      <c r="EK151" s="17">
        <f>EJ151*VLOOKUP('Données projet'!$B$15,Paramètres!$A$1:$I$89,3,0)*VLOOKUP('Données projet'!$B$15,Paramètres!$A$1:$I$89,5,0)</f>
        <v>8.9119112089974823E-14</v>
      </c>
      <c r="EL151" s="13">
        <f t="shared" si="153"/>
        <v>1.3568952080113142E-12</v>
      </c>
      <c r="EM151" s="20">
        <f t="shared" si="127"/>
        <v>2.5184749408430782E-12</v>
      </c>
      <c r="EN151" s="59">
        <f t="shared" si="128"/>
        <v>286.45649632551419</v>
      </c>
      <c r="EO151" s="59">
        <f ca="1">AVERAGE(OFFSET($EN$3,0,0,'Données projet'!$E$15+1,1))-AVERAGE(OFFSET($H$3,0,0,'Données projet'!$E$15+1,1))</f>
        <v>290.69667785754848</v>
      </c>
      <c r="EP151" s="59">
        <f t="shared" si="154"/>
        <v>256.28124185489082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6.8795702072312812</v>
      </c>
      <c r="EW151" s="21">
        <f>EXP(-LN(2)/25)*EW150+(1-EXP(-LN(2)/25))/(LN(2)/25)*Calculateur!ER151*Calculateur!ET151*VLOOKUP('Données projet'!$B$15,Paramètres!$A$1:$I$89,3,0)*0.475*44/12</f>
        <v>12.009503983669482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18.889074190900764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9.3350000000000026</v>
      </c>
      <c r="N152" s="13">
        <f>IF('Données projet'!$A$36&gt;35,N151+M152-V151,IF(A152&lt;'Données projet'!$A$36,$K$205^A152,IF(A152='Données projet'!$A$36,'Données projet'!$B$36,N151+M152-V151)))</f>
        <v>499.81500000000085</v>
      </c>
      <c r="O152" s="13">
        <f>N152*VLOOKUP('Données projet'!$B$9,Paramètres!$A$1:$I$89,3,0)*VLOOKUP('Données projet'!$B$9,Paramètres!$A$1:$I$89,5,0)</f>
        <v>506.81241000000091</v>
      </c>
      <c r="P152" s="13">
        <f t="shared" si="141"/>
        <v>113.12408688761556</v>
      </c>
      <c r="Q152" s="20">
        <f t="shared" si="108"/>
        <v>1079.7227320792654</v>
      </c>
      <c r="R152" s="59">
        <f t="shared" si="109"/>
        <v>1366.2985261525585</v>
      </c>
      <c r="S152" s="59">
        <f ca="1">AVERAGE(OFFSET($R$3,0,0,'Données projet'!$E$9+1,1))-AVERAGE(OFFSET($H$3,0,0,'Données projet'!$E$9+1,1))</f>
        <v>752.45542076695506</v>
      </c>
      <c r="T152" s="59">
        <f t="shared" si="142"/>
        <v>329.70629768420724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50.748718126910362</v>
      </c>
      <c r="AA152" s="21">
        <f>EXP(-LN(2)/25)*AA151+(1-EXP(-LN(2)/25))/(LN(2)/25)*Calculateur!V152*Calculateur!X152*VLOOKUP('Données projet'!$B$9,Paramètres!$A$1:$I$89,3,0)*0.475*44/12</f>
        <v>22.740110979372236</v>
      </c>
      <c r="AB152" s="21">
        <f>EXP(-LN(2)/2)*AB151+(1-EXP(-LN(2)/2))/(LN(2)/2)*V152*Y152*VLOOKUP('Données projet'!$B$9,Paramètres!$A$1:$I$89,3,0)*0.475*44/12</f>
        <v>9.8784670444872517E-4</v>
      </c>
      <c r="AC152" s="22">
        <f t="shared" si="111"/>
        <v>73.489816952987042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408.246209980743</v>
      </c>
      <c r="AO152" s="59">
        <f t="shared" si="144"/>
        <v>394.10236303013903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14.555007633251989</v>
      </c>
      <c r="AV152" s="21">
        <f>EXP(-LN(2)/25)*AV151+(1-EXP(-LN(2)/25))/(LN(2)/25)*Calculateur!AQ152*Calculateur!AS152*VLOOKUP('Données projet'!$B$10,Paramètres!$A$1:$I$89,3,0)*0.475*44/12</f>
        <v>8.3194270324963551</v>
      </c>
      <c r="AW152" s="21">
        <f>EXP(-LN(2)/2)*AW151+(1-EXP(-LN(2)/2))/(LN(2)/2)*AQ152*AT152*VLOOKUP('Données projet'!$B$10,Paramètres!$A$1:$I$89,3,0)*0.475*44/12</f>
        <v>2.8210836060910324E-9</v>
      </c>
      <c r="AX152" s="21">
        <f t="shared" si="114"/>
        <v>22.874434668569428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9.3350000000000026</v>
      </c>
      <c r="BD152" s="12">
        <f>IF('Données projet'!$A$88&gt;35,BD151+BC152-BL151,IF(A152&lt;'Données projet'!$A$88,$BA$205^A152,IF(A152='Données projet'!$A$88,'Données projet'!$B$88,BD151+BC152-BL151)))</f>
        <v>499.81500000000085</v>
      </c>
      <c r="BE152" s="13">
        <f>BD152*VLOOKUP('Données projet'!$B$11,Paramètres!$A$1:$I$89,3,0)*VLOOKUP('Données projet'!$B$11,Paramètres!$A$1:$I$89,5,0)</f>
        <v>475.62395400000082</v>
      </c>
      <c r="BF152" s="13">
        <f t="shared" si="145"/>
        <v>106.95036891943845</v>
      </c>
      <c r="BG152" s="20">
        <f t="shared" si="115"/>
        <v>1014.6502790846899</v>
      </c>
      <c r="BH152" s="59">
        <f t="shared" si="116"/>
        <v>1301.2260731579831</v>
      </c>
      <c r="BI152" s="59">
        <f ca="1">AVERAGE(OFFSET($BH$3,0,0,'Données projet'!$E$11+1,1))-AVERAGE(OFFSET($H$3,0,0,'Données projet'!$E$11+1,1))</f>
        <v>711.91538686535682</v>
      </c>
      <c r="BJ152" s="59">
        <f t="shared" si="146"/>
        <v>313.24593837351722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47.625720088331256</v>
      </c>
      <c r="BQ152" s="21">
        <f>EXP(-LN(2)/25)*BQ151+(1-EXP(-LN(2)/25))/(LN(2)/25)*Calculateur!BL152*Calculateur!BN152*VLOOKUP('Données projet'!$B$11,Paramètres!$A$1:$I$89,3,0)*0.475*44/12</f>
        <v>21.340719534487782</v>
      </c>
      <c r="BR152" s="21">
        <f>EXP(-LN(2)/2)*BR151+(1-EXP(-LN(2)/2))/(LN(2)/2)*BL152*BO152*VLOOKUP('Données projet'!$B$11,Paramètres!$A$1:$I$89,3,0)*0.475*44/12</f>
        <v>9.270561380211132E-4</v>
      </c>
      <c r="BS152" s="22">
        <f t="shared" si="117"/>
        <v>68.967366678957063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9.3350000000000026</v>
      </c>
      <c r="BY152" s="12">
        <f>IF('Données projet'!$A$114&gt;35,BY151+BX152-CG151,IF(A152&lt;'Données projet'!$A$114,$BV$205^A152,IF(A152='Données projet'!$A$114,'Données projet'!$B$114,BY151+BX152-CG151)))</f>
        <v>499.81500000000085</v>
      </c>
      <c r="BZ152" s="13">
        <f>BY152*VLOOKUP('Données projet'!$B$12,Paramètres!$A$1:$I$89,3,0)*VLOOKUP('Données projet'!$B$12,Paramètres!$A$1:$I$89,5,0)</f>
        <v>452.2326120000007</v>
      </c>
      <c r="CA152" s="13">
        <f t="shared" si="147"/>
        <v>102.28920891735658</v>
      </c>
      <c r="CB152" s="20">
        <f t="shared" si="118"/>
        <v>965.79217143106382</v>
      </c>
      <c r="CC152" s="59">
        <f t="shared" si="119"/>
        <v>1252.367965504357</v>
      </c>
      <c r="CD152" s="59">
        <f ca="1">AVERAGE(OFFSET($CC$3,0,0,'Données projet'!$E$12+1,1))-AVERAGE(OFFSET($H$3,0,0,'Données projet'!$E$12+1,1))</f>
        <v>681.47578137804555</v>
      </c>
      <c r="CE152" s="59">
        <f t="shared" si="148"/>
        <v>300.88511065995885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45.283471559396929</v>
      </c>
      <c r="CL152" s="21">
        <f>EXP(-LN(2)/25)*CL151+(1-EXP(-LN(2)/25))/(LN(2)/25)*Calculateur!CG152*Calculateur!CI152*VLOOKUP('Données projet'!$B$12,Paramètres!$A$1:$I$89,3,0)*0.475*44/12</f>
        <v>20.291175950824456</v>
      </c>
      <c r="CM152" s="21">
        <f>EXP(-LN(2)/2)*CM151+(1-EXP(-LN(2)/2))/(LN(2)/2)*CG152*CJ152*VLOOKUP('Données projet'!$B$12,Paramètres!$A$1:$I$89,3,0)*0.475*44/12</f>
        <v>8.8146321320040153E-4</v>
      </c>
      <c r="CN152" s="22">
        <f t="shared" si="120"/>
        <v>65.575528973434587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-8.5265128291212022E-14</v>
      </c>
      <c r="CU152" s="17">
        <f>CT152*VLOOKUP('Données projet'!$B$13,Paramètres!$A$1:$I$89,3,0)*VLOOKUP('Données projet'!$B$13,Paramètres!$A$1:$I$89,5,0)</f>
        <v>-6.9167072069831198E-14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186.54446846714993</v>
      </c>
      <c r="CZ152" s="59">
        <f t="shared" si="150"/>
        <v>154.43773051601286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</v>
      </c>
      <c r="DG152" s="21">
        <f>EXP(-LN(2)/25)*DG151+(1-EXP(-LN(2)/25))/(LN(2)/25)*Calculateur!DB152*Calculateur!DD152*VLOOKUP('Données projet'!$B$13,Paramètres!$A$1:$I$89,3,0)*0.475*44/12</f>
        <v>3.1515904134468928</v>
      </c>
      <c r="DH152" s="21">
        <f>EXP(-LN(2)/2)*DH151+(1-EXP(-LN(2)/2))/(LN(2)/2)*DB152*DE152*VLOOKUP('Données projet'!$B$13,Paramètres!$A$1:$I$89,3,0)*0.475*44/12</f>
        <v>3.2986581890161957E-8</v>
      </c>
      <c r="DI152" s="22">
        <f t="shared" si="123"/>
        <v>3.1515904464334747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>
        <f>VLOOKUP(A152,'Données projet'!$A$165:$I$185,2,0)</f>
        <v>411.52</v>
      </c>
      <c r="DM152" s="12">
        <f>VLOOKUP(A152,'Données projet'!$A$165:$I$185,9,0)</f>
        <v>7.6233333333333304</v>
      </c>
      <c r="DN152" s="12">
        <f t="array" ref="DN152">INDEX(DM:DM,MIN(IF(ISNUMBER(DM152:DM348),ROW(DM152:DM348),"")))</f>
        <v>7.6233333333333304</v>
      </c>
      <c r="DO152" s="12">
        <f>IF('Données projet'!$A$166&gt;35,DO151+DN152-DW151,IF(A152&lt;'Données projet'!$A$166,$DL$205^A152,IF(A152='Données projet'!$A$166,'Données projet'!$B$166,DO151+DN152-DW151)))</f>
        <v>411.52000000000004</v>
      </c>
      <c r="DP152" s="17">
        <f>DO152*VLOOKUP('Données projet'!$B$14,Paramètres!$A$1:$I$89,3,0)*VLOOKUP('Données projet'!$B$14,Paramètres!$A$1:$I$89,5,0)</f>
        <v>468.63897600000001</v>
      </c>
      <c r="DQ152" s="13">
        <f t="shared" si="151"/>
        <v>105.5613364344801</v>
      </c>
      <c r="DR152" s="20">
        <f t="shared" si="124"/>
        <v>1000.0655441567196</v>
      </c>
      <c r="DS152" s="59">
        <f t="shared" si="125"/>
        <v>1286.6413382300127</v>
      </c>
      <c r="DT152" s="59">
        <f ca="1">AVERAGE(OFFSET($DS$3,0,0,'Données projet'!$E$14+1,1))-AVERAGE(OFFSET($H$3,0,0,'Données projet'!$E$14+1,1))</f>
        <v>651.35546372812314</v>
      </c>
      <c r="DU152" s="59">
        <f t="shared" si="152"/>
        <v>293.6561676213388</v>
      </c>
      <c r="DV152" s="15">
        <f>IF(ISNA(VLOOKUP(A152,'Données projet'!$A$165:$I$185,3,0)),0,VLOOKUP(A152,'Données projet'!$A$165:$I$185,3,0))</f>
        <v>11</v>
      </c>
      <c r="DW152" s="15">
        <f>IF(ISNA(VLOOKUP(A152,'Données projet'!$A$165:$I$185,4,0)),0,VLOOKUP(A152,'Données projet'!$A$165:$I$185,4,0))</f>
        <v>64.63</v>
      </c>
      <c r="DX152" s="16">
        <f>IF(ISNA(VLOOKUP(A152,'Données projet'!$A$165:$I$185,5,0)),0%,VLOOKUP(A152,'Données projet'!$A$165:$I$185,5,0)*VLOOKUP('Données projet'!$B$14,Paramètres!$A$1:$I$89,7,0))</f>
        <v>0.15049999999999999</v>
      </c>
      <c r="DY152" s="16">
        <f>IF(ISNA(VLOOKUP(A152,'Données projet'!$A$165:$I$185,6,0)),0%,VLOOKUP(A152,'Données projet'!$A$165:$I$185,6,0)*VLOOKUP('Données projet'!$B$14,Paramètres!$A$1:$I$89,7,0))</f>
        <v>8.6000000000000007E-2</v>
      </c>
      <c r="DZ152" s="16">
        <f>IF(ISNA(VLOOKUP(A152,'Données projet'!$A$165:$I$185,7,0)),0%,VLOOKUP(A152,'Données projet'!$A$165:$I$185,7,0))</f>
        <v>0.1</v>
      </c>
      <c r="EA152" s="21">
        <f>EXP(-LN(2)/35)*EA151+(1-EXP(-LN(2)/35))/(LN(2)/35)*DW152*DX152*VLOOKUP('Données projet'!$B$14,Paramètres!$A$1:$I$89,3,0)*0.475*44/12</f>
        <v>38.740906508531182</v>
      </c>
      <c r="EB152" s="21">
        <f>EXP(-LN(2)/25)*EB151+(1-EXP(-LN(2)/25))/(LN(2)/25)*Calculateur!DW152*Calculateur!DY152*VLOOKUP('Données projet'!$B$14,Paramètres!$A$1:$I$89,3,0)*0.475*44/12</f>
        <v>27.768873675075159</v>
      </c>
      <c r="EC152" s="21">
        <f>EXP(-LN(2)/2)*EC151+(1-EXP(-LN(2)/2))/(LN(2)/2)*DW152*DZ152*VLOOKUP('Données projet'!$B$14,Paramètres!$A$1:$I$89,3,0)*0.475*44/12</f>
        <v>7.0429231369720426</v>
      </c>
      <c r="ED152" s="22">
        <f t="shared" si="126"/>
        <v>73.552703320578388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8.5265128291212022E-14</v>
      </c>
      <c r="EK152" s="17">
        <f>EJ152*VLOOKUP('Données projet'!$B$15,Paramètres!$A$1:$I$89,3,0)*VLOOKUP('Données projet'!$B$15,Paramètres!$A$1:$I$89,5,0)</f>
        <v>8.9119112089974823E-14</v>
      </c>
      <c r="EL152" s="13">
        <f t="shared" si="153"/>
        <v>1.3568952080113142E-12</v>
      </c>
      <c r="EM152" s="20">
        <f t="shared" si="127"/>
        <v>2.5184749408430782E-12</v>
      </c>
      <c r="EN152" s="59">
        <f t="shared" si="128"/>
        <v>286.57579407329558</v>
      </c>
      <c r="EO152" s="59">
        <f ca="1">AVERAGE(OFFSET($EN$3,0,0,'Données projet'!$E$15+1,1))-AVERAGE(OFFSET($H$3,0,0,'Données projet'!$E$15+1,1))</f>
        <v>290.69667785754848</v>
      </c>
      <c r="EP152" s="59">
        <f t="shared" si="154"/>
        <v>256.28124185489082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6.7446660315909694</v>
      </c>
      <c r="EW152" s="21">
        <f>EXP(-LN(2)/25)*EW151+(1-EXP(-LN(2)/25))/(LN(2)/25)*Calculateur!ER152*Calculateur!ET152*VLOOKUP('Données projet'!$B$15,Paramètres!$A$1:$I$89,3,0)*0.475*44/12</f>
        <v>11.681103465683673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18.425769497274644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9.3350000000000026</v>
      </c>
      <c r="N153" s="13">
        <f>IF('Données projet'!$A$36&gt;35,N152+M153-V152,IF(A153&lt;'Données projet'!$A$36,$K$205^A153,IF(A153='Données projet'!$A$36,'Données projet'!$B$36,N152+M153-V152)))</f>
        <v>509.15000000000083</v>
      </c>
      <c r="O153" s="13">
        <f>N153*VLOOKUP('Données projet'!$B$9,Paramètres!$A$1:$I$89,3,0)*VLOOKUP('Données projet'!$B$9,Paramètres!$A$1:$I$89,5,0)</f>
        <v>516.2781000000009</v>
      </c>
      <c r="P153" s="13">
        <f t="shared" si="141"/>
        <v>114.98894910398533</v>
      </c>
      <c r="Q153" s="20">
        <f t="shared" si="108"/>
        <v>1099.4567771894424</v>
      </c>
      <c r="R153" s="59">
        <f t="shared" si="109"/>
        <v>1386.1497994613028</v>
      </c>
      <c r="S153" s="59">
        <f ca="1">AVERAGE(OFFSET($R$3,0,0,'Données projet'!$E$9+1,1))-AVERAGE(OFFSET($H$3,0,0,'Données projet'!$E$9+1,1))</f>
        <v>752.45542076695506</v>
      </c>
      <c r="T153" s="59">
        <f t="shared" si="142"/>
        <v>329.70629768420724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49.753566718103286</v>
      </c>
      <c r="AA153" s="21">
        <f>EXP(-LN(2)/25)*AA152+(1-EXP(-LN(2)/25))/(LN(2)/25)*Calculateur!V153*Calculateur!X153*VLOOKUP('Données projet'!$B$9,Paramètres!$A$1:$I$89,3,0)*0.475*44/12</f>
        <v>22.118281448790839</v>
      </c>
      <c r="AB153" s="21">
        <f>EXP(-LN(2)/2)*AB152+(1-EXP(-LN(2)/2))/(LN(2)/2)*V153*Y153*VLOOKUP('Données projet'!$B$9,Paramètres!$A$1:$I$89,3,0)*0.475*44/12</f>
        <v>6.9851310348847679E-4</v>
      </c>
      <c r="AC153" s="22">
        <f t="shared" si="111"/>
        <v>71.872546679997612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408.246209980743</v>
      </c>
      <c r="AO153" s="59">
        <f t="shared" si="144"/>
        <v>394.10236303013903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14.269592811241976</v>
      </c>
      <c r="AV153" s="21">
        <f>EXP(-LN(2)/25)*AV152+(1-EXP(-LN(2)/25))/(LN(2)/25)*Calculateur!AQ153*Calculateur!AS153*VLOOKUP('Données projet'!$B$10,Paramètres!$A$1:$I$89,3,0)*0.475*44/12</f>
        <v>8.0919318627930892</v>
      </c>
      <c r="AW153" s="21">
        <f>EXP(-LN(2)/2)*AW152+(1-EXP(-LN(2)/2))/(LN(2)/2)*AQ153*AT153*VLOOKUP('Données projet'!$B$10,Paramètres!$A$1:$I$89,3,0)*0.475*44/12</f>
        <v>1.994807348161168E-9</v>
      </c>
      <c r="AX153" s="21">
        <f t="shared" si="114"/>
        <v>22.361524676029873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9.3350000000000026</v>
      </c>
      <c r="BD153" s="12">
        <f>IF('Données projet'!$A$88&gt;35,BD152+BC153-BL152,IF(A153&lt;'Données projet'!$A$88,$BA$205^A153,IF(A153='Données projet'!$A$88,'Données projet'!$B$88,BD152+BC153-BL152)))</f>
        <v>509.15000000000083</v>
      </c>
      <c r="BE153" s="13">
        <f>BD153*VLOOKUP('Données projet'!$B$11,Paramètres!$A$1:$I$89,3,0)*VLOOKUP('Données projet'!$B$11,Paramètres!$A$1:$I$89,5,0)</f>
        <v>484.50714000000085</v>
      </c>
      <c r="BF153" s="13">
        <f t="shared" si="145"/>
        <v>108.71345675963302</v>
      </c>
      <c r="BG153" s="20">
        <f t="shared" si="115"/>
        <v>1033.1925393563622</v>
      </c>
      <c r="BH153" s="59">
        <f t="shared" si="116"/>
        <v>1319.8855616282226</v>
      </c>
      <c r="BI153" s="59">
        <f ca="1">AVERAGE(OFFSET($BH$3,0,0,'Données projet'!$E$11+1,1))-AVERAGE(OFFSET($H$3,0,0,'Données projet'!$E$11+1,1))</f>
        <v>711.91538686535682</v>
      </c>
      <c r="BJ153" s="59">
        <f t="shared" si="146"/>
        <v>313.24593837351722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46.691808766219999</v>
      </c>
      <c r="BQ153" s="21">
        <f>EXP(-LN(2)/25)*BQ152+(1-EXP(-LN(2)/25))/(LN(2)/25)*Calculateur!BL153*Calculateur!BN153*VLOOKUP('Données projet'!$B$11,Paramètres!$A$1:$I$89,3,0)*0.475*44/12</f>
        <v>20.757156436557548</v>
      </c>
      <c r="BR153" s="21">
        <f>EXP(-LN(2)/2)*BR152+(1-EXP(-LN(2)/2))/(LN(2)/2)*BL153*BO153*VLOOKUP('Données projet'!$B$11,Paramètres!$A$1:$I$89,3,0)*0.475*44/12</f>
        <v>6.5552768173534118E-4</v>
      </c>
      <c r="BS153" s="22">
        <f t="shared" si="117"/>
        <v>67.449620730459273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9.3350000000000026</v>
      </c>
      <c r="BY153" s="12">
        <f>IF('Données projet'!$A$114&gt;35,BY152+BX153-CG152,IF(A153&lt;'Données projet'!$A$114,$BV$205^A153,IF(A153='Données projet'!$A$114,'Données projet'!$B$114,BY152+BX153-CG152)))</f>
        <v>509.15000000000083</v>
      </c>
      <c r="BZ153" s="13">
        <f>BY153*VLOOKUP('Données projet'!$B$12,Paramètres!$A$1:$I$89,3,0)*VLOOKUP('Données projet'!$B$12,Paramètres!$A$1:$I$89,5,0)</f>
        <v>460.67892000000074</v>
      </c>
      <c r="CA153" s="13">
        <f t="shared" si="147"/>
        <v>103.97545705513664</v>
      </c>
      <c r="CB153" s="20">
        <f t="shared" si="118"/>
        <v>983.43970670436431</v>
      </c>
      <c r="CC153" s="59">
        <f t="shared" si="119"/>
        <v>1270.1327289762246</v>
      </c>
      <c r="CD153" s="59">
        <f ca="1">AVERAGE(OFFSET($CC$3,0,0,'Données projet'!$E$12+1,1))-AVERAGE(OFFSET($H$3,0,0,'Données projet'!$E$12+1,1))</f>
        <v>681.47578137804555</v>
      </c>
      <c r="CE153" s="59">
        <f t="shared" si="148"/>
        <v>300.88511065995885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44.395490302307536</v>
      </c>
      <c r="CL153" s="21">
        <f>EXP(-LN(2)/25)*CL152+(1-EXP(-LN(2)/25))/(LN(2)/25)*Calculateur!CG153*Calculateur!CI153*VLOOKUP('Données projet'!$B$12,Paramètres!$A$1:$I$89,3,0)*0.475*44/12</f>
        <v>19.736312677382596</v>
      </c>
      <c r="CM153" s="21">
        <f>EXP(-LN(2)/2)*CM152+(1-EXP(-LN(2)/2))/(LN(2)/2)*CG153*CJ153*VLOOKUP('Données projet'!$B$12,Paramètres!$A$1:$I$89,3,0)*0.475*44/12</f>
        <v>6.2328861542048741E-4</v>
      </c>
      <c r="CN153" s="22">
        <f t="shared" si="120"/>
        <v>64.132426268305551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-8.5265128291212022E-14</v>
      </c>
      <c r="CU153" s="17">
        <f>CT153*VLOOKUP('Données projet'!$B$13,Paramètres!$A$1:$I$89,3,0)*VLOOKUP('Données projet'!$B$13,Paramètres!$A$1:$I$89,5,0)</f>
        <v>-6.9167072069831198E-14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186.54446846714993</v>
      </c>
      <c r="CZ153" s="59">
        <f t="shared" si="150"/>
        <v>154.43773051601286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</v>
      </c>
      <c r="DG153" s="21">
        <f>EXP(-LN(2)/25)*DG152+(1-EXP(-LN(2)/25))/(LN(2)/25)*Calculateur!DB153*Calculateur!DD153*VLOOKUP('Données projet'!$B$13,Paramètres!$A$1:$I$89,3,0)*0.475*44/12</f>
        <v>3.0654100078562507</v>
      </c>
      <c r="DH153" s="21">
        <f>EXP(-LN(2)/2)*DH152+(1-EXP(-LN(2)/2))/(LN(2)/2)*DB153*DE153*VLOOKUP('Données projet'!$B$13,Paramètres!$A$1:$I$89,3,0)*0.475*44/12</f>
        <v>2.3325035742698883E-8</v>
      </c>
      <c r="DI153" s="22">
        <f t="shared" si="123"/>
        <v>3.0654100311812864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7.922666666666669</v>
      </c>
      <c r="DO153" s="12">
        <f>IF('Données projet'!$A$166&gt;35,DO152+DN153-DW152,IF(A153&lt;'Données projet'!$A$166,$DL$205^A153,IF(A153='Données projet'!$A$166,'Données projet'!$B$166,DO152+DN153-DW152)))</f>
        <v>354.8126666666667</v>
      </c>
      <c r="DP153" s="17">
        <f>DO153*VLOOKUP('Données projet'!$B$14,Paramètres!$A$1:$I$89,3,0)*VLOOKUP('Données projet'!$B$14,Paramètres!$A$1:$I$89,5,0)</f>
        <v>404.0606648000001</v>
      </c>
      <c r="DQ153" s="13">
        <f t="shared" si="151"/>
        <v>92.599418129310465</v>
      </c>
      <c r="DR153" s="20">
        <f t="shared" si="124"/>
        <v>865.01631110188248</v>
      </c>
      <c r="DS153" s="59">
        <f t="shared" si="125"/>
        <v>1151.7093333737428</v>
      </c>
      <c r="DT153" s="59">
        <f ca="1">AVERAGE(OFFSET($DS$3,0,0,'Données projet'!$E$14+1,1))-AVERAGE(OFFSET($H$3,0,0,'Données projet'!$E$14+1,1))</f>
        <v>651.35546372812314</v>
      </c>
      <c r="DU153" s="59">
        <f t="shared" si="152"/>
        <v>293.6561676213388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37.981220961518623</v>
      </c>
      <c r="EB153" s="21">
        <f>EXP(-LN(2)/25)*EB152+(1-EXP(-LN(2)/25))/(LN(2)/25)*Calculateur!DW153*Calculateur!DY153*VLOOKUP('Données projet'!$B$14,Paramètres!$A$1:$I$89,3,0)*0.475*44/12</f>
        <v>27.009532364128628</v>
      </c>
      <c r="EC153" s="21">
        <f>EXP(-LN(2)/2)*EC152+(1-EXP(-LN(2)/2))/(LN(2)/2)*DW153*DZ153*VLOOKUP('Données projet'!$B$14,Paramètres!$A$1:$I$89,3,0)*0.475*44/12</f>
        <v>4.9800987095285638</v>
      </c>
      <c r="ED153" s="22">
        <f t="shared" si="126"/>
        <v>69.97085203517581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8.5265128291212022E-14</v>
      </c>
      <c r="EK153" s="17">
        <f>EJ153*VLOOKUP('Données projet'!$B$15,Paramètres!$A$1:$I$89,3,0)*VLOOKUP('Données projet'!$B$15,Paramètres!$A$1:$I$89,5,0)</f>
        <v>8.9119112089974823E-14</v>
      </c>
      <c r="EL153" s="13">
        <f t="shared" si="153"/>
        <v>1.3568952080113142E-12</v>
      </c>
      <c r="EM153" s="20">
        <f t="shared" si="127"/>
        <v>2.5184749408430782E-12</v>
      </c>
      <c r="EN153" s="59">
        <f t="shared" si="128"/>
        <v>286.69302227186284</v>
      </c>
      <c r="EO153" s="59">
        <f ca="1">AVERAGE(OFFSET($EN$3,0,0,'Données projet'!$E$15+1,1))-AVERAGE(OFFSET($H$3,0,0,'Données projet'!$E$15+1,1))</f>
        <v>290.69667785754848</v>
      </c>
      <c r="EP153" s="59">
        <f t="shared" si="154"/>
        <v>256.28124185489082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6.6124072445515418</v>
      </c>
      <c r="EW153" s="21">
        <f>EXP(-LN(2)/25)*EW152+(1-EXP(-LN(2)/25))/(LN(2)/25)*Calculateur!ER153*Calculateur!ET153*VLOOKUP('Données projet'!$B$15,Paramètres!$A$1:$I$89,3,0)*0.475*44/12</f>
        <v>11.361683077132019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17.974090321683562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9.3350000000000026</v>
      </c>
      <c r="N154" s="13">
        <f>IF('Données projet'!$A$36&gt;35,N153+M154-V153,IF(A154&lt;'Données projet'!$A$36,$K$205^A154,IF(A154='Données projet'!$A$36,'Données projet'!$B$36,N153+M154-V153)))</f>
        <v>518.48500000000081</v>
      </c>
      <c r="O154" s="13">
        <f>N154*VLOOKUP('Données projet'!$B$9,Paramètres!$A$1:$I$89,3,0)*VLOOKUP('Données projet'!$B$9,Paramètres!$A$1:$I$89,5,0)</f>
        <v>525.7437900000009</v>
      </c>
      <c r="P154" s="13">
        <f t="shared" si="141"/>
        <v>116.84983546396843</v>
      </c>
      <c r="Q154" s="20">
        <f t="shared" ref="Q154:Q203" si="162">(O154+P154)*0.475*44/12</f>
        <v>1119.18389768308</v>
      </c>
      <c r="R154" s="59">
        <f t="shared" si="109"/>
        <v>1405.9921145063454</v>
      </c>
      <c r="S154" s="59">
        <f ca="1">AVERAGE(OFFSET($R$3,0,0,'Données projet'!$E$9+1,1))-AVERAGE(OFFSET($H$3,0,0,'Données projet'!$E$9+1,1))</f>
        <v>752.45542076695506</v>
      </c>
      <c r="T154" s="59">
        <f t="shared" si="142"/>
        <v>329.70629768420724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48.777929621440492</v>
      </c>
      <c r="AA154" s="21">
        <f>EXP(-LN(2)/25)*AA153+(1-EXP(-LN(2)/25))/(LN(2)/25)*Calculateur!V154*Calculateur!X154*VLOOKUP('Données projet'!$B$9,Paramètres!$A$1:$I$89,3,0)*0.475*44/12</f>
        <v>21.513455879423784</v>
      </c>
      <c r="AB154" s="21">
        <f>EXP(-LN(2)/2)*AB153+(1-EXP(-LN(2)/2))/(LN(2)/2)*V154*Y154*VLOOKUP('Données projet'!$B$9,Paramètres!$A$1:$I$89,3,0)*0.475*44/12</f>
        <v>4.9392335222436259E-4</v>
      </c>
      <c r="AC154" s="22">
        <f t="shared" ref="AC154:AC203" si="163">SUM(Z154:AB154)</f>
        <v>70.291879424216503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408.246209980743</v>
      </c>
      <c r="AO154" s="59">
        <f t="shared" si="144"/>
        <v>394.10236303013903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13.989774799805728</v>
      </c>
      <c r="AV154" s="21">
        <f>EXP(-LN(2)/25)*AV153+(1-EXP(-LN(2)/25))/(LN(2)/25)*Calculateur!AQ154*Calculateur!AS154*VLOOKUP('Données projet'!$B$10,Paramètres!$A$1:$I$89,3,0)*0.475*44/12</f>
        <v>7.8706575604688096</v>
      </c>
      <c r="AW154" s="21">
        <f>EXP(-LN(2)/2)*AW153+(1-EXP(-LN(2)/2))/(LN(2)/2)*AQ154*AT154*VLOOKUP('Données projet'!$B$10,Paramètres!$A$1:$I$89,3,0)*0.475*44/12</f>
        <v>1.4105418030455162E-9</v>
      </c>
      <c r="AX154" s="21">
        <f t="shared" ref="AX154:AX203" si="166">SUM(AU154:AW154)</f>
        <v>21.860432361685078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9.3350000000000026</v>
      </c>
      <c r="BD154" s="12">
        <f>IF('Données projet'!$A$88&gt;35,BD153+BC154-BL153,IF(A154&lt;'Données projet'!$A$88,$BA$205^A154,IF(A154='Données projet'!$A$88,'Données projet'!$B$88,BD153+BC154-BL153)))</f>
        <v>518.48500000000081</v>
      </c>
      <c r="BE154" s="13">
        <f>BD154*VLOOKUP('Données projet'!$B$11,Paramètres!$A$1:$I$89,3,0)*VLOOKUP('Données projet'!$B$11,Paramètres!$A$1:$I$89,5,0)</f>
        <v>493.39032600000081</v>
      </c>
      <c r="BF154" s="13">
        <f t="shared" ref="BF154:BF203" si="167">EXP(-1.0587+0.8836*LN(BE154)+0.284)</f>
        <v>110.47278572478149</v>
      </c>
      <c r="BG154" s="20">
        <f t="shared" ref="BG154:BG203" si="168">(BE154+BF154)*0.475*44/12</f>
        <v>1051.7282529206625</v>
      </c>
      <c r="BH154" s="59">
        <f t="shared" si="116"/>
        <v>1338.5364697439279</v>
      </c>
      <c r="BI154" s="59">
        <f ca="1">AVERAGE(OFFSET($BH$3,0,0,'Données projet'!$E$11+1,1))-AVERAGE(OFFSET($H$3,0,0,'Données projet'!$E$11+1,1))</f>
        <v>711.91538686535682</v>
      </c>
      <c r="BJ154" s="59">
        <f t="shared" si="146"/>
        <v>313.24593837351722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45.776210875505683</v>
      </c>
      <c r="BQ154" s="21">
        <f>EXP(-LN(2)/25)*BQ153+(1-EXP(-LN(2)/25))/(LN(2)/25)*Calculateur!BL154*Calculateur!BN154*VLOOKUP('Données projet'!$B$11,Paramètres!$A$1:$I$89,3,0)*0.475*44/12</f>
        <v>20.189550902228465</v>
      </c>
      <c r="BR154" s="21">
        <f>EXP(-LN(2)/2)*BR153+(1-EXP(-LN(2)/2))/(LN(2)/2)*BL154*BO154*VLOOKUP('Données projet'!$B$11,Paramètres!$A$1:$I$89,3,0)*0.475*44/12</f>
        <v>4.6352806901055671E-4</v>
      </c>
      <c r="BS154" s="22">
        <f t="shared" ref="BS154:BS203" si="169">SUM(BP154:BR154)</f>
        <v>65.96622530580315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9.3350000000000026</v>
      </c>
      <c r="BY154" s="12">
        <f>IF('Données projet'!$A$114&gt;35,BY153+BX154-CG153,IF(A154&lt;'Données projet'!$A$114,$BV$205^A154,IF(A154='Données projet'!$A$114,'Données projet'!$B$114,BY153+BX154-CG153)))</f>
        <v>518.48500000000081</v>
      </c>
      <c r="BZ154" s="13">
        <f>BY154*VLOOKUP('Données projet'!$B$12,Paramètres!$A$1:$I$89,3,0)*VLOOKUP('Données projet'!$B$12,Paramètres!$A$1:$I$89,5,0)</f>
        <v>469.12522800000067</v>
      </c>
      <c r="CA154" s="13">
        <f t="shared" ref="CA154:CA203" si="170">EXP(-1.0587+0.8836*LN(BZ154)+0.284)</f>
        <v>105.65811013888603</v>
      </c>
      <c r="CB154" s="20">
        <f t="shared" ref="CB154:CB203" si="171">(BZ154+CA154)*0.475*44/12</f>
        <v>1001.0809805918944</v>
      </c>
      <c r="CC154" s="59">
        <f t="shared" si="119"/>
        <v>1287.8891974151597</v>
      </c>
      <c r="CD154" s="59">
        <f ca="1">AVERAGE(OFFSET($CC$3,0,0,'Données projet'!$E$12+1,1))-AVERAGE(OFFSET($H$3,0,0,'Données projet'!$E$12+1,1))</f>
        <v>681.47578137804555</v>
      </c>
      <c r="CE154" s="59">
        <f t="shared" si="148"/>
        <v>300.88511065995885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43.524921816054579</v>
      </c>
      <c r="CL154" s="21">
        <f>EXP(-LN(2)/25)*CL153+(1-EXP(-LN(2)/25))/(LN(2)/25)*Calculateur!CG154*Calculateur!CI154*VLOOKUP('Données projet'!$B$12,Paramètres!$A$1:$I$89,3,0)*0.475*44/12</f>
        <v>19.196622169331992</v>
      </c>
      <c r="CM154" s="21">
        <f>EXP(-LN(2)/2)*CM153+(1-EXP(-LN(2)/2))/(LN(2)/2)*CG154*CJ154*VLOOKUP('Données projet'!$B$12,Paramètres!$A$1:$I$89,3,0)*0.475*44/12</f>
        <v>4.4073160660020077E-4</v>
      </c>
      <c r="CN154" s="22">
        <f t="shared" ref="CN154:CN203" si="172">SUM(CK154:CM154)</f>
        <v>62.721984716993177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-8.5265128291212022E-14</v>
      </c>
      <c r="CU154" s="17">
        <f>CT154*VLOOKUP('Données projet'!$B$13,Paramètres!$A$1:$I$89,3,0)*VLOOKUP('Données projet'!$B$13,Paramètres!$A$1:$I$89,5,0)</f>
        <v>-6.9167072069831198E-14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186.54446846714993</v>
      </c>
      <c r="CZ154" s="59">
        <f t="shared" si="150"/>
        <v>154.43773051601286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</v>
      </c>
      <c r="DG154" s="21">
        <f>EXP(-LN(2)/25)*DG153+(1-EXP(-LN(2)/25))/(LN(2)/25)*Calculateur!DB154*Calculateur!DD154*VLOOKUP('Données projet'!$B$13,Paramètres!$A$1:$I$89,3,0)*0.475*44/12</f>
        <v>2.9815862099885155</v>
      </c>
      <c r="DH154" s="21">
        <f>EXP(-LN(2)/2)*DH153+(1-EXP(-LN(2)/2))/(LN(2)/2)*DB154*DE154*VLOOKUP('Données projet'!$B$13,Paramètres!$A$1:$I$89,3,0)*0.475*44/12</f>
        <v>1.6493290945080979E-8</v>
      </c>
      <c r="DI154" s="22">
        <f t="shared" ref="DI154:DI203" si="175">SUM(DF154:DH154)</f>
        <v>2.9815862264818063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7.922666666666669</v>
      </c>
      <c r="DO154" s="12">
        <f>IF('Données projet'!$A$166&gt;35,DO153+DN154-DW153,IF(A154&lt;'Données projet'!$A$166,$DL$205^A154,IF(A154='Données projet'!$A$166,'Données projet'!$B$166,DO153+DN154-DW153)))</f>
        <v>362.73533333333336</v>
      </c>
      <c r="DP154" s="17">
        <f>DO154*VLOOKUP('Données projet'!$B$14,Paramètres!$A$1:$I$89,3,0)*VLOOKUP('Données projet'!$B$14,Paramètres!$A$1:$I$89,5,0)</f>
        <v>413.08299760000006</v>
      </c>
      <c r="DQ154" s="13">
        <f t="shared" ref="DQ154:DQ203" si="176">EXP(-1.0587+0.8836*LN(DP154)+0.284)</f>
        <v>94.424053616384839</v>
      </c>
      <c r="DR154" s="20">
        <f t="shared" ref="DR154:DR203" si="177">(DP154+DQ154)*0.475*44/12</f>
        <v>883.90811420187038</v>
      </c>
      <c r="DS154" s="59">
        <f t="shared" si="125"/>
        <v>1170.7163310251358</v>
      </c>
      <c r="DT154" s="59">
        <f ca="1">AVERAGE(OFFSET($DS$3,0,0,'Données projet'!$E$14+1,1))-AVERAGE(OFFSET($H$3,0,0,'Données projet'!$E$14+1,1))</f>
        <v>651.35546372812314</v>
      </c>
      <c r="DU154" s="59">
        <f t="shared" si="152"/>
        <v>293.6561676213388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37.236432384720551</v>
      </c>
      <c r="EB154" s="21">
        <f>EXP(-LN(2)/25)*EB153+(1-EXP(-LN(2)/25))/(LN(2)/25)*Calculateur!DW154*Calculateur!DY154*VLOOKUP('Données projet'!$B$14,Paramètres!$A$1:$I$89,3,0)*0.475*44/12</f>
        <v>26.270955281261955</v>
      </c>
      <c r="EC154" s="21">
        <f>EXP(-LN(2)/2)*EC153+(1-EXP(-LN(2)/2))/(LN(2)/2)*DW154*DZ154*VLOOKUP('Données projet'!$B$14,Paramètres!$A$1:$I$89,3,0)*0.475*44/12</f>
        <v>3.5214615684860222</v>
      </c>
      <c r="ED154" s="22">
        <f t="shared" ref="ED154:ED203" si="178">SUM(EA154:EC154)</f>
        <v>67.028849234468524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8.5265128291212022E-14</v>
      </c>
      <c r="EK154" s="17">
        <f>EJ154*VLOOKUP('Données projet'!$B$15,Paramètres!$A$1:$I$89,3,0)*VLOOKUP('Données projet'!$B$15,Paramètres!$A$1:$I$89,5,0)</f>
        <v>8.9119112089974823E-14</v>
      </c>
      <c r="EL154" s="13">
        <f t="shared" ref="EL154:EL203" si="179">EXP(-1.0587+0.8836*LN(EK154)+0.284)</f>
        <v>1.3568952080113142E-12</v>
      </c>
      <c r="EM154" s="20">
        <f t="shared" ref="EM154:EM203" si="180">(EK154+EL154)*0.475*44/12</f>
        <v>2.5184749408430782E-12</v>
      </c>
      <c r="EN154" s="59">
        <f t="shared" si="128"/>
        <v>286.80821682326786</v>
      </c>
      <c r="EO154" s="59">
        <f ca="1">AVERAGE(OFFSET($EN$3,0,0,'Données projet'!$E$15+1,1))-AVERAGE(OFFSET($H$3,0,0,'Données projet'!$E$15+1,1))</f>
        <v>290.69667785754848</v>
      </c>
      <c r="EP154" s="59">
        <f t="shared" si="154"/>
        <v>256.28124185489082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6.482741971656063</v>
      </c>
      <c r="EW154" s="21">
        <f>EXP(-LN(2)/25)*EW153+(1-EXP(-LN(2)/25))/(LN(2)/25)*Calculateur!ER154*Calculateur!ET154*VLOOKUP('Données projet'!$B$15,Paramètres!$A$1:$I$89,3,0)*0.475*44/12</f>
        <v>11.050997255902898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17.533739227558961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9.3350000000000026</v>
      </c>
      <c r="N155" s="13">
        <f>IF('Données projet'!$A$36&gt;35,N154+M155-V154,IF(A155&lt;'Données projet'!$A$36,$K$205^A155,IF(A155='Données projet'!$A$36,'Données projet'!$B$36,N154+M155-V154)))</f>
        <v>527.82000000000085</v>
      </c>
      <c r="O155" s="13">
        <f>N155*VLOOKUP('Données projet'!$B$9,Paramètres!$A$1:$I$89,3,0)*VLOOKUP('Données projet'!$B$9,Paramètres!$A$1:$I$89,5,0)</f>
        <v>535.20948000000089</v>
      </c>
      <c r="P155" s="13">
        <f t="shared" si="141"/>
        <v>118.70682580764394</v>
      </c>
      <c r="Q155" s="20">
        <f t="shared" si="162"/>
        <v>1138.9042326149813</v>
      </c>
      <c r="R155" s="59">
        <f t="shared" si="109"/>
        <v>1425.8256456217212</v>
      </c>
      <c r="S155" s="59">
        <f ca="1">AVERAGE(OFFSET($R$3,0,0,'Données projet'!$E$9+1,1))-AVERAGE(OFFSET($H$3,0,0,'Données projet'!$E$9+1,1))</f>
        <v>752.45542076695506</v>
      </c>
      <c r="T155" s="59">
        <f t="shared" si="142"/>
        <v>329.70629768420724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47.821424173163386</v>
      </c>
      <c r="AA155" s="21">
        <f>EXP(-LN(2)/25)*AA154+(1-EXP(-LN(2)/25))/(LN(2)/25)*Calculateur!V155*Calculateur!X155*VLOOKUP('Données projet'!$B$9,Paramètres!$A$1:$I$89,3,0)*0.475*44/12</f>
        <v>20.925169297057465</v>
      </c>
      <c r="AB155" s="21">
        <f>EXP(-LN(2)/2)*AB154+(1-EXP(-LN(2)/2))/(LN(2)/2)*V155*Y155*VLOOKUP('Données projet'!$B$9,Paramètres!$A$1:$I$89,3,0)*0.475*44/12</f>
        <v>3.492565517442384E-4</v>
      </c>
      <c r="AC155" s="22">
        <f t="shared" si="163"/>
        <v>68.746942726772602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408.246209980743</v>
      </c>
      <c r="AO155" s="59">
        <f t="shared" si="144"/>
        <v>394.10236303013903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13.715443848901609</v>
      </c>
      <c r="AV155" s="21">
        <f>EXP(-LN(2)/25)*AV154+(1-EXP(-LN(2)/25))/(LN(2)/25)*Calculateur!AQ155*Calculateur!AS155*VLOOKUP('Données projet'!$B$10,Paramètres!$A$1:$I$89,3,0)*0.475*44/12</f>
        <v>7.6554340155778977</v>
      </c>
      <c r="AW155" s="21">
        <f>EXP(-LN(2)/2)*AW154+(1-EXP(-LN(2)/2))/(LN(2)/2)*AQ155*AT155*VLOOKUP('Données projet'!$B$10,Paramètres!$A$1:$I$89,3,0)*0.475*44/12</f>
        <v>9.9740367408058402E-10</v>
      </c>
      <c r="AX155" s="21">
        <f t="shared" si="166"/>
        <v>21.37087786547691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9.3350000000000026</v>
      </c>
      <c r="BD155" s="12">
        <f>IF('Données projet'!$A$88&gt;35,BD154+BC155-BL154,IF(A155&lt;'Données projet'!$A$88,$BA$205^A155,IF(A155='Données projet'!$A$88,'Données projet'!$B$88,BD154+BC155-BL154)))</f>
        <v>527.82000000000085</v>
      </c>
      <c r="BE155" s="13">
        <f>BD155*VLOOKUP('Données projet'!$B$11,Paramètres!$A$1:$I$89,3,0)*VLOOKUP('Données projet'!$B$11,Paramètres!$A$1:$I$89,5,0)</f>
        <v>502.27351200000078</v>
      </c>
      <c r="BF155" s="13">
        <f t="shared" si="167"/>
        <v>112.22843129771096</v>
      </c>
      <c r="BG155" s="20">
        <f t="shared" si="168"/>
        <v>1070.2575512435144</v>
      </c>
      <c r="BH155" s="59">
        <f t="shared" si="116"/>
        <v>1357.1789642502542</v>
      </c>
      <c r="BI155" s="59">
        <f ca="1">AVERAGE(OFFSET($BH$3,0,0,'Données projet'!$E$11+1,1))-AVERAGE(OFFSET($H$3,0,0,'Données projet'!$E$11+1,1))</f>
        <v>711.91538686535682</v>
      </c>
      <c r="BJ155" s="59">
        <f t="shared" si="146"/>
        <v>313.24593837351722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44.878567300968705</v>
      </c>
      <c r="BQ155" s="21">
        <f>EXP(-LN(2)/25)*BQ154+(1-EXP(-LN(2)/25))/(LN(2)/25)*Calculateur!BL155*Calculateur!BN155*VLOOKUP('Données projet'!$B$11,Paramètres!$A$1:$I$89,3,0)*0.475*44/12</f>
        <v>19.637466571084691</v>
      </c>
      <c r="BR155" s="21">
        <f>EXP(-LN(2)/2)*BR154+(1-EXP(-LN(2)/2))/(LN(2)/2)*BL155*BO155*VLOOKUP('Données projet'!$B$11,Paramètres!$A$1:$I$89,3,0)*0.475*44/12</f>
        <v>3.2776384086767064E-4</v>
      </c>
      <c r="BS155" s="22">
        <f t="shared" si="169"/>
        <v>64.51636163589427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9.3350000000000026</v>
      </c>
      <c r="BY155" s="12">
        <f>IF('Données projet'!$A$114&gt;35,BY154+BX155-CG154,IF(A155&lt;'Données projet'!$A$114,$BV$205^A155,IF(A155='Données projet'!$A$114,'Données projet'!$B$114,BY154+BX155-CG154)))</f>
        <v>527.82000000000085</v>
      </c>
      <c r="BZ155" s="13">
        <f>BY155*VLOOKUP('Données projet'!$B$12,Paramètres!$A$1:$I$89,3,0)*VLOOKUP('Données projet'!$B$12,Paramètres!$A$1:$I$89,5,0)</f>
        <v>477.57153600000072</v>
      </c>
      <c r="CA155" s="13">
        <f t="shared" si="170"/>
        <v>107.3372403617045</v>
      </c>
      <c r="CB155" s="20">
        <f t="shared" si="171"/>
        <v>1018.71611882997</v>
      </c>
      <c r="CC155" s="59">
        <f t="shared" si="119"/>
        <v>1305.63753183671</v>
      </c>
      <c r="CD155" s="59">
        <f ca="1">AVERAGE(OFFSET($CC$3,0,0,'Données projet'!$E$12+1,1))-AVERAGE(OFFSET($H$3,0,0,'Données projet'!$E$12+1,1))</f>
        <v>681.47578137804555</v>
      </c>
      <c r="CE155" s="59">
        <f t="shared" si="148"/>
        <v>300.88511065995885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42.6714246468227</v>
      </c>
      <c r="CL155" s="21">
        <f>EXP(-LN(2)/25)*CL154+(1-EXP(-LN(2)/25))/(LN(2)/25)*Calculateur!CG155*Calculateur!CI155*VLOOKUP('Données projet'!$B$12,Paramètres!$A$1:$I$89,3,0)*0.475*44/12</f>
        <v>18.671689526605125</v>
      </c>
      <c r="CM155" s="21">
        <f>EXP(-LN(2)/2)*CM154+(1-EXP(-LN(2)/2))/(LN(2)/2)*CG155*CJ155*VLOOKUP('Données projet'!$B$12,Paramètres!$A$1:$I$89,3,0)*0.475*44/12</f>
        <v>3.1164430771024371E-4</v>
      </c>
      <c r="CN155" s="22">
        <f t="shared" si="172"/>
        <v>61.343425817735529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-8.5265128291212022E-14</v>
      </c>
      <c r="CU155" s="17">
        <f>CT155*VLOOKUP('Données projet'!$B$13,Paramètres!$A$1:$I$89,3,0)*VLOOKUP('Données projet'!$B$13,Paramètres!$A$1:$I$89,5,0)</f>
        <v>-6.9167072069831198E-14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186.54446846714993</v>
      </c>
      <c r="CZ155" s="59">
        <f t="shared" si="150"/>
        <v>154.43773051601286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</v>
      </c>
      <c r="DG155" s="21">
        <f>EXP(-LN(2)/25)*DG154+(1-EXP(-LN(2)/25))/(LN(2)/25)*Calculateur!DB155*Calculateur!DD155*VLOOKUP('Données projet'!$B$13,Paramètres!$A$1:$I$89,3,0)*0.475*44/12</f>
        <v>2.9000545782815754</v>
      </c>
      <c r="DH155" s="21">
        <f>EXP(-LN(2)/2)*DH154+(1-EXP(-LN(2)/2))/(LN(2)/2)*DB155*DE155*VLOOKUP('Données projet'!$B$13,Paramètres!$A$1:$I$89,3,0)*0.475*44/12</f>
        <v>1.1662517871349442E-8</v>
      </c>
      <c r="DI155" s="22">
        <f t="shared" si="175"/>
        <v>2.9000545899440935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7.922666666666669</v>
      </c>
      <c r="DO155" s="12">
        <f>IF('Données projet'!$A$166&gt;35,DO154+DN155-DW154,IF(A155&lt;'Données projet'!$A$166,$DL$205^A155,IF(A155='Données projet'!$A$166,'Données projet'!$B$166,DO154+DN155-DW154)))</f>
        <v>370.65800000000002</v>
      </c>
      <c r="DP155" s="17">
        <f>DO155*VLOOKUP('Données projet'!$B$14,Paramètres!$A$1:$I$89,3,0)*VLOOKUP('Données projet'!$B$14,Paramètres!$A$1:$I$89,5,0)</f>
        <v>422.10533039999996</v>
      </c>
      <c r="DQ155" s="13">
        <f t="shared" si="176"/>
        <v>96.244055752765192</v>
      </c>
      <c r="DR155" s="20">
        <f t="shared" si="177"/>
        <v>902.79184754939934</v>
      </c>
      <c r="DS155" s="59">
        <f t="shared" si="125"/>
        <v>1189.7132605561392</v>
      </c>
      <c r="DT155" s="59">
        <f ca="1">AVERAGE(OFFSET($DS$3,0,0,'Données projet'!$E$14+1,1))-AVERAGE(OFFSET($H$3,0,0,'Données projet'!$E$14+1,1))</f>
        <v>651.35546372812314</v>
      </c>
      <c r="DU155" s="59">
        <f t="shared" si="152"/>
        <v>293.6561676213388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36.506248657637315</v>
      </c>
      <c r="EB155" s="21">
        <f>EXP(-LN(2)/25)*EB154+(1-EXP(-LN(2)/25))/(LN(2)/25)*Calculateur!DW155*Calculateur!DY155*VLOOKUP('Données projet'!$B$14,Paramètres!$A$1:$I$89,3,0)*0.475*44/12</f>
        <v>25.552574627566351</v>
      </c>
      <c r="EC155" s="21">
        <f>EXP(-LN(2)/2)*EC154+(1-EXP(-LN(2)/2))/(LN(2)/2)*DW155*DZ155*VLOOKUP('Données projet'!$B$14,Paramètres!$A$1:$I$89,3,0)*0.475*44/12</f>
        <v>2.4900493547642824</v>
      </c>
      <c r="ED155" s="22">
        <f t="shared" si="178"/>
        <v>64.548872639967954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8.5265128291212022E-14</v>
      </c>
      <c r="EK155" s="17">
        <f>EJ155*VLOOKUP('Données projet'!$B$15,Paramètres!$A$1:$I$89,3,0)*VLOOKUP('Données projet'!$B$15,Paramètres!$A$1:$I$89,5,0)</f>
        <v>8.9119112089974823E-14</v>
      </c>
      <c r="EL155" s="13">
        <f t="shared" si="179"/>
        <v>1.3568952080113142E-12</v>
      </c>
      <c r="EM155" s="20">
        <f t="shared" si="180"/>
        <v>2.5184749408430782E-12</v>
      </c>
      <c r="EN155" s="59">
        <f t="shared" si="128"/>
        <v>286.9214130067424</v>
      </c>
      <c r="EO155" s="59">
        <f ca="1">AVERAGE(OFFSET($EN$3,0,0,'Données projet'!$E$15+1,1))-AVERAGE(OFFSET($H$3,0,0,'Données projet'!$E$15+1,1))</f>
        <v>290.69667785754848</v>
      </c>
      <c r="EP155" s="59">
        <f t="shared" si="154"/>
        <v>256.28124185489082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6.3556193556740572</v>
      </c>
      <c r="EW155" s="21">
        <f>EXP(-LN(2)/25)*EW154+(1-EXP(-LN(2)/25))/(LN(2)/25)*Calculateur!ER155*Calculateur!ET155*VLOOKUP('Données projet'!$B$15,Paramètres!$A$1:$I$89,3,0)*0.475*44/12</f>
        <v>10.748807154793544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17.104426510467601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9.3350000000000026</v>
      </c>
      <c r="N156" s="13">
        <f>IF('Données projet'!$A$36&gt;35,N155+M156-V155,IF(A156&lt;'Données projet'!$A$36,$K$205^A156,IF(A156='Données projet'!$A$36,'Données projet'!$B$36,N155+M156-V155)))</f>
        <v>537.15500000000088</v>
      </c>
      <c r="O156" s="13">
        <f>N156*VLOOKUP('Données projet'!$B$9,Paramètres!$A$1:$I$89,3,0)*VLOOKUP('Données projet'!$B$9,Paramètres!$A$1:$I$89,5,0)</f>
        <v>544.67517000000089</v>
      </c>
      <c r="P156" s="13">
        <f t="shared" si="141"/>
        <v>120.55999698924055</v>
      </c>
      <c r="Q156" s="20">
        <f t="shared" si="162"/>
        <v>1158.6179158395955</v>
      </c>
      <c r="R156" s="59">
        <f t="shared" si="109"/>
        <v>1445.6505613290956</v>
      </c>
      <c r="S156" s="59">
        <f ca="1">AVERAGE(OFFSET($R$3,0,0,'Données projet'!$E$9+1,1))-AVERAGE(OFFSET($H$3,0,0,'Données projet'!$E$9+1,1))</f>
        <v>752.45542076695506</v>
      </c>
      <c r="T156" s="59">
        <f t="shared" si="142"/>
        <v>329.70629768420724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46.88367521331628</v>
      </c>
      <c r="AA156" s="21">
        <f>EXP(-LN(2)/25)*AA155+(1-EXP(-LN(2)/25))/(LN(2)/25)*Calculateur!V156*Calculateur!X156*VLOOKUP('Données projet'!$B$9,Paramètres!$A$1:$I$89,3,0)*0.475*44/12</f>
        <v>20.352969442222602</v>
      </c>
      <c r="AB156" s="21">
        <f>EXP(-LN(2)/2)*AB155+(1-EXP(-LN(2)/2))/(LN(2)/2)*V156*Y156*VLOOKUP('Données projet'!$B$9,Paramètres!$A$1:$I$89,3,0)*0.475*44/12</f>
        <v>2.4696167611218129E-4</v>
      </c>
      <c r="AC156" s="22">
        <f t="shared" si="163"/>
        <v>67.236891617214994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408.246209980743</v>
      </c>
      <c r="AO156" s="59">
        <f t="shared" si="144"/>
        <v>394.10236303013903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13.446492360619363</v>
      </c>
      <c r="AV156" s="21">
        <f>EXP(-LN(2)/25)*AV155+(1-EXP(-LN(2)/25))/(LN(2)/25)*Calculateur!AQ156*Calculateur!AS156*VLOOKUP('Données projet'!$B$10,Paramètres!$A$1:$I$89,3,0)*0.475*44/12</f>
        <v>7.4460957698401415</v>
      </c>
      <c r="AW156" s="21">
        <f>EXP(-LN(2)/2)*AW155+(1-EXP(-LN(2)/2))/(LN(2)/2)*AQ156*AT156*VLOOKUP('Données projet'!$B$10,Paramètres!$A$1:$I$89,3,0)*0.475*44/12</f>
        <v>7.052709015227581E-10</v>
      </c>
      <c r="AX156" s="21">
        <f t="shared" si="166"/>
        <v>20.892588131164775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9.3350000000000026</v>
      </c>
      <c r="BD156" s="12">
        <f>IF('Données projet'!$A$88&gt;35,BD155+BC156-BL155,IF(A156&lt;'Données projet'!$A$88,$BA$205^A156,IF(A156='Données projet'!$A$88,'Données projet'!$B$88,BD155+BC156-BL155)))</f>
        <v>537.15500000000088</v>
      </c>
      <c r="BE156" s="13">
        <f>BD156*VLOOKUP('Données projet'!$B$11,Paramètres!$A$1:$I$89,3,0)*VLOOKUP('Données projet'!$B$11,Paramètres!$A$1:$I$89,5,0)</f>
        <v>511.15669800000086</v>
      </c>
      <c r="BF156" s="13">
        <f t="shared" si="167"/>
        <v>113.98046613835052</v>
      </c>
      <c r="BG156" s="20">
        <f t="shared" si="168"/>
        <v>1088.7805608742954</v>
      </c>
      <c r="BH156" s="59">
        <f t="shared" si="116"/>
        <v>1375.8132063637954</v>
      </c>
      <c r="BI156" s="59">
        <f ca="1">AVERAGE(OFFSET($BH$3,0,0,'Données projet'!$E$11+1,1))-AVERAGE(OFFSET($H$3,0,0,'Données projet'!$E$11+1,1))</f>
        <v>711.91538686535682</v>
      </c>
      <c r="BJ156" s="59">
        <f t="shared" si="146"/>
        <v>313.24593837351722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43.99852596941988</v>
      </c>
      <c r="BQ156" s="21">
        <f>EXP(-LN(2)/25)*BQ155+(1-EXP(-LN(2)/25))/(LN(2)/25)*Calculateur!BL156*Calculateur!BN156*VLOOKUP('Données projet'!$B$11,Paramètres!$A$1:$I$89,3,0)*0.475*44/12</f>
        <v>19.100479015008894</v>
      </c>
      <c r="BR156" s="21">
        <f>EXP(-LN(2)/2)*BR155+(1-EXP(-LN(2)/2))/(LN(2)/2)*BL156*BO156*VLOOKUP('Données projet'!$B$11,Paramètres!$A$1:$I$89,3,0)*0.475*44/12</f>
        <v>2.3176403450527838E-4</v>
      </c>
      <c r="BS156" s="22">
        <f t="shared" si="169"/>
        <v>63.099236748463277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9.3350000000000026</v>
      </c>
      <c r="BY156" s="12">
        <f>IF('Données projet'!$A$114&gt;35,BY155+BX156-CG155,IF(A156&lt;'Données projet'!$A$114,$BV$205^A156,IF(A156='Données projet'!$A$114,'Données projet'!$B$114,BY155+BX156-CG155)))</f>
        <v>537.15500000000088</v>
      </c>
      <c r="BZ156" s="13">
        <f>BY156*VLOOKUP('Données projet'!$B$12,Paramètres!$A$1:$I$89,3,0)*VLOOKUP('Données projet'!$B$12,Paramètres!$A$1:$I$89,5,0)</f>
        <v>486.01784400000076</v>
      </c>
      <c r="CA156" s="13">
        <f t="shared" si="170"/>
        <v>109.01291721682281</v>
      </c>
      <c r="CB156" s="20">
        <f t="shared" si="171"/>
        <v>1036.3452424526342</v>
      </c>
      <c r="CC156" s="59">
        <f t="shared" si="119"/>
        <v>1323.3778879421343</v>
      </c>
      <c r="CD156" s="59">
        <f ca="1">AVERAGE(OFFSET($CC$3,0,0,'Données projet'!$E$12+1,1))-AVERAGE(OFFSET($H$3,0,0,'Données projet'!$E$12+1,1))</f>
        <v>681.47578137804555</v>
      </c>
      <c r="CE156" s="59">
        <f t="shared" si="148"/>
        <v>300.88511065995885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41.834664036497585</v>
      </c>
      <c r="CL156" s="21">
        <f>EXP(-LN(2)/25)*CL155+(1-EXP(-LN(2)/25))/(LN(2)/25)*Calculateur!CG156*Calculateur!CI156*VLOOKUP('Données projet'!$B$12,Paramètres!$A$1:$I$89,3,0)*0.475*44/12</f>
        <v>18.161111194598629</v>
      </c>
      <c r="CM156" s="21">
        <f>EXP(-LN(2)/2)*CM155+(1-EXP(-LN(2)/2))/(LN(2)/2)*CG156*CJ156*VLOOKUP('Données projet'!$B$12,Paramètres!$A$1:$I$89,3,0)*0.475*44/12</f>
        <v>2.2036580330010038E-4</v>
      </c>
      <c r="CN156" s="22">
        <f t="shared" si="172"/>
        <v>59.995995596899519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-8.5265128291212022E-14</v>
      </c>
      <c r="CU156" s="17">
        <f>CT156*VLOOKUP('Données projet'!$B$13,Paramètres!$A$1:$I$89,3,0)*VLOOKUP('Données projet'!$B$13,Paramètres!$A$1:$I$89,5,0)</f>
        <v>-6.9167072069831198E-14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186.54446846714993</v>
      </c>
      <c r="CZ156" s="59">
        <f t="shared" si="150"/>
        <v>154.43773051601286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</v>
      </c>
      <c r="DG156" s="21">
        <f>EXP(-LN(2)/25)*DG155+(1-EXP(-LN(2)/25))/(LN(2)/25)*Calculateur!DB156*Calculateur!DD156*VLOOKUP('Données projet'!$B$13,Paramètres!$A$1:$I$89,3,0)*0.475*44/12</f>
        <v>2.8207524333312235</v>
      </c>
      <c r="DH156" s="21">
        <f>EXP(-LN(2)/2)*DH155+(1-EXP(-LN(2)/2))/(LN(2)/2)*DB156*DE156*VLOOKUP('Données projet'!$B$13,Paramètres!$A$1:$I$89,3,0)*0.475*44/12</f>
        <v>8.2466454725404894E-9</v>
      </c>
      <c r="DI156" s="22">
        <f t="shared" si="175"/>
        <v>2.8207524415778691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7.922666666666669</v>
      </c>
      <c r="DO156" s="12">
        <f>IF('Données projet'!$A$166&gt;35,DO155+DN156-DW155,IF(A156&lt;'Données projet'!$A$166,$DL$205^A156,IF(A156='Données projet'!$A$166,'Données projet'!$B$166,DO155+DN156-DW155)))</f>
        <v>378.58066666666667</v>
      </c>
      <c r="DP156" s="17">
        <f>DO156*VLOOKUP('Données projet'!$B$14,Paramètres!$A$1:$I$89,3,0)*VLOOKUP('Données projet'!$B$14,Paramètres!$A$1:$I$89,5,0)</f>
        <v>431.12766319999997</v>
      </c>
      <c r="DQ156" s="13">
        <f t="shared" si="176"/>
        <v>98.059534981820775</v>
      </c>
      <c r="DR156" s="20">
        <f t="shared" si="177"/>
        <v>921.66770350000445</v>
      </c>
      <c r="DS156" s="59">
        <f t="shared" si="125"/>
        <v>1208.7003489895044</v>
      </c>
      <c r="DT156" s="59">
        <f ca="1">AVERAGE(OFFSET($DS$3,0,0,'Données projet'!$E$14+1,1))-AVERAGE(OFFSET($H$3,0,0,'Données projet'!$E$14+1,1))</f>
        <v>651.35546372812314</v>
      </c>
      <c r="DU156" s="59">
        <f t="shared" si="152"/>
        <v>293.6561676213388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35.790383388074083</v>
      </c>
      <c r="EB156" s="21">
        <f>EXP(-LN(2)/25)*EB155+(1-EXP(-LN(2)/25))/(LN(2)/25)*Calculateur!DW156*Calculateur!DY156*VLOOKUP('Données projet'!$B$14,Paramètres!$A$1:$I$89,3,0)*0.475*44/12</f>
        <v>24.853838130624052</v>
      </c>
      <c r="EC156" s="21">
        <f>EXP(-LN(2)/2)*EC155+(1-EXP(-LN(2)/2))/(LN(2)/2)*DW156*DZ156*VLOOKUP('Données projet'!$B$14,Paramètres!$A$1:$I$89,3,0)*0.475*44/12</f>
        <v>1.7607307842430113</v>
      </c>
      <c r="ED156" s="22">
        <f t="shared" si="178"/>
        <v>62.40495230294114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8.5265128291212022E-14</v>
      </c>
      <c r="EK156" s="17">
        <f>EJ156*VLOOKUP('Données projet'!$B$15,Paramètres!$A$1:$I$89,3,0)*VLOOKUP('Données projet'!$B$15,Paramètres!$A$1:$I$89,5,0)</f>
        <v>8.9119112089974823E-14</v>
      </c>
      <c r="EL156" s="13">
        <f t="shared" si="179"/>
        <v>1.3568952080113142E-12</v>
      </c>
      <c r="EM156" s="20">
        <f t="shared" si="180"/>
        <v>2.5184749408430782E-12</v>
      </c>
      <c r="EN156" s="59">
        <f t="shared" si="128"/>
        <v>287.0326454895025</v>
      </c>
      <c r="EO156" s="59">
        <f ca="1">AVERAGE(OFFSET($EN$3,0,0,'Données projet'!$E$15+1,1))-AVERAGE(OFFSET($H$3,0,0,'Données projet'!$E$15+1,1))</f>
        <v>290.69667785754848</v>
      </c>
      <c r="EP156" s="59">
        <f t="shared" si="154"/>
        <v>256.28124185489082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6.2309895366543193</v>
      </c>
      <c r="EW156" s="21">
        <f>EXP(-LN(2)/25)*EW155+(1-EXP(-LN(2)/25))/(LN(2)/25)*Calculateur!ER156*Calculateur!ET156*VLOOKUP('Données projet'!$B$15,Paramètres!$A$1:$I$89,3,0)*0.475*44/12</f>
        <v>10.454880457890514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16.685869994544834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>
        <f>VLOOKUP(A157,'Données projet'!$A$35:$I$55,2,0)</f>
        <v>546.49</v>
      </c>
      <c r="L157" s="12">
        <f>VLOOKUP(A157,'Données projet'!$A$35:$I$55,9,0)</f>
        <v>9.3350000000000026</v>
      </c>
      <c r="M157" s="12">
        <f t="array" ref="M157">INDEX(L:L,MIN(IF(ISNUMBER(L157:L353),ROW(L157:L353),"")))</f>
        <v>9.3350000000000026</v>
      </c>
      <c r="N157" s="13">
        <f>IF('Données projet'!$A$36&gt;35,N156+M157-V156,IF(A157&lt;'Données projet'!$A$36,$K$205^A157,IF(A157='Données projet'!$A$36,'Données projet'!$B$36,N156+M157-V156)))</f>
        <v>546.49000000000092</v>
      </c>
      <c r="O157" s="13">
        <f>N157*VLOOKUP('Données projet'!$B$9,Paramètres!$A$1:$I$89,3,0)*VLOOKUP('Données projet'!$B$9,Paramètres!$A$1:$I$89,5,0)</f>
        <v>554.140860000001</v>
      </c>
      <c r="P157" s="13">
        <f t="shared" si="141"/>
        <v>122.40942303871579</v>
      </c>
      <c r="Q157" s="20">
        <f t="shared" si="162"/>
        <v>1178.3250762924317</v>
      </c>
      <c r="R157" s="59">
        <f t="shared" si="109"/>
        <v>1465.4670246297944</v>
      </c>
      <c r="S157" s="59">
        <f ca="1">AVERAGE(OFFSET($R$3,0,0,'Données projet'!$E$9+1,1))-AVERAGE(OFFSET($H$3,0,0,'Données projet'!$E$9+1,1))</f>
        <v>752.45542076695506</v>
      </c>
      <c r="T157" s="59">
        <f t="shared" si="142"/>
        <v>329.70629768420724</v>
      </c>
      <c r="U157" s="15">
        <f>IF(ISNA(VLOOKUP(A157,'Données projet'!$A$35:$I$55,3,0)),0,VLOOKUP(A157,'Données projet'!$A$35:$I$55,3,0))</f>
        <v>13</v>
      </c>
      <c r="V157" s="15">
        <f>IF(ISNA(VLOOKUP(A157,'Données projet'!$A$35:$I$55,4,0)),0,VLOOKUP(A157,'Données projet'!$A$35:$I$55,4,0))</f>
        <v>61.050000000000011</v>
      </c>
      <c r="W157" s="16">
        <f>IF(ISNA(VLOOKUP(A157,'Données projet'!$A$35:$I$55,5,0)),0%,VLOOKUP(A157,'Données projet'!$A$35:$I$55,5,0)*VLOOKUP('Données projet'!$B$9,Paramètres!$A$1:$I$89,7,0))</f>
        <v>0.215</v>
      </c>
      <c r="X157" s="16">
        <f>IF(ISNA(VLOOKUP(A157,'Données projet'!$A$35:$I$55,6,0)),0%,VLOOKUP(A157,'Données projet'!$A$35:$I$55,6,0)*VLOOKUP('Données projet'!$B$9,Paramètres!$A$1:$I$89,7,0))</f>
        <v>8.6000000000000007E-2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60.67758456243417</v>
      </c>
      <c r="AA157" s="21">
        <f>EXP(-LN(2)/25)*AA156+(1-EXP(-LN(2)/25))/(LN(2)/25)*Calculateur!V157*Calculateur!X157*VLOOKUP('Données projet'!$B$9,Paramètres!$A$1:$I$89,3,0)*0.475*44/12</f>
        <v>25.658551572560288</v>
      </c>
      <c r="AB157" s="21">
        <f>EXP(-LN(2)/2)*AB156+(1-EXP(-LN(2)/2))/(LN(2)/2)*V157*Y157*VLOOKUP('Données projet'!$B$9,Paramètres!$A$1:$I$89,3,0)*0.475*44/12</f>
        <v>1.746282758721192E-4</v>
      </c>
      <c r="AC157" s="22">
        <f t="shared" si="163"/>
        <v>86.336310763270333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408.246209980743</v>
      </c>
      <c r="AO157" s="59">
        <f t="shared" si="144"/>
        <v>394.10236303013903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13.182814846978122</v>
      </c>
      <c r="AV157" s="21">
        <f>EXP(-LN(2)/25)*AV156+(1-EXP(-LN(2)/25))/(LN(2)/25)*Calculateur!AQ157*Calculateur!AS157*VLOOKUP('Données projet'!$B$10,Paramètres!$A$1:$I$89,3,0)*0.475*44/12</f>
        <v>7.2424818894407048</v>
      </c>
      <c r="AW157" s="21">
        <f>EXP(-LN(2)/2)*AW156+(1-EXP(-LN(2)/2))/(LN(2)/2)*AQ157*AT157*VLOOKUP('Données projet'!$B$10,Paramètres!$A$1:$I$89,3,0)*0.475*44/12</f>
        <v>4.9870183704029201E-10</v>
      </c>
      <c r="AX157" s="21">
        <f t="shared" si="166"/>
        <v>20.425296736917527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>
        <f>VLOOKUP(A157,'Données projet'!$A$87:$I$107,2,0)</f>
        <v>546.49</v>
      </c>
      <c r="BB157" s="12">
        <f>VLOOKUP(A157,'Données projet'!$A$87:$I$107,9,0)</f>
        <v>9.3350000000000026</v>
      </c>
      <c r="BC157" s="12">
        <f t="array" ref="BC157">INDEX(BB:BB,MIN(IF(ISNUMBER(BB157:BB353),ROW(BB157:BB353),"")))</f>
        <v>9.3350000000000026</v>
      </c>
      <c r="BD157" s="12">
        <f>IF('Données projet'!$A$88&gt;35,BD156+BC157-BL156,IF(A157&lt;'Données projet'!$A$88,$BA$205^A157,IF(A157='Données projet'!$A$88,'Données projet'!$B$88,BD156+BC157-BL156)))</f>
        <v>546.49000000000092</v>
      </c>
      <c r="BE157" s="13">
        <f>BD157*VLOOKUP('Données projet'!$B$11,Paramètres!$A$1:$I$89,3,0)*VLOOKUP('Données projet'!$B$11,Paramètres!$A$1:$I$89,5,0)</f>
        <v>520.03988400000094</v>
      </c>
      <c r="BF157" s="13">
        <f t="shared" si="167"/>
        <v>115.72896023649152</v>
      </c>
      <c r="BG157" s="20">
        <f t="shared" si="168"/>
        <v>1107.2974037118909</v>
      </c>
      <c r="BH157" s="59">
        <f t="shared" si="116"/>
        <v>1394.4393520492536</v>
      </c>
      <c r="BI157" s="59">
        <f ca="1">AVERAGE(OFFSET($BH$3,0,0,'Données projet'!$E$11+1,1))-AVERAGE(OFFSET($H$3,0,0,'Données projet'!$E$11+1,1))</f>
        <v>711.91538686535682</v>
      </c>
      <c r="BJ157" s="59">
        <f t="shared" si="146"/>
        <v>313.24593837351722</v>
      </c>
      <c r="BK157" s="15">
        <f>IF(ISNA(VLOOKUP(A157,'Données projet'!$A$87:$I$107,3,0)),0,VLOOKUP(A157,'Données projet'!$A$87:$I$107,3,0))</f>
        <v>13</v>
      </c>
      <c r="BL157" s="15">
        <f>IF(ISNA(VLOOKUP(A157,'Données projet'!$A$87:$I$107,4,0)),0,VLOOKUP(A157,'Données projet'!$A$87:$I$107,4,0))</f>
        <v>61.050000000000011</v>
      </c>
      <c r="BM157" s="16">
        <f>IF(ISNA(VLOOKUP(A157,'Données projet'!$A$87:$I$107,5,0)),0%,VLOOKUP(A157,'Données projet'!$A$87:$I$107,5,0)*VLOOKUP('Données projet'!$B$11,Paramètres!$A$1:$I$89,7,0))</f>
        <v>0.215</v>
      </c>
      <c r="BN157" s="16">
        <f>IF(ISNA(VLOOKUP(A157,'Données projet'!$A$87:$I$107,6,0)),0%,VLOOKUP(A157,'Données projet'!$A$87:$I$107,6,0)*VLOOKUP('Données projet'!$B$11,Paramètres!$A$1:$I$89,7,0))</f>
        <v>8.6000000000000007E-2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56.943579358592061</v>
      </c>
      <c r="BQ157" s="21">
        <f>EXP(-LN(2)/25)*BQ156+(1-EXP(-LN(2)/25))/(LN(2)/25)*Calculateur!BL157*Calculateur!BN157*VLOOKUP('Données projet'!$B$11,Paramètres!$A$1:$I$89,3,0)*0.475*44/12</f>
        <v>24.079563783479642</v>
      </c>
      <c r="BR157" s="21">
        <f>EXP(-LN(2)/2)*BR156+(1-EXP(-LN(2)/2))/(LN(2)/2)*BL157*BO157*VLOOKUP('Données projet'!$B$11,Paramètres!$A$1:$I$89,3,0)*0.475*44/12</f>
        <v>1.6388192043383535E-4</v>
      </c>
      <c r="BS157" s="22">
        <f t="shared" si="169"/>
        <v>81.023307023992132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>
        <f>VLOOKUP(A157,'Données projet'!$A$113:$I$133,2,0)</f>
        <v>546.49</v>
      </c>
      <c r="BW157" s="12">
        <f>VLOOKUP(A157,'Données projet'!$A$113:$I$133,9,0)</f>
        <v>9.3350000000000026</v>
      </c>
      <c r="BX157" s="12">
        <f t="array" ref="BX157">INDEX(BW:BW,MIN(IF(ISNUMBER(BW157:BW353),ROW(BW157:BW353),"")))</f>
        <v>9.3350000000000026</v>
      </c>
      <c r="BY157" s="12">
        <f>IF('Données projet'!$A$114&gt;35,BY156+BX157-CG156,IF(A157&lt;'Données projet'!$A$114,$BV$205^A157,IF(A157='Données projet'!$A$114,'Données projet'!$B$114,BY156+BX157-CG156)))</f>
        <v>546.49000000000092</v>
      </c>
      <c r="BZ157" s="13">
        <f>BY157*VLOOKUP('Données projet'!$B$12,Paramètres!$A$1:$I$89,3,0)*VLOOKUP('Données projet'!$B$12,Paramètres!$A$1:$I$89,5,0)</f>
        <v>494.46415200000081</v>
      </c>
      <c r="CA157" s="13">
        <f t="shared" si="170"/>
        <v>110.68520764370523</v>
      </c>
      <c r="CB157" s="20">
        <f t="shared" si="171"/>
        <v>1053.9684680461214</v>
      </c>
      <c r="CC157" s="59">
        <f t="shared" si="119"/>
        <v>1341.1104163834841</v>
      </c>
      <c r="CD157" s="59">
        <f ca="1">AVERAGE(OFFSET($CC$3,0,0,'Données projet'!$E$12+1,1))-AVERAGE(OFFSET($H$3,0,0,'Données projet'!$E$12+1,1))</f>
        <v>681.47578137804555</v>
      </c>
      <c r="CE157" s="59">
        <f t="shared" si="148"/>
        <v>300.88511065995885</v>
      </c>
      <c r="CF157" s="15">
        <f>IF(ISNA(VLOOKUP(A157,'Données projet'!$A$113:$I$133,3,0)),0,VLOOKUP(A157,'Données projet'!$A$113:$I$133,3,0))</f>
        <v>13</v>
      </c>
      <c r="CG157" s="15">
        <f>IF(ISNA(VLOOKUP(A157,'Données projet'!$A$113:$I$133,4,0)),0,VLOOKUP(A157,'Données projet'!$A$113:$I$133,4,0))</f>
        <v>61.050000000000011</v>
      </c>
      <c r="CH157" s="16">
        <f>IF(ISNA(VLOOKUP(A157,'Données projet'!$A$113:$I$133,5,0)),0%,VLOOKUP(A157,'Données projet'!$A$113:$I$133,5,0)*VLOOKUP('Données projet'!$B$12,Paramètres!$A$1:$I$89,7,0))</f>
        <v>0.215</v>
      </c>
      <c r="CI157" s="16">
        <f>IF(ISNA(VLOOKUP(A157,'Données projet'!$A$113:$I$133,6,0)),0%,VLOOKUP(A157,'Données projet'!$A$113:$I$133,6,0)*VLOOKUP('Données projet'!$B$12,Paramètres!$A$1:$I$89,7,0))</f>
        <v>8.6000000000000007E-2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54.143075455710473</v>
      </c>
      <c r="CL157" s="21">
        <f>EXP(-LN(2)/25)*CL156+(1-EXP(-LN(2)/25))/(LN(2)/25)*Calculateur!CG157*Calculateur!CI157*VLOOKUP('Données projet'!$B$12,Paramètres!$A$1:$I$89,3,0)*0.475*44/12</f>
        <v>22.895322941669175</v>
      </c>
      <c r="CM157" s="21">
        <f>EXP(-LN(2)/2)*CM156+(1-EXP(-LN(2)/2))/(LN(2)/2)*CG157*CJ157*VLOOKUP('Données projet'!$B$12,Paramètres!$A$1:$I$89,3,0)*0.475*44/12</f>
        <v>1.5582215385512185E-4</v>
      </c>
      <c r="CN157" s="22">
        <f t="shared" si="172"/>
        <v>77.038554219533509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-8.5265128291212022E-14</v>
      </c>
      <c r="CU157" s="17">
        <f>CT157*VLOOKUP('Données projet'!$B$13,Paramètres!$A$1:$I$89,3,0)*VLOOKUP('Données projet'!$B$13,Paramètres!$A$1:$I$89,5,0)</f>
        <v>-6.9167072069831198E-14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186.54446846714993</v>
      </c>
      <c r="CZ157" s="59">
        <f t="shared" si="150"/>
        <v>154.43773051601286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</v>
      </c>
      <c r="DG157" s="21">
        <f>EXP(-LN(2)/25)*DG156+(1-EXP(-LN(2)/25))/(LN(2)/25)*Calculateur!DB157*Calculateur!DD157*VLOOKUP('Données projet'!$B$13,Paramètres!$A$1:$I$89,3,0)*0.475*44/12</f>
        <v>2.7436188097048575</v>
      </c>
      <c r="DH157" s="21">
        <f>EXP(-LN(2)/2)*DH156+(1-EXP(-LN(2)/2))/(LN(2)/2)*DB157*DE157*VLOOKUP('Données projet'!$B$13,Paramètres!$A$1:$I$89,3,0)*0.475*44/12</f>
        <v>5.8312589356747208E-9</v>
      </c>
      <c r="DI157" s="22">
        <f t="shared" si="175"/>
        <v>2.7436188155361165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7.922666666666669</v>
      </c>
      <c r="DO157" s="12">
        <f>IF('Données projet'!$A$166&gt;35,DO156+DN157-DW156,IF(A157&lt;'Données projet'!$A$166,$DL$205^A157,IF(A157='Données projet'!$A$166,'Données projet'!$B$166,DO156+DN157-DW156)))</f>
        <v>386.50333333333333</v>
      </c>
      <c r="DP157" s="17">
        <f>DO157*VLOOKUP('Données projet'!$B$14,Paramètres!$A$1:$I$89,3,0)*VLOOKUP('Données projet'!$B$14,Paramètres!$A$1:$I$89,5,0)</f>
        <v>440.14999599999999</v>
      </c>
      <c r="DQ157" s="13">
        <f t="shared" si="176"/>
        <v>99.870596860209261</v>
      </c>
      <c r="DR157" s="20">
        <f t="shared" si="177"/>
        <v>940.5358658981977</v>
      </c>
      <c r="DS157" s="59">
        <f t="shared" si="125"/>
        <v>1227.6778142355604</v>
      </c>
      <c r="DT157" s="59">
        <f ca="1">AVERAGE(OFFSET($DS$3,0,0,'Données projet'!$E$14+1,1))-AVERAGE(OFFSET($H$3,0,0,'Données projet'!$E$14+1,1))</f>
        <v>651.35546372812314</v>
      </c>
      <c r="DU157" s="59">
        <f t="shared" si="152"/>
        <v>293.6561676213388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35.088555799812283</v>
      </c>
      <c r="EB157" s="21">
        <f>EXP(-LN(2)/25)*EB156+(1-EXP(-LN(2)/25))/(LN(2)/25)*Calculateur!DW157*Calculateur!DY157*VLOOKUP('Données projet'!$B$14,Paramètres!$A$1:$I$89,3,0)*0.475*44/12</f>
        <v>24.174208619935595</v>
      </c>
      <c r="EC157" s="21">
        <f>EXP(-LN(2)/2)*EC156+(1-EXP(-LN(2)/2))/(LN(2)/2)*DW157*DZ157*VLOOKUP('Données projet'!$B$14,Paramètres!$A$1:$I$89,3,0)*0.475*44/12</f>
        <v>1.2450246773821414</v>
      </c>
      <c r="ED157" s="22">
        <f t="shared" si="178"/>
        <v>60.507789097130022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8.5265128291212022E-14</v>
      </c>
      <c r="EK157" s="17">
        <f>EJ157*VLOOKUP('Données projet'!$B$15,Paramètres!$A$1:$I$89,3,0)*VLOOKUP('Données projet'!$B$15,Paramètres!$A$1:$I$89,5,0)</f>
        <v>8.9119112089974823E-14</v>
      </c>
      <c r="EL157" s="13">
        <f t="shared" si="179"/>
        <v>1.3568952080113142E-12</v>
      </c>
      <c r="EM157" s="20">
        <f t="shared" si="180"/>
        <v>2.5184749408430782E-12</v>
      </c>
      <c r="EN157" s="59">
        <f t="shared" si="128"/>
        <v>287.14194833736525</v>
      </c>
      <c r="EO157" s="59">
        <f ca="1">AVERAGE(OFFSET($EN$3,0,0,'Données projet'!$E$15+1,1))-AVERAGE(OFFSET($H$3,0,0,'Données projet'!$E$15+1,1))</f>
        <v>290.69667785754848</v>
      </c>
      <c r="EP157" s="59">
        <f t="shared" si="154"/>
        <v>256.28124185489082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6.1088036323688746</v>
      </c>
      <c r="EW157" s="21">
        <f>EXP(-LN(2)/25)*EW156+(1-EXP(-LN(2)/25))/(LN(2)/25)*Calculateur!ER157*Calculateur!ET157*VLOOKUP('Données projet'!$B$15,Paramètres!$A$1:$I$89,3,0)*0.475*44/12</f>
        <v>10.168991201971229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16.277794834340103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9.4880000000000049</v>
      </c>
      <c r="N158" s="13">
        <f>IF('Données projet'!$A$36&gt;35,N157+M158-V157,IF(A158&lt;'Données projet'!$A$36,$K$205^A158,IF(A158='Données projet'!$A$36,'Données projet'!$B$36,N157+M158-V157)))</f>
        <v>494.92800000000096</v>
      </c>
      <c r="O158" s="13">
        <f>N158*VLOOKUP('Données projet'!$B$9,Paramètres!$A$1:$I$89,3,0)*VLOOKUP('Données projet'!$B$9,Paramètres!$A$1:$I$89,5,0)</f>
        <v>501.85699200000107</v>
      </c>
      <c r="P158" s="13">
        <f t="shared" si="141"/>
        <v>112.14619280341684</v>
      </c>
      <c r="Q158" s="20">
        <f t="shared" si="162"/>
        <v>1069.3888801992859</v>
      </c>
      <c r="R158" s="59">
        <f t="shared" si="109"/>
        <v>1356.6382352244657</v>
      </c>
      <c r="S158" s="59">
        <f ca="1">AVERAGE(OFFSET($R$3,0,0,'Données projet'!$E$9+1,1))-AVERAGE(OFFSET($H$3,0,0,'Données projet'!$E$9+1,1))</f>
        <v>752.45542076695506</v>
      </c>
      <c r="T158" s="59">
        <f t="shared" si="142"/>
        <v>329.70629768420724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59.48773413883702</v>
      </c>
      <c r="AA158" s="21">
        <f>EXP(-LN(2)/25)*AA157+(1-EXP(-LN(2)/25))/(LN(2)/25)*Calculateur!V158*Calculateur!X158*VLOOKUP('Données projet'!$B$9,Paramètres!$A$1:$I$89,3,0)*0.475*44/12</f>
        <v>24.956917130484044</v>
      </c>
      <c r="AB158" s="21">
        <f>EXP(-LN(2)/2)*AB157+(1-EXP(-LN(2)/2))/(LN(2)/2)*V158*Y158*VLOOKUP('Données projet'!$B$9,Paramètres!$A$1:$I$89,3,0)*0.475*44/12</f>
        <v>1.2348083805609065E-4</v>
      </c>
      <c r="AC158" s="22">
        <f t="shared" si="163"/>
        <v>84.444774750159127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408.246209980743</v>
      </c>
      <c r="AO158" s="59">
        <f t="shared" si="144"/>
        <v>394.10236303013903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12.924307888551983</v>
      </c>
      <c r="AV158" s="21">
        <f>EXP(-LN(2)/25)*AV157+(1-EXP(-LN(2)/25))/(LN(2)/25)*Calculateur!AQ158*Calculateur!AS158*VLOOKUP('Données projet'!$B$10,Paramètres!$A$1:$I$89,3,0)*0.475*44/12</f>
        <v>7.0444358413083794</v>
      </c>
      <c r="AW158" s="21">
        <f>EXP(-LN(2)/2)*AW157+(1-EXP(-LN(2)/2))/(LN(2)/2)*AQ158*AT158*VLOOKUP('Données projet'!$B$10,Paramètres!$A$1:$I$89,3,0)*0.475*44/12</f>
        <v>3.5263545076137905E-10</v>
      </c>
      <c r="AX158" s="21">
        <f t="shared" si="166"/>
        <v>19.968743730212999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9.4880000000000049</v>
      </c>
      <c r="BD158" s="12">
        <f>IF('Données projet'!$A$88&gt;35,BD157+BC158-BL157,IF(A158&lt;'Données projet'!$A$88,$BA$205^A158,IF(A158='Données projet'!$A$88,'Données projet'!$B$88,BD157+BC158-BL157)))</f>
        <v>494.92800000000096</v>
      </c>
      <c r="BE158" s="13">
        <f>BD158*VLOOKUP('Données projet'!$B$11,Paramètres!$A$1:$I$89,3,0)*VLOOKUP('Données projet'!$B$11,Paramètres!$A$1:$I$89,5,0)</f>
        <v>470.97348480000096</v>
      </c>
      <c r="BF158" s="13">
        <f t="shared" si="167"/>
        <v>106.02584315355907</v>
      </c>
      <c r="BG158" s="20">
        <f t="shared" si="168"/>
        <v>1004.9404961857837</v>
      </c>
      <c r="BH158" s="59">
        <f t="shared" si="116"/>
        <v>1292.1898512109633</v>
      </c>
      <c r="BI158" s="59">
        <f ca="1">AVERAGE(OFFSET($BH$3,0,0,'Données projet'!$E$11+1,1))-AVERAGE(OFFSET($H$3,0,0,'Données projet'!$E$11+1,1))</f>
        <v>711.91538686535682</v>
      </c>
      <c r="BJ158" s="59">
        <f t="shared" si="146"/>
        <v>313.24593837351722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55.826950499523967</v>
      </c>
      <c r="BQ158" s="21">
        <f>EXP(-LN(2)/25)*BQ157+(1-EXP(-LN(2)/25))/(LN(2)/25)*Calculateur!BL158*Calculateur!BN158*VLOOKUP('Données projet'!$B$11,Paramètres!$A$1:$I$89,3,0)*0.475*44/12</f>
        <v>23.421106845531167</v>
      </c>
      <c r="BR158" s="21">
        <f>EXP(-LN(2)/2)*BR157+(1-EXP(-LN(2)/2))/(LN(2)/2)*BL158*BO158*VLOOKUP('Données projet'!$B$11,Paramètres!$A$1:$I$89,3,0)*0.475*44/12</f>
        <v>1.1588201725263922E-4</v>
      </c>
      <c r="BS158" s="22">
        <f t="shared" si="169"/>
        <v>79.248173227072385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9.4880000000000049</v>
      </c>
      <c r="BY158" s="12">
        <f>IF('Données projet'!$A$114&gt;35,BY157+BX158-CG157,IF(A158&lt;'Données projet'!$A$114,$BV$205^A158,IF(A158='Données projet'!$A$114,'Données projet'!$B$114,BY157+BX158-CG157)))</f>
        <v>494.92800000000096</v>
      </c>
      <c r="BZ158" s="13">
        <f>BY158*VLOOKUP('Données projet'!$B$12,Paramètres!$A$1:$I$89,3,0)*VLOOKUP('Données projet'!$B$12,Paramètres!$A$1:$I$89,5,0)</f>
        <v>447.81085440000084</v>
      </c>
      <c r="CA158" s="13">
        <f t="shared" si="170"/>
        <v>101.40497625718913</v>
      </c>
      <c r="CB158" s="20">
        <f t="shared" si="171"/>
        <v>956.55090506127237</v>
      </c>
      <c r="CC158" s="59">
        <f t="shared" si="119"/>
        <v>1243.800260086452</v>
      </c>
      <c r="CD158" s="59">
        <f ca="1">AVERAGE(OFFSET($CC$3,0,0,'Données projet'!$E$12+1,1))-AVERAGE(OFFSET($H$3,0,0,'Données projet'!$E$12+1,1))</f>
        <v>681.47578137804555</v>
      </c>
      <c r="CE158" s="59">
        <f t="shared" si="148"/>
        <v>300.88511065995885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53.081362770039171</v>
      </c>
      <c r="CL158" s="21">
        <f>EXP(-LN(2)/25)*CL157+(1-EXP(-LN(2)/25))/(LN(2)/25)*Calculateur!CG158*Calculateur!CI158*VLOOKUP('Données projet'!$B$12,Paramètres!$A$1:$I$89,3,0)*0.475*44/12</f>
        <v>22.269249131816526</v>
      </c>
      <c r="CM158" s="21">
        <f>EXP(-LN(2)/2)*CM157+(1-EXP(-LN(2)/2))/(LN(2)/2)*CG158*CJ158*VLOOKUP('Données projet'!$B$12,Paramètres!$A$1:$I$89,3,0)*0.475*44/12</f>
        <v>1.1018290165005019E-4</v>
      </c>
      <c r="CN158" s="22">
        <f t="shared" si="172"/>
        <v>75.350722084757351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-8.5265128291212022E-14</v>
      </c>
      <c r="CU158" s="17">
        <f>CT158*VLOOKUP('Données projet'!$B$13,Paramètres!$A$1:$I$89,3,0)*VLOOKUP('Données projet'!$B$13,Paramètres!$A$1:$I$89,5,0)</f>
        <v>-6.9167072069831198E-14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186.54446846714993</v>
      </c>
      <c r="CZ158" s="59">
        <f t="shared" si="150"/>
        <v>154.43773051601286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</v>
      </c>
      <c r="DG158" s="21">
        <f>EXP(-LN(2)/25)*DG157+(1-EXP(-LN(2)/25))/(LN(2)/25)*Calculateur!DB158*Calculateur!DD158*VLOOKUP('Données projet'!$B$13,Paramètres!$A$1:$I$89,3,0)*0.475*44/12</f>
        <v>2.6685944090728357</v>
      </c>
      <c r="DH158" s="21">
        <f>EXP(-LN(2)/2)*DH157+(1-EXP(-LN(2)/2))/(LN(2)/2)*DB158*DE158*VLOOKUP('Données projet'!$B$13,Paramètres!$A$1:$I$89,3,0)*0.475*44/12</f>
        <v>4.1233227362702447E-9</v>
      </c>
      <c r="DI158" s="22">
        <f t="shared" si="175"/>
        <v>2.6685944131961583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7.922666666666669</v>
      </c>
      <c r="DO158" s="12">
        <f>IF('Données projet'!$A$166&gt;35,DO157+DN158-DW157,IF(A158&lt;'Données projet'!$A$166,$DL$205^A158,IF(A158='Données projet'!$A$166,'Données projet'!$B$166,DO157+DN158-DW157)))</f>
        <v>394.42599999999999</v>
      </c>
      <c r="DP158" s="17">
        <f>DO158*VLOOKUP('Données projet'!$B$14,Paramètres!$A$1:$I$89,3,0)*VLOOKUP('Données projet'!$B$14,Paramètres!$A$1:$I$89,5,0)</f>
        <v>449.1723288</v>
      </c>
      <c r="DQ158" s="13">
        <f t="shared" si="176"/>
        <v>101.67734236976028</v>
      </c>
      <c r="DR158" s="20">
        <f t="shared" si="177"/>
        <v>959.39651062066594</v>
      </c>
      <c r="DS158" s="59">
        <f t="shared" si="125"/>
        <v>1246.6458656458456</v>
      </c>
      <c r="DT158" s="59">
        <f ca="1">AVERAGE(OFFSET($DS$3,0,0,'Données projet'!$E$14+1,1))-AVERAGE(OFFSET($H$3,0,0,'Données projet'!$E$14+1,1))</f>
        <v>651.35546372812314</v>
      </c>
      <c r="DU158" s="59">
        <f t="shared" si="152"/>
        <v>293.6561676213388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34.400490622483737</v>
      </c>
      <c r="EB158" s="21">
        <f>EXP(-LN(2)/25)*EB157+(1-EXP(-LN(2)/25))/(LN(2)/25)*Calculateur!DW158*Calculateur!DY158*VLOOKUP('Données projet'!$B$14,Paramètres!$A$1:$I$89,3,0)*0.475*44/12</f>
        <v>23.513163613957076</v>
      </c>
      <c r="EC158" s="21">
        <f>EXP(-LN(2)/2)*EC157+(1-EXP(-LN(2)/2))/(LN(2)/2)*DW158*DZ158*VLOOKUP('Données projet'!$B$14,Paramètres!$A$1:$I$89,3,0)*0.475*44/12</f>
        <v>0.88036539212150589</v>
      </c>
      <c r="ED158" s="22">
        <f t="shared" si="178"/>
        <v>58.794019628562317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8.5265128291212022E-14</v>
      </c>
      <c r="EK158" s="17">
        <f>EJ158*VLOOKUP('Données projet'!$B$15,Paramètres!$A$1:$I$89,3,0)*VLOOKUP('Données projet'!$B$15,Paramètres!$A$1:$I$89,5,0)</f>
        <v>8.9119112089974823E-14</v>
      </c>
      <c r="EL158" s="13">
        <f t="shared" si="179"/>
        <v>1.3568952080113142E-12</v>
      </c>
      <c r="EM158" s="20">
        <f t="shared" si="180"/>
        <v>2.5184749408430782E-12</v>
      </c>
      <c r="EN158" s="59">
        <f t="shared" si="128"/>
        <v>287.24935502518218</v>
      </c>
      <c r="EO158" s="59">
        <f ca="1">AVERAGE(OFFSET($EN$3,0,0,'Données projet'!$E$15+1,1))-AVERAGE(OFFSET($H$3,0,0,'Données projet'!$E$15+1,1))</f>
        <v>290.69667785754848</v>
      </c>
      <c r="EP158" s="59">
        <f t="shared" si="154"/>
        <v>256.28124185489082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5.9890137191404245</v>
      </c>
      <c r="EW158" s="21">
        <f>EXP(-LN(2)/25)*EW157+(1-EXP(-LN(2)/25))/(LN(2)/25)*Calculateur!ER158*Calculateur!ET158*VLOOKUP('Données projet'!$B$15,Paramètres!$A$1:$I$89,3,0)*0.475*44/12</f>
        <v>9.8909196027893209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15.879933321929744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9.4880000000000049</v>
      </c>
      <c r="N159" s="13">
        <f>IF('Données projet'!$A$36&gt;35,N158+M159-V158,IF(A159&lt;'Données projet'!$A$36,$K$205^A159,IF(A159='Données projet'!$A$36,'Données projet'!$B$36,N158+M159-V158)))</f>
        <v>504.41600000000096</v>
      </c>
      <c r="O159" s="13">
        <f>N159*VLOOKUP('Données projet'!$B$9,Paramètres!$A$1:$I$89,3,0)*VLOOKUP('Données projet'!$B$9,Paramètres!$A$1:$I$89,5,0)</f>
        <v>511.47782400000102</v>
      </c>
      <c r="P159" s="13">
        <f t="shared" si="141"/>
        <v>114.04373524085221</v>
      </c>
      <c r="Q159" s="20">
        <f t="shared" si="162"/>
        <v>1089.4500490111525</v>
      </c>
      <c r="R159" s="59">
        <f t="shared" si="109"/>
        <v>1376.8049474582408</v>
      </c>
      <c r="S159" s="59">
        <f ca="1">AVERAGE(OFFSET($R$3,0,0,'Données projet'!$E$9+1,1))-AVERAGE(OFFSET($H$3,0,0,'Données projet'!$E$9+1,1))</f>
        <v>752.45542076695506</v>
      </c>
      <c r="T159" s="59">
        <f t="shared" si="142"/>
        <v>329.70629768420724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58.321215956309508</v>
      </c>
      <c r="AA159" s="21">
        <f>EXP(-LN(2)/25)*AA158+(1-EXP(-LN(2)/25))/(LN(2)/25)*Calculateur!V159*Calculateur!X159*VLOOKUP('Données projet'!$B$9,Paramètres!$A$1:$I$89,3,0)*0.475*44/12</f>
        <v>24.274468919123727</v>
      </c>
      <c r="AB159" s="21">
        <f>EXP(-LN(2)/2)*AB158+(1-EXP(-LN(2)/2))/(LN(2)/2)*V159*Y159*VLOOKUP('Données projet'!$B$9,Paramètres!$A$1:$I$89,3,0)*0.475*44/12</f>
        <v>8.7314137936059599E-5</v>
      </c>
      <c r="AC159" s="22">
        <f t="shared" si="163"/>
        <v>82.595772189571179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408.246209980743</v>
      </c>
      <c r="AO159" s="59">
        <f t="shared" si="144"/>
        <v>394.10236303013903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12.670870093906904</v>
      </c>
      <c r="AV159" s="21">
        <f>EXP(-LN(2)/25)*AV158+(1-EXP(-LN(2)/25))/(LN(2)/25)*Calculateur!AQ159*Calculateur!AS159*VLOOKUP('Données projet'!$B$10,Paramètres!$A$1:$I$89,3,0)*0.475*44/12</f>
        <v>6.8518053727770214</v>
      </c>
      <c r="AW159" s="21">
        <f>EXP(-LN(2)/2)*AW158+(1-EXP(-LN(2)/2))/(LN(2)/2)*AQ159*AT159*VLOOKUP('Données projet'!$B$10,Paramètres!$A$1:$I$89,3,0)*0.475*44/12</f>
        <v>2.49350918520146E-10</v>
      </c>
      <c r="AX159" s="21">
        <f t="shared" si="166"/>
        <v>19.522675466933276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9.4880000000000049</v>
      </c>
      <c r="BD159" s="12">
        <f>IF('Données projet'!$A$88&gt;35,BD158+BC159-BL158,IF(A159&lt;'Données projet'!$A$88,$BA$205^A159,IF(A159='Données projet'!$A$88,'Données projet'!$B$88,BD158+BC159-BL158)))</f>
        <v>504.41600000000096</v>
      </c>
      <c r="BE159" s="13">
        <f>BD159*VLOOKUP('Données projet'!$B$11,Paramètres!$A$1:$I$89,3,0)*VLOOKUP('Données projet'!$B$11,Paramètres!$A$1:$I$89,5,0)</f>
        <v>480.0022656000009</v>
      </c>
      <c r="BF159" s="13">
        <f t="shared" si="167"/>
        <v>107.81982770015364</v>
      </c>
      <c r="BG159" s="20">
        <f t="shared" si="168"/>
        <v>1023.7901458311022</v>
      </c>
      <c r="BH159" s="59">
        <f t="shared" si="116"/>
        <v>1311.1450442781907</v>
      </c>
      <c r="BI159" s="59">
        <f ca="1">AVERAGE(OFFSET($BH$3,0,0,'Données projet'!$E$11+1,1))-AVERAGE(OFFSET($H$3,0,0,'Données projet'!$E$11+1,1))</f>
        <v>711.91538686535682</v>
      </c>
      <c r="BJ159" s="59">
        <f t="shared" si="146"/>
        <v>313.24593837351722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54.732218051305843</v>
      </c>
      <c r="BQ159" s="21">
        <f>EXP(-LN(2)/25)*BQ158+(1-EXP(-LN(2)/25))/(LN(2)/25)*Calculateur!BL159*Calculateur!BN159*VLOOKUP('Données projet'!$B$11,Paramètres!$A$1:$I$89,3,0)*0.475*44/12</f>
        <v>22.780655447177637</v>
      </c>
      <c r="BR159" s="21">
        <f>EXP(-LN(2)/2)*BR158+(1-EXP(-LN(2)/2))/(LN(2)/2)*BL159*BO159*VLOOKUP('Données projet'!$B$11,Paramètres!$A$1:$I$89,3,0)*0.475*44/12</f>
        <v>8.1940960216917688E-5</v>
      </c>
      <c r="BS159" s="22">
        <f t="shared" si="169"/>
        <v>77.512955439443701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9.4880000000000049</v>
      </c>
      <c r="BY159" s="12">
        <f>IF('Données projet'!$A$114&gt;35,BY158+BX159-CG158,IF(A159&lt;'Données projet'!$A$114,$BV$205^A159,IF(A159='Données projet'!$A$114,'Données projet'!$B$114,BY158+BX159-CG158)))</f>
        <v>504.41600000000096</v>
      </c>
      <c r="BZ159" s="13">
        <f>BY159*VLOOKUP('Données projet'!$B$12,Paramètres!$A$1:$I$89,3,0)*VLOOKUP('Données projet'!$B$12,Paramètres!$A$1:$I$89,5,0)</f>
        <v>456.39559680000082</v>
      </c>
      <c r="CA159" s="13">
        <f t="shared" si="170"/>
        <v>103.12077454694855</v>
      </c>
      <c r="CB159" s="20">
        <f t="shared" si="171"/>
        <v>974.49101342927031</v>
      </c>
      <c r="CC159" s="59">
        <f t="shared" si="119"/>
        <v>1261.8459118763585</v>
      </c>
      <c r="CD159" s="59">
        <f ca="1">AVERAGE(OFFSET($CC$3,0,0,'Données projet'!$E$12+1,1))-AVERAGE(OFFSET($H$3,0,0,'Données projet'!$E$12+1,1))</f>
        <v>681.47578137804555</v>
      </c>
      <c r="CE159" s="59">
        <f t="shared" si="148"/>
        <v>300.88511065995885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52.040469622553083</v>
      </c>
      <c r="CL159" s="21">
        <f>EXP(-LN(2)/25)*CL158+(1-EXP(-LN(2)/25))/(LN(2)/25)*Calculateur!CG159*Calculateur!CI159*VLOOKUP('Données projet'!$B$12,Paramètres!$A$1:$I$89,3,0)*0.475*44/12</f>
        <v>21.660295343218088</v>
      </c>
      <c r="CM159" s="21">
        <f>EXP(-LN(2)/2)*CM158+(1-EXP(-LN(2)/2))/(LN(2)/2)*CG159*CJ159*VLOOKUP('Données projet'!$B$12,Paramètres!$A$1:$I$89,3,0)*0.475*44/12</f>
        <v>7.7911076927560926E-5</v>
      </c>
      <c r="CN159" s="22">
        <f t="shared" si="172"/>
        <v>73.7008428768481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-8.5265128291212022E-14</v>
      </c>
      <c r="CU159" s="17">
        <f>CT159*VLOOKUP('Données projet'!$B$13,Paramètres!$A$1:$I$89,3,0)*VLOOKUP('Données projet'!$B$13,Paramètres!$A$1:$I$89,5,0)</f>
        <v>-6.9167072069831198E-14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186.54446846714993</v>
      </c>
      <c r="CZ159" s="59">
        <f t="shared" si="150"/>
        <v>154.43773051601286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</v>
      </c>
      <c r="DG159" s="21">
        <f>EXP(-LN(2)/25)*DG158+(1-EXP(-LN(2)/25))/(LN(2)/25)*Calculateur!DB159*Calculateur!DD159*VLOOKUP('Données projet'!$B$13,Paramètres!$A$1:$I$89,3,0)*0.475*44/12</f>
        <v>2.595621554621458</v>
      </c>
      <c r="DH159" s="21">
        <f>EXP(-LN(2)/2)*DH158+(1-EXP(-LN(2)/2))/(LN(2)/2)*DB159*DE159*VLOOKUP('Données projet'!$B$13,Paramètres!$A$1:$I$89,3,0)*0.475*44/12</f>
        <v>2.9156294678373604E-9</v>
      </c>
      <c r="DI159" s="22">
        <f t="shared" si="175"/>
        <v>2.5956215575370876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7.922666666666669</v>
      </c>
      <c r="DO159" s="12">
        <f>IF('Données projet'!$A$166&gt;35,DO158+DN159-DW158,IF(A159&lt;'Données projet'!$A$166,$DL$205^A159,IF(A159='Données projet'!$A$166,'Données projet'!$B$166,DO158+DN159-DW158)))</f>
        <v>402.34866666666665</v>
      </c>
      <c r="DP159" s="17">
        <f>DO159*VLOOKUP('Données projet'!$B$14,Paramètres!$A$1:$I$89,3,0)*VLOOKUP('Données projet'!$B$14,Paramètres!$A$1:$I$89,5,0)</f>
        <v>458.19466159999996</v>
      </c>
      <c r="DQ159" s="13">
        <f t="shared" si="176"/>
        <v>103.47986820359159</v>
      </c>
      <c r="DR159" s="20">
        <f t="shared" si="177"/>
        <v>978.24980607458849</v>
      </c>
      <c r="DS159" s="59">
        <f t="shared" si="125"/>
        <v>1265.6047045216769</v>
      </c>
      <c r="DT159" s="59">
        <f ca="1">AVERAGE(OFFSET($DS$3,0,0,'Données projet'!$E$14+1,1))-AVERAGE(OFFSET($H$3,0,0,'Données projet'!$E$14+1,1))</f>
        <v>651.35546372812314</v>
      </c>
      <c r="DU159" s="59">
        <f t="shared" si="152"/>
        <v>293.6561676213388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33.72591798360429</v>
      </c>
      <c r="EB159" s="21">
        <f>EXP(-LN(2)/25)*EB158+(1-EXP(-LN(2)/25))/(LN(2)/25)*Calculateur!DW159*Calculateur!DY159*VLOOKUP('Données projet'!$B$14,Paramètres!$A$1:$I$89,3,0)*0.475*44/12</f>
        <v>22.870194918429885</v>
      </c>
      <c r="EC159" s="21">
        <f>EXP(-LN(2)/2)*EC158+(1-EXP(-LN(2)/2))/(LN(2)/2)*DW159*DZ159*VLOOKUP('Données projet'!$B$14,Paramètres!$A$1:$I$89,3,0)*0.475*44/12</f>
        <v>0.62251233869107081</v>
      </c>
      <c r="ED159" s="22">
        <f t="shared" si="178"/>
        <v>57.218625240725252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8.5265128291212022E-14</v>
      </c>
      <c r="EK159" s="17">
        <f>EJ159*VLOOKUP('Données projet'!$B$15,Paramètres!$A$1:$I$89,3,0)*VLOOKUP('Données projet'!$B$15,Paramètres!$A$1:$I$89,5,0)</f>
        <v>8.9119112089974823E-14</v>
      </c>
      <c r="EL159" s="13">
        <f t="shared" si="179"/>
        <v>1.3568952080113142E-12</v>
      </c>
      <c r="EM159" s="20">
        <f t="shared" si="180"/>
        <v>2.5184749408430782E-12</v>
      </c>
      <c r="EN159" s="59">
        <f t="shared" si="128"/>
        <v>287.35489844709082</v>
      </c>
      <c r="EO159" s="59">
        <f ca="1">AVERAGE(OFFSET($EN$3,0,0,'Données projet'!$E$15+1,1))-AVERAGE(OFFSET($H$3,0,0,'Données projet'!$E$15+1,1))</f>
        <v>290.69667785754848</v>
      </c>
      <c r="EP159" s="59">
        <f t="shared" si="154"/>
        <v>256.28124185489082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5.8715728130457521</v>
      </c>
      <c r="EW159" s="21">
        <f>EXP(-LN(2)/25)*EW158+(1-EXP(-LN(2)/25))/(LN(2)/25)*Calculateur!ER159*Calculateur!ET159*VLOOKUP('Données projet'!$B$15,Paramètres!$A$1:$I$89,3,0)*0.475*44/12</f>
        <v>9.6204518861101906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15.492024699155943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9.4880000000000049</v>
      </c>
      <c r="N160" s="13">
        <f>IF('Données projet'!$A$36&gt;35,N159+M160-V159,IF(A160&lt;'Données projet'!$A$36,$K$205^A160,IF(A160='Données projet'!$A$36,'Données projet'!$B$36,N159+M160-V159)))</f>
        <v>513.90400000000102</v>
      </c>
      <c r="O160" s="13">
        <f>N160*VLOOKUP('Données projet'!$B$9,Paramètres!$A$1:$I$89,3,0)*VLOOKUP('Données projet'!$B$9,Paramètres!$A$1:$I$89,5,0)</f>
        <v>521.09865600000103</v>
      </c>
      <c r="P160" s="13">
        <f t="shared" si="141"/>
        <v>115.93712735408282</v>
      </c>
      <c r="Q160" s="20">
        <f t="shared" si="162"/>
        <v>1109.5039893416961</v>
      </c>
      <c r="R160" s="59">
        <f t="shared" si="109"/>
        <v>1396.9626002682826</v>
      </c>
      <c r="S160" s="59">
        <f ca="1">AVERAGE(OFFSET($R$3,0,0,'Données projet'!$E$9+1,1))-AVERAGE(OFFSET($H$3,0,0,'Données projet'!$E$9+1,1))</f>
        <v>752.45542076695506</v>
      </c>
      <c r="T160" s="59">
        <f t="shared" si="142"/>
        <v>329.70629768420724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57.177572483835526</v>
      </c>
      <c r="AA160" s="21">
        <f>EXP(-LN(2)/25)*AA159+(1-EXP(-LN(2)/25))/(LN(2)/25)*Calculateur!V160*Calculateur!X160*VLOOKUP('Données projet'!$B$9,Paramètres!$A$1:$I$89,3,0)*0.475*44/12</f>
        <v>23.610682289991448</v>
      </c>
      <c r="AB160" s="21">
        <f>EXP(-LN(2)/2)*AB159+(1-EXP(-LN(2)/2))/(LN(2)/2)*V160*Y160*VLOOKUP('Données projet'!$B$9,Paramètres!$A$1:$I$89,3,0)*0.475*44/12</f>
        <v>6.1740419028045323E-5</v>
      </c>
      <c r="AC160" s="22">
        <f t="shared" si="163"/>
        <v>80.788316514246006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408.246209980743</v>
      </c>
      <c r="AO160" s="59">
        <f t="shared" si="144"/>
        <v>394.10236303013903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12.422402059833024</v>
      </c>
      <c r="AV160" s="21">
        <f>EXP(-LN(2)/25)*AV159+(1-EXP(-LN(2)/25))/(LN(2)/25)*Calculateur!AQ160*Calculateur!AS160*VLOOKUP('Données projet'!$B$10,Paramètres!$A$1:$I$89,3,0)*0.475*44/12</f>
        <v>6.664442394537649</v>
      </c>
      <c r="AW160" s="21">
        <f>EXP(-LN(2)/2)*AW159+(1-EXP(-LN(2)/2))/(LN(2)/2)*AQ160*AT160*VLOOKUP('Données projet'!$B$10,Paramètres!$A$1:$I$89,3,0)*0.475*44/12</f>
        <v>1.7631772538068952E-10</v>
      </c>
      <c r="AX160" s="21">
        <f t="shared" si="166"/>
        <v>19.086844454546991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9.4880000000000049</v>
      </c>
      <c r="BD160" s="12">
        <f>IF('Données projet'!$A$88&gt;35,BD159+BC160-BL159,IF(A160&lt;'Données projet'!$A$88,$BA$205^A160,IF(A160='Données projet'!$A$88,'Données projet'!$B$88,BD159+BC160-BL159)))</f>
        <v>513.90400000000102</v>
      </c>
      <c r="BE160" s="13">
        <f>BD160*VLOOKUP('Données projet'!$B$11,Paramètres!$A$1:$I$89,3,0)*VLOOKUP('Données projet'!$B$11,Paramètres!$A$1:$I$89,5,0)</f>
        <v>489.03104640000095</v>
      </c>
      <c r="BF160" s="13">
        <f t="shared" si="167"/>
        <v>109.60988842542025</v>
      </c>
      <c r="BG160" s="20">
        <f t="shared" si="168"/>
        <v>1042.6329614876088</v>
      </c>
      <c r="BH160" s="59">
        <f t="shared" si="116"/>
        <v>1330.0915724141953</v>
      </c>
      <c r="BI160" s="59">
        <f ca="1">AVERAGE(OFFSET($BH$3,0,0,'Données projet'!$E$11+1,1))-AVERAGE(OFFSET($H$3,0,0,'Données projet'!$E$11+1,1))</f>
        <v>711.91538686535682</v>
      </c>
      <c r="BJ160" s="59">
        <f t="shared" si="146"/>
        <v>313.24593837351722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53.658952638676411</v>
      </c>
      <c r="BQ160" s="21">
        <f>EXP(-LN(2)/25)*BQ159+(1-EXP(-LN(2)/25))/(LN(2)/25)*Calculateur!BL160*Calculateur!BN160*VLOOKUP('Données projet'!$B$11,Paramètres!$A$1:$I$89,3,0)*0.475*44/12</f>
        <v>22.157717225991959</v>
      </c>
      <c r="BR160" s="21">
        <f>EXP(-LN(2)/2)*BR159+(1-EXP(-LN(2)/2))/(LN(2)/2)*BL160*BO160*VLOOKUP('Données projet'!$B$11,Paramètres!$A$1:$I$89,3,0)*0.475*44/12</f>
        <v>5.7941008626319615E-5</v>
      </c>
      <c r="BS160" s="22">
        <f t="shared" si="169"/>
        <v>75.81672780567699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9.4880000000000049</v>
      </c>
      <c r="BY160" s="12">
        <f>IF('Données projet'!$A$114&gt;35,BY159+BX160-CG159,IF(A160&lt;'Données projet'!$A$114,$BV$205^A160,IF(A160='Données projet'!$A$114,'Données projet'!$B$114,BY159+BX160-CG159)))</f>
        <v>513.90400000000102</v>
      </c>
      <c r="BZ160" s="13">
        <f>BY160*VLOOKUP('Données projet'!$B$12,Paramètres!$A$1:$I$89,3,0)*VLOOKUP('Données projet'!$B$12,Paramètres!$A$1:$I$89,5,0)</f>
        <v>464.98033920000091</v>
      </c>
      <c r="CA160" s="13">
        <f t="shared" si="170"/>
        <v>104.83282002515982</v>
      </c>
      <c r="CB160" s="20">
        <f t="shared" si="171"/>
        <v>992.4245856504881</v>
      </c>
      <c r="CC160" s="59">
        <f t="shared" si="119"/>
        <v>1279.8831965770746</v>
      </c>
      <c r="CD160" s="59">
        <f ca="1">AVERAGE(OFFSET($CC$3,0,0,'Données projet'!$E$12+1,1))-AVERAGE(OFFSET($H$3,0,0,'Données projet'!$E$12+1,1))</f>
        <v>681.47578137804555</v>
      </c>
      <c r="CE160" s="59">
        <f t="shared" si="148"/>
        <v>300.88511065995885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51.019987754807069</v>
      </c>
      <c r="CL160" s="21">
        <f>EXP(-LN(2)/25)*CL159+(1-EXP(-LN(2)/25))/(LN(2)/25)*Calculateur!CG160*Calculateur!CI160*VLOOKUP('Données projet'!$B$12,Paramètres!$A$1:$I$89,3,0)*0.475*44/12</f>
        <v>21.067993427992363</v>
      </c>
      <c r="CM160" s="21">
        <f>EXP(-LN(2)/2)*CM159+(1-EXP(-LN(2)/2))/(LN(2)/2)*CG160*CJ160*VLOOKUP('Données projet'!$B$12,Paramètres!$A$1:$I$89,3,0)*0.475*44/12</f>
        <v>5.5091450825025096E-5</v>
      </c>
      <c r="CN160" s="22">
        <f t="shared" si="172"/>
        <v>72.088036274250257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-8.5265128291212022E-14</v>
      </c>
      <c r="CU160" s="17">
        <f>CT160*VLOOKUP('Données projet'!$B$13,Paramètres!$A$1:$I$89,3,0)*VLOOKUP('Données projet'!$B$13,Paramètres!$A$1:$I$89,5,0)</f>
        <v>-6.9167072069831198E-14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186.54446846714993</v>
      </c>
      <c r="CZ160" s="59">
        <f t="shared" si="150"/>
        <v>154.43773051601286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</v>
      </c>
      <c r="DG160" s="21">
        <f>EXP(-LN(2)/25)*DG159+(1-EXP(-LN(2)/25))/(LN(2)/25)*Calculateur!DB160*Calculateur!DD160*VLOOKUP('Données projet'!$B$13,Paramètres!$A$1:$I$89,3,0)*0.475*44/12</f>
        <v>2.5246441467125291</v>
      </c>
      <c r="DH160" s="21">
        <f>EXP(-LN(2)/2)*DH159+(1-EXP(-LN(2)/2))/(LN(2)/2)*DB160*DE160*VLOOKUP('Données projet'!$B$13,Paramètres!$A$1:$I$89,3,0)*0.475*44/12</f>
        <v>2.0616613681351223E-9</v>
      </c>
      <c r="DI160" s="22">
        <f t="shared" si="175"/>
        <v>2.5246441487741906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7.922666666666669</v>
      </c>
      <c r="DO160" s="12">
        <f>IF('Données projet'!$A$166&gt;35,DO159+DN160-DW159,IF(A160&lt;'Données projet'!$A$166,$DL$205^A160,IF(A160='Données projet'!$A$166,'Données projet'!$B$166,DO159+DN160-DW159)))</f>
        <v>410.2713333333333</v>
      </c>
      <c r="DP160" s="17">
        <f>DO160*VLOOKUP('Données projet'!$B$14,Paramètres!$A$1:$I$89,3,0)*VLOOKUP('Données projet'!$B$14,Paramètres!$A$1:$I$89,5,0)</f>
        <v>467.21699439999998</v>
      </c>
      <c r="DQ160" s="13">
        <f t="shared" si="176"/>
        <v>105.27826702905386</v>
      </c>
      <c r="DR160" s="20">
        <f t="shared" si="177"/>
        <v>997.09591365560209</v>
      </c>
      <c r="DS160" s="59">
        <f t="shared" si="125"/>
        <v>1284.5545245821886</v>
      </c>
      <c r="DT160" s="59">
        <f ca="1">AVERAGE(OFFSET($DS$3,0,0,'Données projet'!$E$14+1,1))-AVERAGE(OFFSET($H$3,0,0,'Données projet'!$E$14+1,1))</f>
        <v>651.35546372812314</v>
      </c>
      <c r="DU160" s="59">
        <f t="shared" si="152"/>
        <v>293.6561676213388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33.064573302724583</v>
      </c>
      <c r="EB160" s="21">
        <f>EXP(-LN(2)/25)*EB159+(1-EXP(-LN(2)/25))/(LN(2)/25)*Calculateur!DW160*Calculateur!DY160*VLOOKUP('Données projet'!$B$14,Paramètres!$A$1:$I$89,3,0)*0.475*44/12</f>
        <v>22.244808235694141</v>
      </c>
      <c r="EC160" s="21">
        <f>EXP(-LN(2)/2)*EC159+(1-EXP(-LN(2)/2))/(LN(2)/2)*DW160*DZ160*VLOOKUP('Données projet'!$B$14,Paramètres!$A$1:$I$89,3,0)*0.475*44/12</f>
        <v>0.440182696060753</v>
      </c>
      <c r="ED160" s="22">
        <f t="shared" si="178"/>
        <v>55.749564234479472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8.5265128291212022E-14</v>
      </c>
      <c r="EK160" s="17">
        <f>EJ160*VLOOKUP('Données projet'!$B$15,Paramètres!$A$1:$I$89,3,0)*VLOOKUP('Données projet'!$B$15,Paramètres!$A$1:$I$89,5,0)</f>
        <v>8.9119112089974823E-14</v>
      </c>
      <c r="EL160" s="13">
        <f t="shared" si="179"/>
        <v>1.3568952080113142E-12</v>
      </c>
      <c r="EM160" s="20">
        <f t="shared" si="180"/>
        <v>2.5184749408430782E-12</v>
      </c>
      <c r="EN160" s="59">
        <f t="shared" si="128"/>
        <v>287.45861092658907</v>
      </c>
      <c r="EO160" s="59">
        <f ca="1">AVERAGE(OFFSET($EN$3,0,0,'Données projet'!$E$15+1,1))-AVERAGE(OFFSET($H$3,0,0,'Données projet'!$E$15+1,1))</f>
        <v>290.69667785754848</v>
      </c>
      <c r="EP160" s="59">
        <f t="shared" si="154"/>
        <v>256.28124185489082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5.7564348514877164</v>
      </c>
      <c r="EW160" s="21">
        <f>EXP(-LN(2)/25)*EW159+(1-EXP(-LN(2)/25))/(LN(2)/25)*Calculateur!ER160*Calculateur!ET160*VLOOKUP('Données projet'!$B$15,Paramètres!$A$1:$I$89,3,0)*0.475*44/12</f>
        <v>9.35738012336693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15.113814974854646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9.4880000000000049</v>
      </c>
      <c r="N161" s="13">
        <f>IF('Données projet'!$A$36&gt;35,N160+M161-V160,IF(A161&lt;'Données projet'!$A$36,$K$205^A161,IF(A161='Données projet'!$A$36,'Données projet'!$B$36,N160+M161-V160)))</f>
        <v>523.39200000000108</v>
      </c>
      <c r="O161" s="13">
        <f>N161*VLOOKUP('Données projet'!$B$9,Paramètres!$A$1:$I$89,3,0)*VLOOKUP('Données projet'!$B$9,Paramètres!$A$1:$I$89,5,0)</f>
        <v>530.71948800000109</v>
      </c>
      <c r="P161" s="13">
        <f t="shared" si="141"/>
        <v>117.82645460602643</v>
      </c>
      <c r="Q161" s="20">
        <f t="shared" si="162"/>
        <v>1129.5508500388312</v>
      </c>
      <c r="R161" s="59">
        <f t="shared" si="109"/>
        <v>1417.1113742652633</v>
      </c>
      <c r="S161" s="59">
        <f ca="1">AVERAGE(OFFSET($R$3,0,0,'Données projet'!$E$9+1,1))-AVERAGE(OFFSET($H$3,0,0,'Données projet'!$E$9+1,1))</f>
        <v>752.45542076695506</v>
      </c>
      <c r="T161" s="59">
        <f t="shared" si="142"/>
        <v>329.70629768420724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56.05635516230312</v>
      </c>
      <c r="AA161" s="21">
        <f>EXP(-LN(2)/25)*AA160+(1-EXP(-LN(2)/25))/(LN(2)/25)*Calculateur!V161*Calculateur!X161*VLOOKUP('Données projet'!$B$9,Paramètres!$A$1:$I$89,3,0)*0.475*44/12</f>
        <v>22.965046941139814</v>
      </c>
      <c r="AB161" s="21">
        <f>EXP(-LN(2)/2)*AB160+(1-EXP(-LN(2)/2))/(LN(2)/2)*V161*Y161*VLOOKUP('Données projet'!$B$9,Paramètres!$A$1:$I$89,3,0)*0.475*44/12</f>
        <v>4.36570689680298E-5</v>
      </c>
      <c r="AC161" s="22">
        <f t="shared" si="163"/>
        <v>79.021445760511909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408.246209980743</v>
      </c>
      <c r="AO161" s="59">
        <f t="shared" si="144"/>
        <v>394.10236303013903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12.178806332356796</v>
      </c>
      <c r="AV161" s="21">
        <f>EXP(-LN(2)/25)*AV160+(1-EXP(-LN(2)/25))/(LN(2)/25)*Calculateur!AQ161*Calculateur!AS161*VLOOKUP('Données projet'!$B$10,Paramètres!$A$1:$I$89,3,0)*0.475*44/12</f>
        <v>6.4822028667912228</v>
      </c>
      <c r="AW161" s="21">
        <f>EXP(-LN(2)/2)*AW160+(1-EXP(-LN(2)/2))/(LN(2)/2)*AQ161*AT161*VLOOKUP('Données projet'!$B$10,Paramètres!$A$1:$I$89,3,0)*0.475*44/12</f>
        <v>1.24675459260073E-10</v>
      </c>
      <c r="AX161" s="21">
        <f t="shared" si="166"/>
        <v>18.661009199272694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9.4880000000000049</v>
      </c>
      <c r="BD161" s="12">
        <f>IF('Données projet'!$A$88&gt;35,BD160+BC161-BL160,IF(A161&lt;'Données projet'!$A$88,$BA$205^A161,IF(A161='Données projet'!$A$88,'Données projet'!$B$88,BD160+BC161-BL160)))</f>
        <v>523.39200000000108</v>
      </c>
      <c r="BE161" s="13">
        <f>BD161*VLOOKUP('Données projet'!$B$11,Paramètres!$A$1:$I$89,3,0)*VLOOKUP('Données projet'!$B$11,Paramètres!$A$1:$I$89,5,0)</f>
        <v>498.05982720000105</v>
      </c>
      <c r="BF161" s="13">
        <f t="shared" si="167"/>
        <v>111.39610612815991</v>
      </c>
      <c r="BG161" s="20">
        <f t="shared" si="168"/>
        <v>1061.4690838798804</v>
      </c>
      <c r="BH161" s="59">
        <f t="shared" si="116"/>
        <v>1349.0296081063125</v>
      </c>
      <c r="BI161" s="59">
        <f ca="1">AVERAGE(OFFSET($BH$3,0,0,'Données projet'!$E$11+1,1))-AVERAGE(OFFSET($H$3,0,0,'Données projet'!$E$11+1,1))</f>
        <v>711.91538686535682</v>
      </c>
      <c r="BJ161" s="59">
        <f t="shared" si="146"/>
        <v>313.24593837351722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52.606733306161381</v>
      </c>
      <c r="BQ161" s="21">
        <f>EXP(-LN(2)/25)*BQ160+(1-EXP(-LN(2)/25))/(LN(2)/25)*Calculateur!BL161*Calculateur!BN161*VLOOKUP('Données projet'!$B$11,Paramètres!$A$1:$I$89,3,0)*0.475*44/12</f>
        <v>21.551813283223503</v>
      </c>
      <c r="BR161" s="21">
        <f>EXP(-LN(2)/2)*BR160+(1-EXP(-LN(2)/2))/(LN(2)/2)*BL161*BO161*VLOOKUP('Données projet'!$B$11,Paramètres!$A$1:$I$89,3,0)*0.475*44/12</f>
        <v>4.0970480108458851E-5</v>
      </c>
      <c r="BS161" s="22">
        <f t="shared" si="169"/>
        <v>74.158587559864998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9.4880000000000049</v>
      </c>
      <c r="BY161" s="12">
        <f>IF('Données projet'!$A$114&gt;35,BY160+BX161-CG160,IF(A161&lt;'Données projet'!$A$114,$BV$205^A161,IF(A161='Données projet'!$A$114,'Données projet'!$B$114,BY160+BX161-CG160)))</f>
        <v>523.39200000000108</v>
      </c>
      <c r="BZ161" s="13">
        <f>BY161*VLOOKUP('Données projet'!$B$12,Paramètres!$A$1:$I$89,3,0)*VLOOKUP('Données projet'!$B$12,Paramètres!$A$1:$I$89,5,0)</f>
        <v>473.56508160000089</v>
      </c>
      <c r="CA161" s="13">
        <f t="shared" si="170"/>
        <v>106.54118996921356</v>
      </c>
      <c r="CB161" s="20">
        <f t="shared" si="171"/>
        <v>1010.3517563163817</v>
      </c>
      <c r="CC161" s="59">
        <f t="shared" si="119"/>
        <v>1297.9122805428137</v>
      </c>
      <c r="CD161" s="59">
        <f ca="1">AVERAGE(OFFSET($CC$3,0,0,'Données projet'!$E$12+1,1))-AVERAGE(OFFSET($H$3,0,0,'Données projet'!$E$12+1,1))</f>
        <v>681.47578137804555</v>
      </c>
      <c r="CE161" s="59">
        <f t="shared" si="148"/>
        <v>300.88511065995885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50.019516914055075</v>
      </c>
      <c r="CL161" s="21">
        <f>EXP(-LN(2)/25)*CL160+(1-EXP(-LN(2)/25))/(LN(2)/25)*Calculateur!CG161*Calculateur!CI161*VLOOKUP('Données projet'!$B$12,Paramètres!$A$1:$I$89,3,0)*0.475*44/12</f>
        <v>20.491888039786289</v>
      </c>
      <c r="CM161" s="21">
        <f>EXP(-LN(2)/2)*CM160+(1-EXP(-LN(2)/2))/(LN(2)/2)*CG161*CJ161*VLOOKUP('Données projet'!$B$12,Paramètres!$A$1:$I$89,3,0)*0.475*44/12</f>
        <v>3.8955538463780463E-5</v>
      </c>
      <c r="CN161" s="22">
        <f t="shared" si="172"/>
        <v>70.511443909379821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-8.5265128291212022E-14</v>
      </c>
      <c r="CU161" s="17">
        <f>CT161*VLOOKUP('Données projet'!$B$13,Paramètres!$A$1:$I$89,3,0)*VLOOKUP('Données projet'!$B$13,Paramètres!$A$1:$I$89,5,0)</f>
        <v>-6.9167072069831198E-14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186.54446846714993</v>
      </c>
      <c r="CZ161" s="59">
        <f t="shared" si="150"/>
        <v>154.43773051601286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</v>
      </c>
      <c r="DG161" s="21">
        <f>EXP(-LN(2)/25)*DG160+(1-EXP(-LN(2)/25))/(LN(2)/25)*Calculateur!DB161*Calculateur!DD161*VLOOKUP('Données projet'!$B$13,Paramètres!$A$1:$I$89,3,0)*0.475*44/12</f>
        <v>2.4556076197554093</v>
      </c>
      <c r="DH161" s="21">
        <f>EXP(-LN(2)/2)*DH160+(1-EXP(-LN(2)/2))/(LN(2)/2)*DB161*DE161*VLOOKUP('Données projet'!$B$13,Paramètres!$A$1:$I$89,3,0)*0.475*44/12</f>
        <v>1.4578147339186802E-9</v>
      </c>
      <c r="DI161" s="22">
        <f t="shared" si="175"/>
        <v>2.4556076212132241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7.922666666666669</v>
      </c>
      <c r="DO161" s="12">
        <f>IF('Données projet'!$A$166&gt;35,DO160+DN161-DW160,IF(A161&lt;'Données projet'!$A$166,$DL$205^A161,IF(A161='Données projet'!$A$166,'Données projet'!$B$166,DO160+DN161-DW160)))</f>
        <v>418.19399999999996</v>
      </c>
      <c r="DP161" s="17">
        <f>DO161*VLOOKUP('Données projet'!$B$14,Paramètres!$A$1:$I$89,3,0)*VLOOKUP('Données projet'!$B$14,Paramètres!$A$1:$I$89,5,0)</f>
        <v>476.23932719999999</v>
      </c>
      <c r="DQ161" s="13">
        <f t="shared" si="176"/>
        <v>107.07262772978959</v>
      </c>
      <c r="DR161" s="20">
        <f t="shared" si="177"/>
        <v>1015.9349881693835</v>
      </c>
      <c r="DS161" s="59">
        <f t="shared" si="125"/>
        <v>1303.4955123958155</v>
      </c>
      <c r="DT161" s="59">
        <f ca="1">AVERAGE(OFFSET($DS$3,0,0,'Données projet'!$E$14+1,1))-AVERAGE(OFFSET($H$3,0,0,'Données projet'!$E$14+1,1))</f>
        <v>651.35546372812314</v>
      </c>
      <c r="DU161" s="59">
        <f t="shared" si="152"/>
        <v>293.6561676213388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32.4161971876565</v>
      </c>
      <c r="EB161" s="21">
        <f>EXP(-LN(2)/25)*EB160+(1-EXP(-LN(2)/25))/(LN(2)/25)*Calculateur!DW161*Calculateur!DY161*VLOOKUP('Données projet'!$B$14,Paramètres!$A$1:$I$89,3,0)*0.475*44/12</f>
        <v>21.636522784685461</v>
      </c>
      <c r="EC161" s="21">
        <f>EXP(-LN(2)/2)*EC160+(1-EXP(-LN(2)/2))/(LN(2)/2)*DW161*DZ161*VLOOKUP('Données projet'!$B$14,Paramètres!$A$1:$I$89,3,0)*0.475*44/12</f>
        <v>0.31125616934553546</v>
      </c>
      <c r="ED161" s="22">
        <f t="shared" si="178"/>
        <v>54.363976141687495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8.5265128291212022E-14</v>
      </c>
      <c r="EK161" s="17">
        <f>EJ161*VLOOKUP('Données projet'!$B$15,Paramètres!$A$1:$I$89,3,0)*VLOOKUP('Données projet'!$B$15,Paramètres!$A$1:$I$89,5,0)</f>
        <v>8.9119112089974823E-14</v>
      </c>
      <c r="EL161" s="13">
        <f t="shared" si="179"/>
        <v>1.3568952080113142E-12</v>
      </c>
      <c r="EM161" s="20">
        <f t="shared" si="180"/>
        <v>2.5184749408430782E-12</v>
      </c>
      <c r="EN161" s="59">
        <f t="shared" si="128"/>
        <v>287.5605242264345</v>
      </c>
      <c r="EO161" s="59">
        <f ca="1">AVERAGE(OFFSET($EN$3,0,0,'Données projet'!$E$15+1,1))-AVERAGE(OFFSET($H$3,0,0,'Données projet'!$E$15+1,1))</f>
        <v>290.69667785754848</v>
      </c>
      <c r="EP161" s="59">
        <f t="shared" si="154"/>
        <v>256.28124185489082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5.6435546751286116</v>
      </c>
      <c r="EW161" s="21">
        <f>EXP(-LN(2)/25)*EW160+(1-EXP(-LN(2)/25))/(LN(2)/25)*Calculateur!ER161*Calculateur!ET161*VLOOKUP('Données projet'!$B$15,Paramètres!$A$1:$I$89,3,0)*0.475*44/12</f>
        <v>9.1015020718102271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14.74505674693884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9.4880000000000049</v>
      </c>
      <c r="N162" s="13">
        <f>IF('Données projet'!$A$36&gt;35,N161+M162-V161,IF(A162&lt;'Données projet'!$A$36,$K$205^A162,IF(A162='Données projet'!$A$36,'Données projet'!$B$36,N161+M162-V161)))</f>
        <v>532.88000000000113</v>
      </c>
      <c r="O162" s="13">
        <f>N162*VLOOKUP('Données projet'!$B$9,Paramètres!$A$1:$I$89,3,0)*VLOOKUP('Données projet'!$B$9,Paramètres!$A$1:$I$89,5,0)</f>
        <v>540.34032000000116</v>
      </c>
      <c r="P162" s="13">
        <f t="shared" si="141"/>
        <v>119.71179918365929</v>
      </c>
      <c r="Q162" s="20">
        <f t="shared" si="162"/>
        <v>1149.5907742448753</v>
      </c>
      <c r="R162" s="59">
        <f t="shared" si="109"/>
        <v>1437.2514438032442</v>
      </c>
      <c r="S162" s="59">
        <f ca="1">AVERAGE(OFFSET($R$3,0,0,'Données projet'!$E$9+1,1))-AVERAGE(OFFSET($H$3,0,0,'Données projet'!$E$9+1,1))</f>
        <v>752.45542076695506</v>
      </c>
      <c r="T162" s="59">
        <f t="shared" si="142"/>
        <v>329.70629768420724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54.957124228570926</v>
      </c>
      <c r="AA162" s="21">
        <f>EXP(-LN(2)/25)*AA161+(1-EXP(-LN(2)/25))/(LN(2)/25)*Calculateur!V162*Calculateur!X162*VLOOKUP('Données projet'!$B$9,Paramètres!$A$1:$I$89,3,0)*0.475*44/12</f>
        <v>22.337066524855015</v>
      </c>
      <c r="AB162" s="21">
        <f>EXP(-LN(2)/2)*AB161+(1-EXP(-LN(2)/2))/(LN(2)/2)*V162*Y162*VLOOKUP('Données projet'!$B$9,Paramètres!$A$1:$I$89,3,0)*0.475*44/12</f>
        <v>3.0870209514022662E-5</v>
      </c>
      <c r="AC162" s="22">
        <f t="shared" si="163"/>
        <v>77.294221623635451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408.246209980743</v>
      </c>
      <c r="AO162" s="59">
        <f t="shared" si="144"/>
        <v>394.10236303013903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11.939987368517654</v>
      </c>
      <c r="AV162" s="21">
        <f>EXP(-LN(2)/25)*AV161+(1-EXP(-LN(2)/25))/(LN(2)/25)*Calculateur!AQ162*Calculateur!AS162*VLOOKUP('Données projet'!$B$10,Paramètres!$A$1:$I$89,3,0)*0.475*44/12</f>
        <v>6.3049466885145833</v>
      </c>
      <c r="AW162" s="21">
        <f>EXP(-LN(2)/2)*AW161+(1-EXP(-LN(2)/2))/(LN(2)/2)*AQ162*AT162*VLOOKUP('Données projet'!$B$10,Paramètres!$A$1:$I$89,3,0)*0.475*44/12</f>
        <v>8.8158862690344762E-11</v>
      </c>
      <c r="AX162" s="21">
        <f t="shared" si="166"/>
        <v>18.2449340571204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9.4880000000000049</v>
      </c>
      <c r="BD162" s="12">
        <f>IF('Données projet'!$A$88&gt;35,BD161+BC162-BL161,IF(A162&lt;'Données projet'!$A$88,$BA$205^A162,IF(A162='Données projet'!$A$88,'Données projet'!$B$88,BD161+BC162-BL161)))</f>
        <v>532.88000000000113</v>
      </c>
      <c r="BE162" s="13">
        <f>BD162*VLOOKUP('Données projet'!$B$11,Paramètres!$A$1:$I$89,3,0)*VLOOKUP('Données projet'!$B$11,Paramètres!$A$1:$I$89,5,0)</f>
        <v>507.0886080000011</v>
      </c>
      <c r="BF162" s="13">
        <f t="shared" si="167"/>
        <v>113.17855851001575</v>
      </c>
      <c r="BG162" s="20">
        <f t="shared" si="168"/>
        <v>1080.2986483382792</v>
      </c>
      <c r="BH162" s="59">
        <f t="shared" si="116"/>
        <v>1367.9593178966481</v>
      </c>
      <c r="BI162" s="59">
        <f ca="1">AVERAGE(OFFSET($BH$3,0,0,'Données projet'!$E$11+1,1))-AVERAGE(OFFSET($H$3,0,0,'Données projet'!$E$11+1,1))</f>
        <v>711.91538686535682</v>
      </c>
      <c r="BJ162" s="59">
        <f t="shared" si="146"/>
        <v>313.24593837351722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51.575147352966553</v>
      </c>
      <c r="BQ162" s="21">
        <f>EXP(-LN(2)/25)*BQ161+(1-EXP(-LN(2)/25))/(LN(2)/25)*Calculateur!BL162*Calculateur!BN162*VLOOKUP('Données projet'!$B$11,Paramètres!$A$1:$I$89,3,0)*0.475*44/12</f>
        <v>20.962477815633154</v>
      </c>
      <c r="BR162" s="21">
        <f>EXP(-LN(2)/2)*BR161+(1-EXP(-LN(2)/2))/(LN(2)/2)*BL162*BO162*VLOOKUP('Données projet'!$B$11,Paramètres!$A$1:$I$89,3,0)*0.475*44/12</f>
        <v>2.8970504313159811E-5</v>
      </c>
      <c r="BS162" s="22">
        <f t="shared" si="169"/>
        <v>72.537654139104021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9.4880000000000049</v>
      </c>
      <c r="BY162" s="12">
        <f>IF('Données projet'!$A$114&gt;35,BY161+BX162-CG161,IF(A162&lt;'Données projet'!$A$114,$BV$205^A162,IF(A162='Données projet'!$A$114,'Données projet'!$B$114,BY161+BX162-CG161)))</f>
        <v>532.88000000000113</v>
      </c>
      <c r="BZ162" s="13">
        <f>BY162*VLOOKUP('Données projet'!$B$12,Paramètres!$A$1:$I$89,3,0)*VLOOKUP('Données projet'!$B$12,Paramètres!$A$1:$I$89,5,0)</f>
        <v>482.14982400000099</v>
      </c>
      <c r="CA162" s="13">
        <f t="shared" si="170"/>
        <v>108.24595869432409</v>
      </c>
      <c r="CB162" s="20">
        <f t="shared" si="171"/>
        <v>1028.272654859283</v>
      </c>
      <c r="CC162" s="59">
        <f t="shared" si="119"/>
        <v>1315.9333244176519</v>
      </c>
      <c r="CD162" s="59">
        <f ca="1">AVERAGE(OFFSET($CC$3,0,0,'Données projet'!$E$12+1,1))-AVERAGE(OFFSET($H$3,0,0,'Données projet'!$E$12+1,1))</f>
        <v>681.47578137804555</v>
      </c>
      <c r="CE162" s="59">
        <f t="shared" si="148"/>
        <v>300.88511065995885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49.038664696263268</v>
      </c>
      <c r="CL162" s="21">
        <f>EXP(-LN(2)/25)*CL161+(1-EXP(-LN(2)/25))/(LN(2)/25)*Calculateur!CG162*Calculateur!CI162*VLOOKUP('Données projet'!$B$12,Paramètres!$A$1:$I$89,3,0)*0.475*44/12</f>
        <v>19.931536283716778</v>
      </c>
      <c r="CM162" s="21">
        <f>EXP(-LN(2)/2)*CM161+(1-EXP(-LN(2)/2))/(LN(2)/2)*CG162*CJ162*VLOOKUP('Données projet'!$B$12,Paramètres!$A$1:$I$89,3,0)*0.475*44/12</f>
        <v>2.7545725412512548E-5</v>
      </c>
      <c r="CN162" s="22">
        <f t="shared" si="172"/>
        <v>68.970228525705465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-8.5265128291212022E-14</v>
      </c>
      <c r="CU162" s="17">
        <f>CT162*VLOOKUP('Données projet'!$B$13,Paramètres!$A$1:$I$89,3,0)*VLOOKUP('Données projet'!$B$13,Paramètres!$A$1:$I$89,5,0)</f>
        <v>-6.9167072069831198E-14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186.54446846714993</v>
      </c>
      <c r="CZ162" s="59">
        <f t="shared" si="150"/>
        <v>154.43773051601286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</v>
      </c>
      <c r="DG162" s="21">
        <f>EXP(-LN(2)/25)*DG161+(1-EXP(-LN(2)/25))/(LN(2)/25)*Calculateur!DB162*Calculateur!DD162*VLOOKUP('Données projet'!$B$13,Paramètres!$A$1:$I$89,3,0)*0.475*44/12</f>
        <v>2.3884589002584051</v>
      </c>
      <c r="DH162" s="21">
        <f>EXP(-LN(2)/2)*DH161+(1-EXP(-LN(2)/2))/(LN(2)/2)*DB162*DE162*VLOOKUP('Données projet'!$B$13,Paramètres!$A$1:$I$89,3,0)*0.475*44/12</f>
        <v>1.0308306840675612E-9</v>
      </c>
      <c r="DI162" s="22">
        <f t="shared" si="175"/>
        <v>2.3884589012892357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7.922666666666669</v>
      </c>
      <c r="DO162" s="12">
        <f>IF('Données projet'!$A$166&gt;35,DO161+DN162-DW161,IF(A162&lt;'Données projet'!$A$166,$DL$205^A162,IF(A162='Données projet'!$A$166,'Données projet'!$B$166,DO161+DN162-DW161)))</f>
        <v>426.11666666666662</v>
      </c>
      <c r="DP162" s="17">
        <f>DO162*VLOOKUP('Données projet'!$B$14,Paramètres!$A$1:$I$89,3,0)*VLOOKUP('Données projet'!$B$14,Paramètres!$A$1:$I$89,5,0)</f>
        <v>485.26165999999995</v>
      </c>
      <c r="DQ162" s="13">
        <f t="shared" si="176"/>
        <v>108.86303562893053</v>
      </c>
      <c r="DR162" s="20">
        <f t="shared" si="177"/>
        <v>1034.767178220387</v>
      </c>
      <c r="DS162" s="59">
        <f t="shared" si="125"/>
        <v>1322.4278477787559</v>
      </c>
      <c r="DT162" s="59">
        <f ca="1">AVERAGE(OFFSET($DS$3,0,0,'Données projet'!$E$14+1,1))-AVERAGE(OFFSET($H$3,0,0,'Données projet'!$E$14+1,1))</f>
        <v>651.35546372812314</v>
      </c>
      <c r="DU162" s="59">
        <f t="shared" si="152"/>
        <v>293.6561676213388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31.780535332734527</v>
      </c>
      <c r="EB162" s="21">
        <f>EXP(-LN(2)/25)*EB161+(1-EXP(-LN(2)/25))/(LN(2)/25)*Calculateur!DW162*Calculateur!DY162*VLOOKUP('Données projet'!$B$14,Paramètres!$A$1:$I$89,3,0)*0.475*44/12</f>
        <v>21.044870931322954</v>
      </c>
      <c r="EC162" s="21">
        <f>EXP(-LN(2)/2)*EC161+(1-EXP(-LN(2)/2))/(LN(2)/2)*DW162*DZ162*VLOOKUP('Données projet'!$B$14,Paramètres!$A$1:$I$89,3,0)*0.475*44/12</f>
        <v>0.22009134803037653</v>
      </c>
      <c r="ED162" s="22">
        <f t="shared" si="178"/>
        <v>53.045497612087857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8.5265128291212022E-14</v>
      </c>
      <c r="EK162" s="17">
        <f>EJ162*VLOOKUP('Données projet'!$B$15,Paramètres!$A$1:$I$89,3,0)*VLOOKUP('Données projet'!$B$15,Paramètres!$A$1:$I$89,5,0)</f>
        <v>8.9119112089974823E-14</v>
      </c>
      <c r="EL162" s="13">
        <f t="shared" si="179"/>
        <v>1.3568952080113142E-12</v>
      </c>
      <c r="EM162" s="20">
        <f t="shared" si="180"/>
        <v>2.5184749408430782E-12</v>
      </c>
      <c r="EN162" s="59">
        <f t="shared" si="128"/>
        <v>287.66066955837147</v>
      </c>
      <c r="EO162" s="59">
        <f ca="1">AVERAGE(OFFSET($EN$3,0,0,'Données projet'!$E$15+1,1))-AVERAGE(OFFSET($H$3,0,0,'Données projet'!$E$15+1,1))</f>
        <v>290.69667785754848</v>
      </c>
      <c r="EP162" s="59">
        <f t="shared" si="154"/>
        <v>256.28124185489082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5.5328880101777997</v>
      </c>
      <c r="EW162" s="21">
        <f>EXP(-LN(2)/25)*EW161+(1-EXP(-LN(2)/25))/(LN(2)/25)*Calculateur!ER162*Calculateur!ET162*VLOOKUP('Données projet'!$B$15,Paramètres!$A$1:$I$89,3,0)*0.475*44/12</f>
        <v>8.8526210190293835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14.385509029207183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9.4880000000000049</v>
      </c>
      <c r="N163" s="13">
        <f>IF('Données projet'!$A$36&gt;35,N162+M163-V162,IF(A163&lt;'Données projet'!$A$36,$K$205^A163,IF(A163='Données projet'!$A$36,'Données projet'!$B$36,N162+M163-V162)))</f>
        <v>542.36800000000119</v>
      </c>
      <c r="O163" s="13">
        <f>N163*VLOOKUP('Données projet'!$B$9,Paramètres!$A$1:$I$89,3,0)*VLOOKUP('Données projet'!$B$9,Paramètres!$A$1:$I$89,5,0)</f>
        <v>549.96115200000122</v>
      </c>
      <c r="P163" s="13">
        <f t="shared" si="141"/>
        <v>121.59324017964097</v>
      </c>
      <c r="Q163" s="20">
        <f t="shared" si="162"/>
        <v>1169.6238997128767</v>
      </c>
      <c r="R163" s="59">
        <f t="shared" si="109"/>
        <v>1457.382977305565</v>
      </c>
      <c r="S163" s="59">
        <f ca="1">AVERAGE(OFFSET($R$3,0,0,'Données projet'!$E$9+1,1))-AVERAGE(OFFSET($H$3,0,0,'Données projet'!$E$9+1,1))</f>
        <v>752.45542076695506</v>
      </c>
      <c r="T163" s="59">
        <f t="shared" si="142"/>
        <v>329.70629768420724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53.879448542984555</v>
      </c>
      <c r="AA163" s="21">
        <f>EXP(-LN(2)/25)*AA162+(1-EXP(-LN(2)/25))/(LN(2)/25)*Calculateur!V163*Calculateur!X163*VLOOKUP('Données projet'!$B$9,Paramètres!$A$1:$I$89,3,0)*0.475*44/12</f>
        <v>21.726258266077579</v>
      </c>
      <c r="AB163" s="21">
        <f>EXP(-LN(2)/2)*AB162+(1-EXP(-LN(2)/2))/(LN(2)/2)*V163*Y163*VLOOKUP('Données projet'!$B$9,Paramètres!$A$1:$I$89,3,0)*0.475*44/12</f>
        <v>2.18285344840149E-5</v>
      </c>
      <c r="AC163" s="22">
        <f t="shared" si="163"/>
        <v>75.605728637596613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408.246209980743</v>
      </c>
      <c r="AO163" s="59">
        <f t="shared" si="144"/>
        <v>394.10236303013903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11.705851498894214</v>
      </c>
      <c r="AV163" s="21">
        <f>EXP(-LN(2)/25)*AV162+(1-EXP(-LN(2)/25))/(LN(2)/25)*Calculateur!AQ163*Calculateur!AS163*VLOOKUP('Données projet'!$B$10,Paramètres!$A$1:$I$89,3,0)*0.475*44/12</f>
        <v>6.1325375897544161</v>
      </c>
      <c r="AW163" s="21">
        <f>EXP(-LN(2)/2)*AW162+(1-EXP(-LN(2)/2))/(LN(2)/2)*AQ163*AT163*VLOOKUP('Données projet'!$B$10,Paramètres!$A$1:$I$89,3,0)*0.475*44/12</f>
        <v>6.2337729630036501E-11</v>
      </c>
      <c r="AX163" s="21">
        <f t="shared" si="166"/>
        <v>17.838389088710969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9.4880000000000049</v>
      </c>
      <c r="BD163" s="12">
        <f>IF('Données projet'!$A$88&gt;35,BD162+BC163-BL162,IF(A163&lt;'Données projet'!$A$88,$BA$205^A163,IF(A163='Données projet'!$A$88,'Données projet'!$B$88,BD162+BC163-BL162)))</f>
        <v>542.36800000000119</v>
      </c>
      <c r="BE163" s="13">
        <f>BD163*VLOOKUP('Données projet'!$B$11,Paramètres!$A$1:$I$89,3,0)*VLOOKUP('Données projet'!$B$11,Paramètres!$A$1:$I$89,5,0)</f>
        <v>516.11738880000109</v>
      </c>
      <c r="BF163" s="13">
        <f t="shared" si="167"/>
        <v>114.95732034718567</v>
      </c>
      <c r="BG163" s="20">
        <f t="shared" si="168"/>
        <v>1099.121785098017</v>
      </c>
      <c r="BH163" s="59">
        <f t="shared" si="116"/>
        <v>1386.8808626907053</v>
      </c>
      <c r="BI163" s="59">
        <f ca="1">AVERAGE(OFFSET($BH$3,0,0,'Données projet'!$E$11+1,1))-AVERAGE(OFFSET($H$3,0,0,'Données projet'!$E$11+1,1))</f>
        <v>711.91538686535682</v>
      </c>
      <c r="BJ163" s="59">
        <f t="shared" si="146"/>
        <v>313.24593837351722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50.563790171108572</v>
      </c>
      <c r="BQ163" s="21">
        <f>EXP(-LN(2)/25)*BQ162+(1-EXP(-LN(2)/25))/(LN(2)/25)*Calculateur!BL163*Calculateur!BN163*VLOOKUP('Données projet'!$B$11,Paramètres!$A$1:$I$89,3,0)*0.475*44/12</f>
        <v>20.389257757395868</v>
      </c>
      <c r="BR163" s="21">
        <f>EXP(-LN(2)/2)*BR162+(1-EXP(-LN(2)/2))/(LN(2)/2)*BL163*BO163*VLOOKUP('Données projet'!$B$11,Paramètres!$A$1:$I$89,3,0)*0.475*44/12</f>
        <v>2.0485240054229429E-5</v>
      </c>
      <c r="BS163" s="22">
        <f t="shared" si="169"/>
        <v>70.953068413744504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9.4880000000000049</v>
      </c>
      <c r="BY163" s="12">
        <f>IF('Données projet'!$A$114&gt;35,BY162+BX163-CG162,IF(A163&lt;'Données projet'!$A$114,$BV$205^A163,IF(A163='Données projet'!$A$114,'Données projet'!$B$114,BY162+BX163-CG162)))</f>
        <v>542.36800000000119</v>
      </c>
      <c r="BZ163" s="13">
        <f>BY163*VLOOKUP('Données projet'!$B$12,Paramètres!$A$1:$I$89,3,0)*VLOOKUP('Données projet'!$B$12,Paramètres!$A$1:$I$89,5,0)</f>
        <v>490.73456640000109</v>
      </c>
      <c r="CA163" s="13">
        <f t="shared" si="170"/>
        <v>109.94719771775897</v>
      </c>
      <c r="CB163" s="20">
        <f t="shared" si="171"/>
        <v>1046.1874058384321</v>
      </c>
      <c r="CC163" s="59">
        <f t="shared" si="119"/>
        <v>1333.9464834311204</v>
      </c>
      <c r="CD163" s="59">
        <f ca="1">AVERAGE(OFFSET($CC$3,0,0,'Données projet'!$E$12+1,1))-AVERAGE(OFFSET($H$3,0,0,'Données projet'!$E$12+1,1))</f>
        <v>681.47578137804555</v>
      </c>
      <c r="CE163" s="59">
        <f t="shared" si="148"/>
        <v>300.88511065995885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48.077046392201581</v>
      </c>
      <c r="CL163" s="21">
        <f>EXP(-LN(2)/25)*CL162+(1-EXP(-LN(2)/25))/(LN(2)/25)*Calculateur!CG163*Calculateur!CI163*VLOOKUP('Données projet'!$B$12,Paramètres!$A$1:$I$89,3,0)*0.475*44/12</f>
        <v>19.386507375884602</v>
      </c>
      <c r="CM163" s="21">
        <f>EXP(-LN(2)/2)*CM162+(1-EXP(-LN(2)/2))/(LN(2)/2)*CG163*CJ163*VLOOKUP('Données projet'!$B$12,Paramètres!$A$1:$I$89,3,0)*0.475*44/12</f>
        <v>1.9477769231890232E-5</v>
      </c>
      <c r="CN163" s="22">
        <f t="shared" si="172"/>
        <v>67.463573245855414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-8.5265128291212022E-14</v>
      </c>
      <c r="CU163" s="17">
        <f>CT163*VLOOKUP('Données projet'!$B$13,Paramètres!$A$1:$I$89,3,0)*VLOOKUP('Données projet'!$B$13,Paramètres!$A$1:$I$89,5,0)</f>
        <v>-6.9167072069831198E-14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186.54446846714993</v>
      </c>
      <c r="CZ163" s="59">
        <f t="shared" si="150"/>
        <v>154.43773051601286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</v>
      </c>
      <c r="DG163" s="21">
        <f>EXP(-LN(2)/25)*DG162+(1-EXP(-LN(2)/25))/(LN(2)/25)*Calculateur!DB163*Calculateur!DD163*VLOOKUP('Données projet'!$B$13,Paramètres!$A$1:$I$89,3,0)*0.475*44/12</f>
        <v>2.3231463660272444</v>
      </c>
      <c r="DH163" s="21">
        <f>EXP(-LN(2)/2)*DH162+(1-EXP(-LN(2)/2))/(LN(2)/2)*DB163*DE163*VLOOKUP('Données projet'!$B$13,Paramètres!$A$1:$I$89,3,0)*0.475*44/12</f>
        <v>7.289073669593401E-10</v>
      </c>
      <c r="DI163" s="22">
        <f t="shared" si="175"/>
        <v>2.3231463667561516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7.922666666666669</v>
      </c>
      <c r="DO163" s="12">
        <f>IF('Données projet'!$A$166&gt;35,DO162+DN163-DW162,IF(A163&lt;'Données projet'!$A$166,$DL$205^A163,IF(A163='Données projet'!$A$166,'Données projet'!$B$166,DO162+DN163-DW162)))</f>
        <v>434.03933333333327</v>
      </c>
      <c r="DP163" s="17">
        <f>DO163*VLOOKUP('Données projet'!$B$14,Paramètres!$A$1:$I$89,3,0)*VLOOKUP('Données projet'!$B$14,Paramètres!$A$1:$I$89,5,0)</f>
        <v>494.28399279999996</v>
      </c>
      <c r="DQ163" s="13">
        <f t="shared" si="176"/>
        <v>110.64957269522709</v>
      </c>
      <c r="DR163" s="20">
        <f t="shared" si="177"/>
        <v>1053.5926265708538</v>
      </c>
      <c r="DS163" s="59">
        <f t="shared" si="125"/>
        <v>1341.3517041635421</v>
      </c>
      <c r="DT163" s="59">
        <f ca="1">AVERAGE(OFFSET($DS$3,0,0,'Données projet'!$E$14+1,1))-AVERAGE(OFFSET($H$3,0,0,'Données projet'!$E$14+1,1))</f>
        <v>651.35546372812314</v>
      </c>
      <c r="DU163" s="59">
        <f t="shared" si="152"/>
        <v>293.6561676213388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31.157338419072122</v>
      </c>
      <c r="EB163" s="21">
        <f>EXP(-LN(2)/25)*EB162+(1-EXP(-LN(2)/25))/(LN(2)/25)*Calculateur!DW163*Calculateur!DY163*VLOOKUP('Données projet'!$B$14,Paramètres!$A$1:$I$89,3,0)*0.475*44/12</f>
        <v>20.469397829004265</v>
      </c>
      <c r="EC163" s="21">
        <f>EXP(-LN(2)/2)*EC162+(1-EXP(-LN(2)/2))/(LN(2)/2)*DW163*DZ163*VLOOKUP('Données projet'!$B$14,Paramètres!$A$1:$I$89,3,0)*0.475*44/12</f>
        <v>0.15562808467276773</v>
      </c>
      <c r="ED163" s="22">
        <f t="shared" si="178"/>
        <v>51.782364332749154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8.5265128291212022E-14</v>
      </c>
      <c r="EK163" s="17">
        <f>EJ163*VLOOKUP('Données projet'!$B$15,Paramètres!$A$1:$I$89,3,0)*VLOOKUP('Données projet'!$B$15,Paramètres!$A$1:$I$89,5,0)</f>
        <v>8.9119112089974823E-14</v>
      </c>
      <c r="EL163" s="13">
        <f t="shared" si="179"/>
        <v>1.3568952080113142E-12</v>
      </c>
      <c r="EM163" s="20">
        <f t="shared" si="180"/>
        <v>2.5184749408430782E-12</v>
      </c>
      <c r="EN163" s="59">
        <f t="shared" si="128"/>
        <v>287.75907759269086</v>
      </c>
      <c r="EO163" s="59">
        <f ca="1">AVERAGE(OFFSET($EN$3,0,0,'Données projet'!$E$15+1,1))-AVERAGE(OFFSET($H$3,0,0,'Données projet'!$E$15+1,1))</f>
        <v>290.69667785754848</v>
      </c>
      <c r="EP163" s="59">
        <f t="shared" si="154"/>
        <v>256.28124185489082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5.4243914510266729</v>
      </c>
      <c r="EW163" s="21">
        <f>EXP(-LN(2)/25)*EW162+(1-EXP(-LN(2)/25))/(LN(2)/25)*Calculateur!ER163*Calculateur!ET163*VLOOKUP('Données projet'!$B$15,Paramètres!$A$1:$I$89,3,0)*0.475*44/12</f>
        <v>8.6105456317249178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14.03493708275159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9.4880000000000049</v>
      </c>
      <c r="N164" s="13">
        <f>IF('Données projet'!$A$36&gt;35,N163+M164-V163,IF(A164&lt;'Données projet'!$A$36,$K$205^A164,IF(A164='Données projet'!$A$36,'Données projet'!$B$36,N163+M164-V163)))</f>
        <v>551.85600000000125</v>
      </c>
      <c r="O164" s="13">
        <f>N164*VLOOKUP('Données projet'!$B$9,Paramètres!$A$1:$I$89,3,0)*VLOOKUP('Données projet'!$B$9,Paramètres!$A$1:$I$89,5,0)</f>
        <v>559.58198400000128</v>
      </c>
      <c r="P164" s="13">
        <f t="shared" si="141"/>
        <v>123.47085376087081</v>
      </c>
      <c r="Q164" s="20">
        <f t="shared" si="162"/>
        <v>1189.6503591001856</v>
      </c>
      <c r="R164" s="59">
        <f t="shared" si="109"/>
        <v>1477.5061375678054</v>
      </c>
      <c r="S164" s="59">
        <f ca="1">AVERAGE(OFFSET($R$3,0,0,'Données projet'!$E$9+1,1))-AVERAGE(OFFSET($H$3,0,0,'Données projet'!$E$9+1,1))</f>
        <v>752.45542076695506</v>
      </c>
      <c r="T164" s="59">
        <f t="shared" si="142"/>
        <v>329.70629768420724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52.822905420275269</v>
      </c>
      <c r="AA164" s="21">
        <f>EXP(-LN(2)/25)*AA163+(1-EXP(-LN(2)/25))/(LN(2)/25)*Calculateur!V164*Calculateur!X164*VLOOKUP('Données projet'!$B$9,Paramètres!$A$1:$I$89,3,0)*0.475*44/12</f>
        <v>21.132152591257423</v>
      </c>
      <c r="AB164" s="21">
        <f>EXP(-LN(2)/2)*AB163+(1-EXP(-LN(2)/2))/(LN(2)/2)*V164*Y164*VLOOKUP('Données projet'!$B$9,Paramètres!$A$1:$I$89,3,0)*0.475*44/12</f>
        <v>1.5435104757011331E-5</v>
      </c>
      <c r="AC164" s="22">
        <f t="shared" si="163"/>
        <v>73.955073446637442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408.246209980743</v>
      </c>
      <c r="AO164" s="59">
        <f t="shared" si="144"/>
        <v>394.10236303013903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11.47630689086531</v>
      </c>
      <c r="AV164" s="21">
        <f>EXP(-LN(2)/25)*AV163+(1-EXP(-LN(2)/25))/(LN(2)/25)*Calculateur!AQ164*Calculateur!AS164*VLOOKUP('Données projet'!$B$10,Paramètres!$A$1:$I$89,3,0)*0.475*44/12</f>
        <v>5.9648430268664461</v>
      </c>
      <c r="AW164" s="21">
        <f>EXP(-LN(2)/2)*AW163+(1-EXP(-LN(2)/2))/(LN(2)/2)*AQ164*AT164*VLOOKUP('Données projet'!$B$10,Paramètres!$A$1:$I$89,3,0)*0.475*44/12</f>
        <v>4.4079431345172381E-11</v>
      </c>
      <c r="AX164" s="21">
        <f t="shared" si="166"/>
        <v>17.441149917775835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9.4880000000000049</v>
      </c>
      <c r="BD164" s="12">
        <f>IF('Données projet'!$A$88&gt;35,BD163+BC164-BL163,IF(A164&lt;'Données projet'!$A$88,$BA$205^A164,IF(A164='Données projet'!$A$88,'Données projet'!$B$88,BD163+BC164-BL163)))</f>
        <v>551.85600000000125</v>
      </c>
      <c r="BE164" s="13">
        <f>BD164*VLOOKUP('Données projet'!$B$11,Paramètres!$A$1:$I$89,3,0)*VLOOKUP('Données projet'!$B$11,Paramètres!$A$1:$I$89,5,0)</f>
        <v>525.14616960000114</v>
      </c>
      <c r="BF164" s="13">
        <f t="shared" si="167"/>
        <v>116.73246364978037</v>
      </c>
      <c r="BG164" s="20">
        <f t="shared" si="168"/>
        <v>1117.9386195767026</v>
      </c>
      <c r="BH164" s="59">
        <f t="shared" si="116"/>
        <v>1405.7943980443224</v>
      </c>
      <c r="BI164" s="59">
        <f ca="1">AVERAGE(OFFSET($BH$3,0,0,'Données projet'!$E$11+1,1))-AVERAGE(OFFSET($H$3,0,0,'Données projet'!$E$11+1,1))</f>
        <v>711.91538686535682</v>
      </c>
      <c r="BJ164" s="59">
        <f t="shared" si="146"/>
        <v>313.24593837351722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49.572265086719852</v>
      </c>
      <c r="BQ164" s="21">
        <f>EXP(-LN(2)/25)*BQ163+(1-EXP(-LN(2)/25))/(LN(2)/25)*Calculateur!BL164*Calculateur!BN164*VLOOKUP('Données projet'!$B$11,Paramètres!$A$1:$I$89,3,0)*0.475*44/12</f>
        <v>19.831712431795413</v>
      </c>
      <c r="BR164" s="21">
        <f>EXP(-LN(2)/2)*BR163+(1-EXP(-LN(2)/2))/(LN(2)/2)*BL164*BO164*VLOOKUP('Données projet'!$B$11,Paramètres!$A$1:$I$89,3,0)*0.475*44/12</f>
        <v>1.4485252156579909E-5</v>
      </c>
      <c r="BS164" s="22">
        <f t="shared" si="169"/>
        <v>69.403992003767414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9.4880000000000049</v>
      </c>
      <c r="BY164" s="12">
        <f>IF('Données projet'!$A$114&gt;35,BY163+BX164-CG163,IF(A164&lt;'Données projet'!$A$114,$BV$205^A164,IF(A164='Données projet'!$A$114,'Données projet'!$B$114,BY163+BX164-CG163)))</f>
        <v>551.85600000000125</v>
      </c>
      <c r="BZ164" s="13">
        <f>BY164*VLOOKUP('Données projet'!$B$12,Paramètres!$A$1:$I$89,3,0)*VLOOKUP('Données projet'!$B$12,Paramètres!$A$1:$I$89,5,0)</f>
        <v>499.31930880000107</v>
      </c>
      <c r="CA164" s="13">
        <f t="shared" si="170"/>
        <v>111.64497591125094</v>
      </c>
      <c r="CB164" s="20">
        <f t="shared" si="171"/>
        <v>1064.0961292054305</v>
      </c>
      <c r="CC164" s="59">
        <f t="shared" si="119"/>
        <v>1351.9519076730503</v>
      </c>
      <c r="CD164" s="59">
        <f ca="1">AVERAGE(OFFSET($CC$3,0,0,'Données projet'!$E$12+1,1))-AVERAGE(OFFSET($H$3,0,0,'Données projet'!$E$12+1,1))</f>
        <v>681.47578137804555</v>
      </c>
      <c r="CE164" s="59">
        <f t="shared" si="148"/>
        <v>300.88511065995885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47.134284836553292</v>
      </c>
      <c r="CL164" s="21">
        <f>EXP(-LN(2)/25)*CL163+(1-EXP(-LN(2)/25))/(LN(2)/25)*Calculateur!CG164*Calculateur!CI164*VLOOKUP('Données projet'!$B$12,Paramètres!$A$1:$I$89,3,0)*0.475*44/12</f>
        <v>18.856382312198924</v>
      </c>
      <c r="CM164" s="21">
        <f>EXP(-LN(2)/2)*CM163+(1-EXP(-LN(2)/2))/(LN(2)/2)*CG164*CJ164*VLOOKUP('Données projet'!$B$12,Paramètres!$A$1:$I$89,3,0)*0.475*44/12</f>
        <v>1.3772862706256274E-5</v>
      </c>
      <c r="CN164" s="22">
        <f t="shared" si="172"/>
        <v>65.99068092161491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-8.5265128291212022E-14</v>
      </c>
      <c r="CU164" s="17">
        <f>CT164*VLOOKUP('Données projet'!$B$13,Paramètres!$A$1:$I$89,3,0)*VLOOKUP('Données projet'!$B$13,Paramètres!$A$1:$I$89,5,0)</f>
        <v>-6.9167072069831198E-14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186.54446846714993</v>
      </c>
      <c r="CZ164" s="59">
        <f t="shared" si="150"/>
        <v>154.43773051601286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</v>
      </c>
      <c r="DG164" s="21">
        <f>EXP(-LN(2)/25)*DG163+(1-EXP(-LN(2)/25))/(LN(2)/25)*Calculateur!DB164*Calculateur!DD164*VLOOKUP('Données projet'!$B$13,Paramètres!$A$1:$I$89,3,0)*0.475*44/12</f>
        <v>2.2596198064792716</v>
      </c>
      <c r="DH164" s="21">
        <f>EXP(-LN(2)/2)*DH163+(1-EXP(-LN(2)/2))/(LN(2)/2)*DB164*DE164*VLOOKUP('Données projet'!$B$13,Paramètres!$A$1:$I$89,3,0)*0.475*44/12</f>
        <v>5.1541534203378058E-10</v>
      </c>
      <c r="DI164" s="22">
        <f t="shared" si="175"/>
        <v>2.2596198069946869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7.922666666666669</v>
      </c>
      <c r="DO164" s="12">
        <f>IF('Données projet'!$A$166&gt;35,DO163+DN164-DW163,IF(A164&lt;'Données projet'!$A$166,$DL$205^A164,IF(A164='Données projet'!$A$166,'Données projet'!$B$166,DO163+DN164-DW163)))</f>
        <v>441.96199999999993</v>
      </c>
      <c r="DP164" s="17">
        <f>DO164*VLOOKUP('Données projet'!$B$14,Paramètres!$A$1:$I$89,3,0)*VLOOKUP('Données projet'!$B$14,Paramètres!$A$1:$I$89,5,0)</f>
        <v>503.30632559999987</v>
      </c>
      <c r="DQ164" s="13">
        <f t="shared" si="176"/>
        <v>112.43231773370026</v>
      </c>
      <c r="DR164" s="20">
        <f t="shared" si="177"/>
        <v>1072.4114704728611</v>
      </c>
      <c r="DS164" s="59">
        <f t="shared" si="125"/>
        <v>1360.2672489404808</v>
      </c>
      <c r="DT164" s="59">
        <f ca="1">AVERAGE(OFFSET($DS$3,0,0,'Données projet'!$E$14+1,1))-AVERAGE(OFFSET($H$3,0,0,'Données projet'!$E$14+1,1))</f>
        <v>651.35546372812314</v>
      </c>
      <c r="DU164" s="59">
        <f t="shared" si="152"/>
        <v>293.6561676213388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30.546362016774054</v>
      </c>
      <c r="EB164" s="21">
        <f>EXP(-LN(2)/25)*EB163+(1-EXP(-LN(2)/25))/(LN(2)/25)*Calculateur!DW164*Calculateur!DY164*VLOOKUP('Données projet'!$B$14,Paramètres!$A$1:$I$89,3,0)*0.475*44/12</f>
        <v>19.909661068931296</v>
      </c>
      <c r="EC164" s="21">
        <f>EXP(-LN(2)/2)*EC163+(1-EXP(-LN(2)/2))/(LN(2)/2)*DW164*DZ164*VLOOKUP('Données projet'!$B$14,Paramètres!$A$1:$I$89,3,0)*0.475*44/12</f>
        <v>0.11004567401518826</v>
      </c>
      <c r="ED164" s="22">
        <f t="shared" si="178"/>
        <v>50.566068759720544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8.5265128291212022E-14</v>
      </c>
      <c r="EK164" s="17">
        <f>EJ164*VLOOKUP('Données projet'!$B$15,Paramètres!$A$1:$I$89,3,0)*VLOOKUP('Données projet'!$B$15,Paramètres!$A$1:$I$89,5,0)</f>
        <v>8.9119112089974823E-14</v>
      </c>
      <c r="EL164" s="13">
        <f t="shared" si="179"/>
        <v>1.3568952080113142E-12</v>
      </c>
      <c r="EM164" s="20">
        <f t="shared" si="180"/>
        <v>2.5184749408430782E-12</v>
      </c>
      <c r="EN164" s="59">
        <f t="shared" si="128"/>
        <v>287.8557784676222</v>
      </c>
      <c r="EO164" s="59">
        <f ca="1">AVERAGE(OFFSET($EN$3,0,0,'Données projet'!$E$15+1,1))-AVERAGE(OFFSET($H$3,0,0,'Données projet'!$E$15+1,1))</f>
        <v>290.69667785754848</v>
      </c>
      <c r="EP164" s="59">
        <f t="shared" si="154"/>
        <v>256.28124185489082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5.318022443224133</v>
      </c>
      <c r="EW164" s="21">
        <f>EXP(-LN(2)/25)*EW163+(1-EXP(-LN(2)/25))/(LN(2)/25)*Calculateur!ER164*Calculateur!ET164*VLOOKUP('Données projet'!$B$15,Paramètres!$A$1:$I$89,3,0)*0.475*44/12</f>
        <v>8.3750898086164849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13.693112251840617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9.4880000000000049</v>
      </c>
      <c r="N165" s="13">
        <f>IF('Données projet'!$A$36&gt;35,N164+M165-V164,IF(A165&lt;'Données projet'!$A$36,$K$205^A165,IF(A165='Données projet'!$A$36,'Données projet'!$B$36,N164+M165-V164)))</f>
        <v>561.3440000000013</v>
      </c>
      <c r="O165" s="13">
        <f>N165*VLOOKUP('Données projet'!$B$9,Paramètres!$A$1:$I$89,3,0)*VLOOKUP('Données projet'!$B$9,Paramètres!$A$1:$I$89,5,0)</f>
        <v>569.20281600000135</v>
      </c>
      <c r="P165" s="13">
        <f t="shared" si="141"/>
        <v>125.34471332512402</v>
      </c>
      <c r="Q165" s="20">
        <f t="shared" si="162"/>
        <v>1209.6702802412601</v>
      </c>
      <c r="R165" s="59">
        <f t="shared" si="109"/>
        <v>1497.6210820398219</v>
      </c>
      <c r="S165" s="59">
        <f ca="1">AVERAGE(OFFSET($R$3,0,0,'Données projet'!$E$9+1,1))-AVERAGE(OFFSET($H$3,0,0,'Données projet'!$E$9+1,1))</f>
        <v>752.45542076695506</v>
      </c>
      <c r="T165" s="59">
        <f t="shared" si="142"/>
        <v>329.70629768420724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51.787080463774636</v>
      </c>
      <c r="AA165" s="21">
        <f>EXP(-LN(2)/25)*AA164+(1-EXP(-LN(2)/25))/(LN(2)/25)*Calculateur!V165*Calculateur!X165*VLOOKUP('Données projet'!$B$9,Paramètres!$A$1:$I$89,3,0)*0.475*44/12</f>
        <v>20.554292767357882</v>
      </c>
      <c r="AB165" s="21">
        <f>EXP(-LN(2)/2)*AB164+(1-EXP(-LN(2)/2))/(LN(2)/2)*V165*Y165*VLOOKUP('Données projet'!$B$9,Paramètres!$A$1:$I$89,3,0)*0.475*44/12</f>
        <v>1.091426724200745E-5</v>
      </c>
      <c r="AC165" s="22">
        <f t="shared" si="163"/>
        <v>72.341384145399758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408.246209980743</v>
      </c>
      <c r="AO165" s="59">
        <f t="shared" si="144"/>
        <v>394.10236303013903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11.251263512591466</v>
      </c>
      <c r="AV165" s="21">
        <f>EXP(-LN(2)/25)*AV164+(1-EXP(-LN(2)/25))/(LN(2)/25)*Calculateur!AQ165*Calculateur!AS165*VLOOKUP('Données projet'!$B$10,Paramètres!$A$1:$I$89,3,0)*0.475*44/12</f>
        <v>5.8017340806193207</v>
      </c>
      <c r="AW165" s="21">
        <f>EXP(-LN(2)/2)*AW164+(1-EXP(-LN(2)/2))/(LN(2)/2)*AQ165*AT165*VLOOKUP('Données projet'!$B$10,Paramètres!$A$1:$I$89,3,0)*0.475*44/12</f>
        <v>3.116886481501825E-11</v>
      </c>
      <c r="AX165" s="21">
        <f t="shared" si="166"/>
        <v>17.052997593241955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9.4880000000000049</v>
      </c>
      <c r="BD165" s="12">
        <f>IF('Données projet'!$A$88&gt;35,BD164+BC165-BL164,IF(A165&lt;'Données projet'!$A$88,$BA$205^A165,IF(A165='Données projet'!$A$88,'Données projet'!$B$88,BD164+BC165-BL164)))</f>
        <v>561.3440000000013</v>
      </c>
      <c r="BE165" s="13">
        <f>BD165*VLOOKUP('Données projet'!$B$11,Paramètres!$A$1:$I$89,3,0)*VLOOKUP('Données projet'!$B$11,Paramètres!$A$1:$I$89,5,0)</f>
        <v>534.17495040000119</v>
      </c>
      <c r="BF165" s="13">
        <f t="shared" si="167"/>
        <v>118.50405780990992</v>
      </c>
      <c r="BG165" s="20">
        <f t="shared" si="168"/>
        <v>1136.7492726322619</v>
      </c>
      <c r="BH165" s="59">
        <f t="shared" si="116"/>
        <v>1424.7000744308236</v>
      </c>
      <c r="BI165" s="59">
        <f ca="1">AVERAGE(OFFSET($BH$3,0,0,'Données projet'!$E$11+1,1))-AVERAGE(OFFSET($H$3,0,0,'Données projet'!$E$11+1,1))</f>
        <v>711.91538686535682</v>
      </c>
      <c r="BJ165" s="59">
        <f t="shared" si="146"/>
        <v>313.24593837351722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48.600183204465409</v>
      </c>
      <c r="BQ165" s="21">
        <f>EXP(-LN(2)/25)*BQ164+(1-EXP(-LN(2)/25))/(LN(2)/25)*Calculateur!BL165*Calculateur!BN165*VLOOKUP('Données projet'!$B$11,Paramètres!$A$1:$I$89,3,0)*0.475*44/12</f>
        <v>19.289413212443538</v>
      </c>
      <c r="BR165" s="21">
        <f>EXP(-LN(2)/2)*BR164+(1-EXP(-LN(2)/2))/(LN(2)/2)*BL165*BO165*VLOOKUP('Données projet'!$B$11,Paramètres!$A$1:$I$89,3,0)*0.475*44/12</f>
        <v>1.0242620027114716E-5</v>
      </c>
      <c r="BS165" s="22">
        <f t="shared" si="169"/>
        <v>67.889606659528965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9.4880000000000049</v>
      </c>
      <c r="BY165" s="12">
        <f>IF('Données projet'!$A$114&gt;35,BY164+BX165-CG164,IF(A165&lt;'Données projet'!$A$114,$BV$205^A165,IF(A165='Données projet'!$A$114,'Données projet'!$B$114,BY164+BX165-CG164)))</f>
        <v>561.3440000000013</v>
      </c>
      <c r="BZ165" s="13">
        <f>BY165*VLOOKUP('Données projet'!$B$12,Paramètres!$A$1:$I$89,3,0)*VLOOKUP('Données projet'!$B$12,Paramètres!$A$1:$I$89,5,0)</f>
        <v>507.90405120000116</v>
      </c>
      <c r="CA165" s="13">
        <f t="shared" si="170"/>
        <v>113.33935964263163</v>
      </c>
      <c r="CB165" s="20">
        <f t="shared" si="171"/>
        <v>1081.9989405509189</v>
      </c>
      <c r="CC165" s="59">
        <f t="shared" si="119"/>
        <v>1369.9497423494806</v>
      </c>
      <c r="CD165" s="59">
        <f ca="1">AVERAGE(OFFSET($CC$3,0,0,'Données projet'!$E$12+1,1))-AVERAGE(OFFSET($H$3,0,0,'Données projet'!$E$12+1,1))</f>
        <v>681.47578137804555</v>
      </c>
      <c r="CE165" s="59">
        <f t="shared" si="148"/>
        <v>300.88511065995885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46.210010259983498</v>
      </c>
      <c r="CL165" s="21">
        <f>EXP(-LN(2)/25)*CL164+(1-EXP(-LN(2)/25))/(LN(2)/25)*Calculateur!CG165*Calculateur!CI165*VLOOKUP('Données projet'!$B$12,Paramètres!$A$1:$I$89,3,0)*0.475*44/12</f>
        <v>18.340753546257798</v>
      </c>
      <c r="CM165" s="21">
        <f>EXP(-LN(2)/2)*CM164+(1-EXP(-LN(2)/2))/(LN(2)/2)*CG165*CJ165*VLOOKUP('Données projet'!$B$12,Paramètres!$A$1:$I$89,3,0)*0.475*44/12</f>
        <v>9.7388846159451158E-6</v>
      </c>
      <c r="CN165" s="22">
        <f t="shared" si="172"/>
        <v>64.550773545125907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-8.5265128291212022E-14</v>
      </c>
      <c r="CU165" s="17">
        <f>CT165*VLOOKUP('Données projet'!$B$13,Paramètres!$A$1:$I$89,3,0)*VLOOKUP('Données projet'!$B$13,Paramètres!$A$1:$I$89,5,0)</f>
        <v>-6.9167072069831198E-14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186.54446846714993</v>
      </c>
      <c r="CZ165" s="59">
        <f t="shared" si="150"/>
        <v>154.43773051601286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</v>
      </c>
      <c r="DG165" s="21">
        <f>EXP(-LN(2)/25)*DG164+(1-EXP(-LN(2)/25))/(LN(2)/25)*Calculateur!DB165*Calculateur!DD165*VLOOKUP('Données projet'!$B$13,Paramètres!$A$1:$I$89,3,0)*0.475*44/12</f>
        <v>2.1978303840428546</v>
      </c>
      <c r="DH165" s="21">
        <f>EXP(-LN(2)/2)*DH164+(1-EXP(-LN(2)/2))/(LN(2)/2)*DB165*DE165*VLOOKUP('Données projet'!$B$13,Paramètres!$A$1:$I$89,3,0)*0.475*44/12</f>
        <v>3.6445368347967005E-10</v>
      </c>
      <c r="DI165" s="22">
        <f t="shared" si="175"/>
        <v>2.1978303844073084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7.922666666666669</v>
      </c>
      <c r="DO165" s="12">
        <f>IF('Données projet'!$A$166&gt;35,DO164+DN165-DW164,IF(A165&lt;'Données projet'!$A$166,$DL$205^A165,IF(A165='Données projet'!$A$166,'Données projet'!$B$166,DO164+DN165-DW164)))</f>
        <v>449.88466666666659</v>
      </c>
      <c r="DP165" s="17">
        <f>DO165*VLOOKUP('Données projet'!$B$14,Paramètres!$A$1:$I$89,3,0)*VLOOKUP('Données projet'!$B$14,Paramètres!$A$1:$I$89,5,0)</f>
        <v>512.32865839999988</v>
      </c>
      <c r="DQ165" s="13">
        <f t="shared" si="176"/>
        <v>114.2113465622372</v>
      </c>
      <c r="DR165" s="20">
        <f t="shared" si="177"/>
        <v>1091.2238419758962</v>
      </c>
      <c r="DS165" s="59">
        <f t="shared" si="125"/>
        <v>1379.174643774458</v>
      </c>
      <c r="DT165" s="59">
        <f ca="1">AVERAGE(OFFSET($DS$3,0,0,'Données projet'!$E$14+1,1))-AVERAGE(OFFSET($H$3,0,0,'Données projet'!$E$14+1,1))</f>
        <v>651.35546372812314</v>
      </c>
      <c r="DU165" s="59">
        <f t="shared" si="152"/>
        <v>293.6561676213388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29.947366489066244</v>
      </c>
      <c r="EB165" s="21">
        <f>EXP(-LN(2)/25)*EB164+(1-EXP(-LN(2)/25))/(LN(2)/25)*Calculateur!DW165*Calculateur!DY165*VLOOKUP('Données projet'!$B$14,Paramètres!$A$1:$I$89,3,0)*0.475*44/12</f>
        <v>19.365230339997797</v>
      </c>
      <c r="EC165" s="21">
        <f>EXP(-LN(2)/2)*EC164+(1-EXP(-LN(2)/2))/(LN(2)/2)*DW165*DZ165*VLOOKUP('Données projet'!$B$14,Paramètres!$A$1:$I$89,3,0)*0.475*44/12</f>
        <v>7.7814042336383865E-2</v>
      </c>
      <c r="ED165" s="22">
        <f t="shared" si="178"/>
        <v>49.390410871400427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8.5265128291212022E-14</v>
      </c>
      <c r="EK165" s="17">
        <f>EJ165*VLOOKUP('Données projet'!$B$15,Paramètres!$A$1:$I$89,3,0)*VLOOKUP('Données projet'!$B$15,Paramètres!$A$1:$I$89,5,0)</f>
        <v>8.9119112089974823E-14</v>
      </c>
      <c r="EL165" s="13">
        <f t="shared" si="179"/>
        <v>1.3568952080113142E-12</v>
      </c>
      <c r="EM165" s="20">
        <f t="shared" si="180"/>
        <v>2.5184749408430782E-12</v>
      </c>
      <c r="EN165" s="59">
        <f t="shared" si="128"/>
        <v>287.95080179856421</v>
      </c>
      <c r="EO165" s="59">
        <f ca="1">AVERAGE(OFFSET($EN$3,0,0,'Données projet'!$E$15+1,1))-AVERAGE(OFFSET($H$3,0,0,'Données projet'!$E$15+1,1))</f>
        <v>290.69667785754848</v>
      </c>
      <c r="EP165" s="59">
        <f t="shared" si="154"/>
        <v>256.28124185489082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5.2137392667859119</v>
      </c>
      <c r="EW165" s="21">
        <f>EXP(-LN(2)/25)*EW164+(1-EXP(-LN(2)/25))/(LN(2)/25)*Calculateur!ER165*Calculateur!ET165*VLOOKUP('Données projet'!$B$15,Paramètres!$A$1:$I$89,3,0)*0.475*44/12</f>
        <v>8.1460725373730352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13.359811804158948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9.4880000000000049</v>
      </c>
      <c r="N166" s="13">
        <f>IF('Données projet'!$A$36&gt;35,N165+M166-V165,IF(A166&lt;'Données projet'!$A$36,$K$205^A166,IF(A166='Données projet'!$A$36,'Données projet'!$B$36,N165+M166-V165)))</f>
        <v>570.83200000000136</v>
      </c>
      <c r="O166" s="13">
        <f>N166*VLOOKUP('Données projet'!$B$9,Paramètres!$A$1:$I$89,3,0)*VLOOKUP('Données projet'!$B$9,Paramètres!$A$1:$I$89,5,0)</f>
        <v>578.82364800000141</v>
      </c>
      <c r="P166" s="13">
        <f t="shared" si="141"/>
        <v>127.21488964679713</v>
      </c>
      <c r="Q166" s="20">
        <f t="shared" si="162"/>
        <v>1229.6837864015072</v>
      </c>
      <c r="R166" s="59">
        <f t="shared" si="109"/>
        <v>1517.7279630886594</v>
      </c>
      <c r="S166" s="59">
        <f ca="1">AVERAGE(OFFSET($R$3,0,0,'Données projet'!$E$9+1,1))-AVERAGE(OFFSET($H$3,0,0,'Données projet'!$E$9+1,1))</f>
        <v>752.45542076695506</v>
      </c>
      <c r="T166" s="59">
        <f t="shared" si="142"/>
        <v>329.70629768420724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50.771567402880144</v>
      </c>
      <c r="AA166" s="21">
        <f>EXP(-LN(2)/25)*AA165+(1-EXP(-LN(2)/25))/(LN(2)/25)*Calculateur!V166*Calculateur!X166*VLOOKUP('Données projet'!$B$9,Paramètres!$A$1:$I$89,3,0)*0.475*44/12</f>
        <v>19.992234550731201</v>
      </c>
      <c r="AB166" s="21">
        <f>EXP(-LN(2)/2)*AB165+(1-EXP(-LN(2)/2))/(LN(2)/2)*V166*Y166*VLOOKUP('Données projet'!$B$9,Paramètres!$A$1:$I$89,3,0)*0.475*44/12</f>
        <v>7.7175523785056654E-6</v>
      </c>
      <c r="AC166" s="22">
        <f t="shared" si="163"/>
        <v>70.763809671163727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408.246209980743</v>
      </c>
      <c r="AO166" s="59">
        <f t="shared" si="144"/>
        <v>394.10236303013903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11.030633097702665</v>
      </c>
      <c r="AV166" s="21">
        <f>EXP(-LN(2)/25)*AV165+(1-EXP(-LN(2)/25))/(LN(2)/25)*Calculateur!AQ166*Calculateur!AS166*VLOOKUP('Données projet'!$B$10,Paramètres!$A$1:$I$89,3,0)*0.475*44/12</f>
        <v>5.6430853570848498</v>
      </c>
      <c r="AW166" s="21">
        <f>EXP(-LN(2)/2)*AW165+(1-EXP(-LN(2)/2))/(LN(2)/2)*AQ166*AT166*VLOOKUP('Données projet'!$B$10,Paramètres!$A$1:$I$89,3,0)*0.475*44/12</f>
        <v>2.203971567258619E-11</v>
      </c>
      <c r="AX166" s="21">
        <f t="shared" si="166"/>
        <v>16.673718454809556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9.4880000000000049</v>
      </c>
      <c r="BD166" s="12">
        <f>IF('Données projet'!$A$88&gt;35,BD165+BC166-BL165,IF(A166&lt;'Données projet'!$A$88,$BA$205^A166,IF(A166='Données projet'!$A$88,'Données projet'!$B$88,BD165+BC166-BL165)))</f>
        <v>570.83200000000136</v>
      </c>
      <c r="BE166" s="13">
        <f>BD166*VLOOKUP('Données projet'!$B$11,Paramètres!$A$1:$I$89,3,0)*VLOOKUP('Données projet'!$B$11,Paramètres!$A$1:$I$89,5,0)</f>
        <v>543.20373120000136</v>
      </c>
      <c r="BF166" s="13">
        <f t="shared" si="167"/>
        <v>120.27216973947687</v>
      </c>
      <c r="BG166" s="20">
        <f t="shared" si="168"/>
        <v>1155.5538608029244</v>
      </c>
      <c r="BH166" s="59">
        <f t="shared" si="116"/>
        <v>1443.5980374900766</v>
      </c>
      <c r="BI166" s="59">
        <f ca="1">AVERAGE(OFFSET($BH$3,0,0,'Données projet'!$E$11+1,1))-AVERAGE(OFFSET($H$3,0,0,'Données projet'!$E$11+1,1))</f>
        <v>711.91538686535682</v>
      </c>
      <c r="BJ166" s="59">
        <f t="shared" si="146"/>
        <v>313.24593837351722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47.647163255010575</v>
      </c>
      <c r="BQ166" s="21">
        <f>EXP(-LN(2)/25)*BQ165+(1-EXP(-LN(2)/25))/(LN(2)/25)*Calculateur!BL166*Calculateur!BN166*VLOOKUP('Données projet'!$B$11,Paramètres!$A$1:$I$89,3,0)*0.475*44/12</f>
        <v>18.761943193763116</v>
      </c>
      <c r="BR166" s="21">
        <f>EXP(-LN(2)/2)*BR165+(1-EXP(-LN(2)/2))/(LN(2)/2)*BL166*BO166*VLOOKUP('Données projet'!$B$11,Paramètres!$A$1:$I$89,3,0)*0.475*44/12</f>
        <v>7.2426260782899553E-6</v>
      </c>
      <c r="BS166" s="22">
        <f t="shared" si="169"/>
        <v>66.409113691399767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9.4880000000000049</v>
      </c>
      <c r="BY166" s="12">
        <f>IF('Données projet'!$A$114&gt;35,BY165+BX166-CG165,IF(A166&lt;'Données projet'!$A$114,$BV$205^A166,IF(A166='Données projet'!$A$114,'Données projet'!$B$114,BY165+BX166-CG165)))</f>
        <v>570.83200000000136</v>
      </c>
      <c r="BZ166" s="13">
        <f>BY166*VLOOKUP('Données projet'!$B$12,Paramètres!$A$1:$I$89,3,0)*VLOOKUP('Données projet'!$B$12,Paramètres!$A$1:$I$89,5,0)</f>
        <v>516.48879360000115</v>
      </c>
      <c r="CA166" s="13">
        <f t="shared" si="170"/>
        <v>115.03041290761819</v>
      </c>
      <c r="CB166" s="20">
        <f t="shared" si="171"/>
        <v>1099.8959513341035</v>
      </c>
      <c r="CC166" s="59">
        <f t="shared" si="119"/>
        <v>1387.9401280212558</v>
      </c>
      <c r="CD166" s="59">
        <f ca="1">AVERAGE(OFFSET($CC$3,0,0,'Données projet'!$E$12+1,1))-AVERAGE(OFFSET($H$3,0,0,'Données projet'!$E$12+1,1))</f>
        <v>681.47578137804555</v>
      </c>
      <c r="CE166" s="59">
        <f t="shared" si="148"/>
        <v>300.88511065995885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45.303860144108413</v>
      </c>
      <c r="CL166" s="21">
        <f>EXP(-LN(2)/25)*CL165+(1-EXP(-LN(2)/25))/(LN(2)/25)*Calculateur!CG166*Calculateur!CI166*VLOOKUP('Données projet'!$B$12,Paramètres!$A$1:$I$89,3,0)*0.475*44/12</f>
        <v>17.839224676037066</v>
      </c>
      <c r="CM166" s="21">
        <f>EXP(-LN(2)/2)*CM165+(1-EXP(-LN(2)/2))/(LN(2)/2)*CG166*CJ166*VLOOKUP('Données projet'!$B$12,Paramètres!$A$1:$I$89,3,0)*0.475*44/12</f>
        <v>6.886431353128137E-6</v>
      </c>
      <c r="CN166" s="22">
        <f t="shared" si="172"/>
        <v>63.143091706576826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-8.5265128291212022E-14</v>
      </c>
      <c r="CU166" s="17">
        <f>CT166*VLOOKUP('Données projet'!$B$13,Paramètres!$A$1:$I$89,3,0)*VLOOKUP('Données projet'!$B$13,Paramètres!$A$1:$I$89,5,0)</f>
        <v>-6.9167072069831198E-14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186.54446846714993</v>
      </c>
      <c r="CZ166" s="59">
        <f t="shared" si="150"/>
        <v>154.43773051601286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</v>
      </c>
      <c r="DG166" s="21">
        <f>EXP(-LN(2)/25)*DG165+(1-EXP(-LN(2)/25))/(LN(2)/25)*Calculateur!DB166*Calculateur!DD166*VLOOKUP('Données projet'!$B$13,Paramètres!$A$1:$I$89,3,0)*0.475*44/12</f>
        <v>2.1377305966123261</v>
      </c>
      <c r="DH166" s="21">
        <f>EXP(-LN(2)/2)*DH165+(1-EXP(-LN(2)/2))/(LN(2)/2)*DB166*DE166*VLOOKUP('Données projet'!$B$13,Paramètres!$A$1:$I$89,3,0)*0.475*44/12</f>
        <v>2.5770767101689029E-10</v>
      </c>
      <c r="DI166" s="22">
        <f t="shared" si="175"/>
        <v>2.1377305968700338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7.922666666666669</v>
      </c>
      <c r="DO166" s="12">
        <f>IF('Données projet'!$A$166&gt;35,DO165+DN166-DW165,IF(A166&lt;'Données projet'!$A$166,$DL$205^A166,IF(A166='Données projet'!$A$166,'Données projet'!$B$166,DO165+DN166-DW165)))</f>
        <v>457.80733333333325</v>
      </c>
      <c r="DP166" s="17">
        <f>DO166*VLOOKUP('Données projet'!$B$14,Paramètres!$A$1:$I$89,3,0)*VLOOKUP('Données projet'!$B$14,Paramètres!$A$1:$I$89,5,0)</f>
        <v>521.35099119999984</v>
      </c>
      <c r="DQ166" s="13">
        <f t="shared" si="176"/>
        <v>115.98673217539407</v>
      </c>
      <c r="DR166" s="20">
        <f t="shared" si="177"/>
        <v>1110.0298682121445</v>
      </c>
      <c r="DS166" s="59">
        <f t="shared" si="125"/>
        <v>1398.0740448992967</v>
      </c>
      <c r="DT166" s="59">
        <f ca="1">AVERAGE(OFFSET($DS$3,0,0,'Données projet'!$E$14+1,1))-AVERAGE(OFFSET($H$3,0,0,'Données projet'!$E$14+1,1))</f>
        <v>651.35546372812314</v>
      </c>
      <c r="DU166" s="59">
        <f t="shared" si="152"/>
        <v>293.6561676213388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29.360116898305588</v>
      </c>
      <c r="EB166" s="21">
        <f>EXP(-LN(2)/25)*EB165+(1-EXP(-LN(2)/25))/(LN(2)/25)*Calculateur!DW166*Calculateur!DY166*VLOOKUP('Données projet'!$B$14,Paramètres!$A$1:$I$89,3,0)*0.475*44/12</f>
        <v>18.835687097977353</v>
      </c>
      <c r="EC166" s="21">
        <f>EXP(-LN(2)/2)*EC165+(1-EXP(-LN(2)/2))/(LN(2)/2)*DW166*DZ166*VLOOKUP('Données projet'!$B$14,Paramètres!$A$1:$I$89,3,0)*0.475*44/12</f>
        <v>5.5022837007594132E-2</v>
      </c>
      <c r="ED166" s="22">
        <f t="shared" si="178"/>
        <v>48.250826833290532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8.5265128291212022E-14</v>
      </c>
      <c r="EK166" s="17">
        <f>EJ166*VLOOKUP('Données projet'!$B$15,Paramètres!$A$1:$I$89,3,0)*VLOOKUP('Données projet'!$B$15,Paramètres!$A$1:$I$89,5,0)</f>
        <v>8.9119112089974823E-14</v>
      </c>
      <c r="EL166" s="13">
        <f t="shared" si="179"/>
        <v>1.3568952080113142E-12</v>
      </c>
      <c r="EM166" s="20">
        <f t="shared" si="180"/>
        <v>2.5184749408430782E-12</v>
      </c>
      <c r="EN166" s="59">
        <f t="shared" si="128"/>
        <v>288.04417668715473</v>
      </c>
      <c r="EO166" s="59">
        <f ca="1">AVERAGE(OFFSET($EN$3,0,0,'Données projet'!$E$15+1,1))-AVERAGE(OFFSET($H$3,0,0,'Données projet'!$E$15+1,1))</f>
        <v>290.69667785754848</v>
      </c>
      <c r="EP166" s="59">
        <f t="shared" si="154"/>
        <v>256.28124185489082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5.111501019831187</v>
      </c>
      <c r="EW166" s="21">
        <f>EXP(-LN(2)/25)*EW165+(1-EXP(-LN(2)/25))/(LN(2)/25)*Calculateur!ER166*Calculateur!ET166*VLOOKUP('Données projet'!$B$15,Paramètres!$A$1:$I$89,3,0)*0.475*44/12</f>
        <v>7.9233177554552325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13.03481877528642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>
        <f>VLOOKUP(A167,'Données projet'!$A$35:$I$55,2,0)</f>
        <v>580.32000000000005</v>
      </c>
      <c r="L167" s="12">
        <f>VLOOKUP(A167,'Données projet'!$A$35:$I$55,9,0)</f>
        <v>9.4880000000000049</v>
      </c>
      <c r="M167" s="12">
        <f t="array" ref="M167">INDEX(L:L,MIN(IF(ISNUMBER(L167:L363),ROW(L167:L363),"")))</f>
        <v>9.4880000000000049</v>
      </c>
      <c r="N167" s="13">
        <f>IF('Données projet'!$A$36&gt;35,N166+M167-V166,IF(A167&lt;'Données projet'!$A$36,$K$205^A167,IF(A167='Données projet'!$A$36,'Données projet'!$B$36,N166+M167-V166)))</f>
        <v>580.32000000000141</v>
      </c>
      <c r="O167" s="13">
        <f>N167*VLOOKUP('Données projet'!$B$9,Paramètres!$A$1:$I$89,3,0)*VLOOKUP('Données projet'!$B$9,Paramètres!$A$1:$I$89,5,0)</f>
        <v>588.44448000000148</v>
      </c>
      <c r="P167" s="13">
        <f t="shared" si="141"/>
        <v>129.08145101269025</v>
      </c>
      <c r="Q167" s="20">
        <f t="shared" si="162"/>
        <v>1249.6909965137713</v>
      </c>
      <c r="R167" s="59">
        <f t="shared" si="109"/>
        <v>1537.8269282439519</v>
      </c>
      <c r="S167" s="59">
        <f ca="1">AVERAGE(OFFSET($R$3,0,0,'Données projet'!$E$9+1,1))-AVERAGE(OFFSET($H$3,0,0,'Données projet'!$E$9+1,1))</f>
        <v>752.45542076695506</v>
      </c>
      <c r="T167" s="59">
        <f t="shared" si="142"/>
        <v>329.70629768420724</v>
      </c>
      <c r="U167" s="15">
        <f>IF(ISNA(VLOOKUP(A167,'Données projet'!$A$35:$I$55,3,0)),0,VLOOKUP(A167,'Données projet'!$A$35:$I$55,3,0))</f>
        <v>14</v>
      </c>
      <c r="V167" s="15">
        <f>IF(ISNA(VLOOKUP(A167,'Données projet'!$A$35:$I$55,4,0)),0,VLOOKUP(A167,'Données projet'!$A$35:$I$55,4,0))</f>
        <v>66.020000000000095</v>
      </c>
      <c r="W167" s="16">
        <f>IF(ISNA(VLOOKUP(A167,'Données projet'!$A$35:$I$55,5,0)),0%,VLOOKUP(A167,'Données projet'!$A$35:$I$55,5,0)*VLOOKUP('Données projet'!$B$9,Paramètres!$A$1:$I$89,7,0))</f>
        <v>0.215</v>
      </c>
      <c r="X167" s="16">
        <f>IF(ISNA(VLOOKUP(A167,'Données projet'!$A$35:$I$55,6,0)),0%,VLOOKUP(A167,'Données projet'!$A$35:$I$55,6,0)*VLOOKUP('Données projet'!$B$9,Paramètres!$A$1:$I$89,7,0))</f>
        <v>8.6000000000000007E-2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65.687025436827426</v>
      </c>
      <c r="AA167" s="21">
        <f>EXP(-LN(2)/25)*AA166+(1-EXP(-LN(2)/25))/(LN(2)/25)*Calculateur!V167*Calculateur!X167*VLOOKUP('Données projet'!$B$9,Paramètres!$A$1:$I$89,3,0)*0.475*44/12</f>
        <v>25.784909688452114</v>
      </c>
      <c r="AB167" s="21">
        <f>EXP(-LN(2)/2)*AB166+(1-EXP(-LN(2)/2))/(LN(2)/2)*V167*Y167*VLOOKUP('Données projet'!$B$9,Paramètres!$A$1:$I$89,3,0)*0.475*44/12</f>
        <v>5.4571336210037249E-6</v>
      </c>
      <c r="AC167" s="22">
        <f t="shared" si="163"/>
        <v>91.471940582413168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408.246209980743</v>
      </c>
      <c r="AO167" s="59">
        <f t="shared" si="144"/>
        <v>394.10236303013903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10.814329110678569</v>
      </c>
      <c r="AV167" s="21">
        <f>EXP(-LN(2)/25)*AV166+(1-EXP(-LN(2)/25))/(LN(2)/25)*Calculateur!AQ167*Calculateur!AS167*VLOOKUP('Données projet'!$B$10,Paramètres!$A$1:$I$89,3,0)*0.475*44/12</f>
        <v>5.4887748912384033</v>
      </c>
      <c r="AW167" s="21">
        <f>EXP(-LN(2)/2)*AW166+(1-EXP(-LN(2)/2))/(LN(2)/2)*AQ167*AT167*VLOOKUP('Données projet'!$B$10,Paramètres!$A$1:$I$89,3,0)*0.475*44/12</f>
        <v>1.5584432407509125E-11</v>
      </c>
      <c r="AX167" s="21">
        <f t="shared" si="166"/>
        <v>16.303104001932557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>
        <f>VLOOKUP(A167,'Données projet'!$A$87:$I$107,2,0)</f>
        <v>580.32000000000005</v>
      </c>
      <c r="BB167" s="12">
        <f>VLOOKUP(A167,'Données projet'!$A$87:$I$107,9,0)</f>
        <v>9.4880000000000049</v>
      </c>
      <c r="BC167" s="12">
        <f t="array" ref="BC167">INDEX(BB:BB,MIN(IF(ISNUMBER(BB167:BB363),ROW(BB167:BB363),"")))</f>
        <v>9.4880000000000049</v>
      </c>
      <c r="BD167" s="12">
        <f>IF('Données projet'!$A$88&gt;35,BD166+BC167-BL166,IF(A167&lt;'Données projet'!$A$88,$BA$205^A167,IF(A167='Données projet'!$A$88,'Données projet'!$B$88,BD166+BC167-BL166)))</f>
        <v>580.32000000000141</v>
      </c>
      <c r="BE167" s="13">
        <f>BD167*VLOOKUP('Données projet'!$B$11,Paramètres!$A$1:$I$89,3,0)*VLOOKUP('Données projet'!$B$11,Paramètres!$A$1:$I$89,5,0)</f>
        <v>552.23251200000141</v>
      </c>
      <c r="BF167" s="13">
        <f t="shared" si="167"/>
        <v>122.03686399854614</v>
      </c>
      <c r="BG167" s="20">
        <f t="shared" si="168"/>
        <v>1174.3524965308034</v>
      </c>
      <c r="BH167" s="59">
        <f t="shared" si="116"/>
        <v>1462.4884282609842</v>
      </c>
      <c r="BI167" s="59">
        <f ca="1">AVERAGE(OFFSET($BH$3,0,0,'Données projet'!$E$11+1,1))-AVERAGE(OFFSET($H$3,0,0,'Données projet'!$E$11+1,1))</f>
        <v>711.91538686535682</v>
      </c>
      <c r="BJ167" s="59">
        <f t="shared" si="146"/>
        <v>313.24593837351722</v>
      </c>
      <c r="BK167" s="15">
        <f>IF(ISNA(VLOOKUP(A167,'Données projet'!$A$87:$I$107,3,0)),0,VLOOKUP(A167,'Données projet'!$A$87:$I$107,3,0))</f>
        <v>14</v>
      </c>
      <c r="BL167" s="15">
        <f>IF(ISNA(VLOOKUP(A167,'Données projet'!$A$87:$I$107,4,0)),0,VLOOKUP(A167,'Données projet'!$A$87:$I$107,4,0))</f>
        <v>66.020000000000095</v>
      </c>
      <c r="BM167" s="16">
        <f>IF(ISNA(VLOOKUP(A167,'Données projet'!$A$87:$I$107,5,0)),0%,VLOOKUP(A167,'Données projet'!$A$87:$I$107,5,0)*VLOOKUP('Données projet'!$B$11,Paramètres!$A$1:$I$89,7,0))</f>
        <v>0.215</v>
      </c>
      <c r="BN167" s="16">
        <f>IF(ISNA(VLOOKUP(A167,'Données projet'!$A$87:$I$107,6,0)),0%,VLOOKUP(A167,'Données projet'!$A$87:$I$107,6,0)*VLOOKUP('Données projet'!$B$11,Paramètres!$A$1:$I$89,7,0))</f>
        <v>8.6000000000000007E-2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61.644746948407253</v>
      </c>
      <c r="BQ167" s="21">
        <f>EXP(-LN(2)/25)*BQ166+(1-EXP(-LN(2)/25))/(LN(2)/25)*Calculateur!BL167*Calculateur!BN167*VLOOKUP('Données projet'!$B$11,Paramètres!$A$1:$I$89,3,0)*0.475*44/12</f>
        <v>24.198146015316592</v>
      </c>
      <c r="BR167" s="21">
        <f>EXP(-LN(2)/2)*BR166+(1-EXP(-LN(2)/2))/(LN(2)/2)*BL167*BO167*VLOOKUP('Données projet'!$B$11,Paramètres!$A$1:$I$89,3,0)*0.475*44/12</f>
        <v>5.1213100135573589E-6</v>
      </c>
      <c r="BS167" s="22">
        <f t="shared" si="169"/>
        <v>85.842898085033852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>
        <f>VLOOKUP(A167,'Données projet'!$A$113:$I$133,2,0)</f>
        <v>580.32000000000005</v>
      </c>
      <c r="BW167" s="12">
        <f>VLOOKUP(A167,'Données projet'!$A$113:$I$133,9,0)</f>
        <v>9.4880000000000049</v>
      </c>
      <c r="BX167" s="12">
        <f t="array" ref="BX167">INDEX(BW:BW,MIN(IF(ISNUMBER(BW167:BW363),ROW(BW167:BW363),"")))</f>
        <v>9.4880000000000049</v>
      </c>
      <c r="BY167" s="12">
        <f>IF('Données projet'!$A$114&gt;35,BY166+BX167-CG166,IF(A167&lt;'Données projet'!$A$114,$BV$205^A167,IF(A167='Données projet'!$A$114,'Données projet'!$B$114,BY166+BX167-CG166)))</f>
        <v>580.32000000000141</v>
      </c>
      <c r="BZ167" s="13">
        <f>BY167*VLOOKUP('Données projet'!$B$12,Paramètres!$A$1:$I$89,3,0)*VLOOKUP('Données projet'!$B$12,Paramètres!$A$1:$I$89,5,0)</f>
        <v>525.07353600000124</v>
      </c>
      <c r="CA167" s="13">
        <f t="shared" si="170"/>
        <v>116.71819745258949</v>
      </c>
      <c r="CB167" s="20">
        <f t="shared" si="171"/>
        <v>1117.7872690965953</v>
      </c>
      <c r="CC167" s="59">
        <f t="shared" si="119"/>
        <v>1405.9232008267759</v>
      </c>
      <c r="CD167" s="59">
        <f ca="1">AVERAGE(OFFSET($CC$3,0,0,'Données projet'!$E$12+1,1))-AVERAGE(OFFSET($H$3,0,0,'Données projet'!$E$12+1,1))</f>
        <v>681.47578137804555</v>
      </c>
      <c r="CE167" s="59">
        <f t="shared" si="148"/>
        <v>300.88511065995885</v>
      </c>
      <c r="CF167" s="15">
        <f>IF(ISNA(VLOOKUP(A167,'Données projet'!$A$113:$I$133,3,0)),0,VLOOKUP(A167,'Données projet'!$A$113:$I$133,3,0))</f>
        <v>14</v>
      </c>
      <c r="CG167" s="15">
        <f>IF(ISNA(VLOOKUP(A167,'Données projet'!$A$113:$I$133,4,0)),0,VLOOKUP(A167,'Données projet'!$A$113:$I$133,4,0))</f>
        <v>66.020000000000095</v>
      </c>
      <c r="CH167" s="16">
        <f>IF(ISNA(VLOOKUP(A167,'Données projet'!$A$113:$I$133,5,0)),0%,VLOOKUP(A167,'Données projet'!$A$113:$I$133,5,0)*VLOOKUP('Données projet'!$B$12,Paramètres!$A$1:$I$89,7,0))</f>
        <v>0.215</v>
      </c>
      <c r="CI167" s="16">
        <f>IF(ISNA(VLOOKUP(A167,'Données projet'!$A$113:$I$133,6,0)),0%,VLOOKUP(A167,'Données projet'!$A$113:$I$133,6,0)*VLOOKUP('Données projet'!$B$12,Paramètres!$A$1:$I$89,7,0))</f>
        <v>8.6000000000000007E-2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58.613038082092139</v>
      </c>
      <c r="CL167" s="21">
        <f>EXP(-LN(2)/25)*CL166+(1-EXP(-LN(2)/25))/(LN(2)/25)*Calculateur!CG167*Calculateur!CI167*VLOOKUP('Données projet'!$B$12,Paramètres!$A$1:$I$89,3,0)*0.475*44/12</f>
        <v>23.008073260464958</v>
      </c>
      <c r="CM167" s="21">
        <f>EXP(-LN(2)/2)*CM166+(1-EXP(-LN(2)/2))/(LN(2)/2)*CG167*CJ167*VLOOKUP('Données projet'!$B$12,Paramètres!$A$1:$I$89,3,0)*0.475*44/12</f>
        <v>4.8694423079725579E-6</v>
      </c>
      <c r="CN167" s="22">
        <f t="shared" si="172"/>
        <v>81.621116211999407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-8.5265128291212022E-14</v>
      </c>
      <c r="CU167" s="17">
        <f>CT167*VLOOKUP('Données projet'!$B$13,Paramètres!$A$1:$I$89,3,0)*VLOOKUP('Données projet'!$B$13,Paramètres!$A$1:$I$89,5,0)</f>
        <v>-6.9167072069831198E-14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186.54446846714993</v>
      </c>
      <c r="CZ167" s="59">
        <f t="shared" si="150"/>
        <v>154.43773051601286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</v>
      </c>
      <c r="DG167" s="21">
        <f>EXP(-LN(2)/25)*DG166+(1-EXP(-LN(2)/25))/(LN(2)/25)*Calculateur!DB167*Calculateur!DD167*VLOOKUP('Données projet'!$B$13,Paramètres!$A$1:$I$89,3,0)*0.475*44/12</f>
        <v>2.0792742410295957</v>
      </c>
      <c r="DH167" s="21">
        <f>EXP(-LN(2)/2)*DH166+(1-EXP(-LN(2)/2))/(LN(2)/2)*DB167*DE167*VLOOKUP('Données projet'!$B$13,Paramètres!$A$1:$I$89,3,0)*0.475*44/12</f>
        <v>1.8222684173983502E-10</v>
      </c>
      <c r="DI167" s="22">
        <f t="shared" si="175"/>
        <v>2.0792742412118224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>
        <f>VLOOKUP(A167,'Données projet'!$A$165:$I$185,2,0)</f>
        <v>465.73</v>
      </c>
      <c r="DM167" s="12">
        <f>VLOOKUP(A167,'Données projet'!$A$165:$I$185,9,0)</f>
        <v>7.922666666666669</v>
      </c>
      <c r="DN167" s="12">
        <f t="array" ref="DN167">INDEX(DM:DM,MIN(IF(ISNUMBER(DM167:DM363),ROW(DM167:DM363),"")))</f>
        <v>7.922666666666669</v>
      </c>
      <c r="DO167" s="12">
        <f>IF('Données projet'!$A$166&gt;35,DO166+DN167-DW166,IF(A167&lt;'Données projet'!$A$166,$DL$205^A167,IF(A167='Données projet'!$A$166,'Données projet'!$B$166,DO166+DN167-DW166)))</f>
        <v>465.7299999999999</v>
      </c>
      <c r="DP167" s="17">
        <f>DO167*VLOOKUP('Données projet'!$B$14,Paramètres!$A$1:$I$89,3,0)*VLOOKUP('Données projet'!$B$14,Paramètres!$A$1:$I$89,5,0)</f>
        <v>530.37332399999991</v>
      </c>
      <c r="DQ167" s="13">
        <f t="shared" si="176"/>
        <v>117.75854489653993</v>
      </c>
      <c r="DR167" s="20">
        <f t="shared" si="177"/>
        <v>1128.8296716614734</v>
      </c>
      <c r="DS167" s="59">
        <f t="shared" si="125"/>
        <v>1416.965603391654</v>
      </c>
      <c r="DT167" s="59">
        <f ca="1">AVERAGE(OFFSET($DS$3,0,0,'Données projet'!$E$14+1,1))-AVERAGE(OFFSET($H$3,0,0,'Données projet'!$E$14+1,1))</f>
        <v>651.35546372812314</v>
      </c>
      <c r="DU167" s="59">
        <f t="shared" si="152"/>
        <v>293.6561676213388</v>
      </c>
      <c r="DV167" s="15">
        <f>IF(ISNA(VLOOKUP(A167,'Données projet'!$A$165:$I$185,3,0)),0,VLOOKUP(A167,'Données projet'!$A$165:$I$185,3,0))</f>
        <v>12</v>
      </c>
      <c r="DW167" s="15">
        <f>IF(ISNA(VLOOKUP(A167,'Données projet'!$A$165:$I$185,4,0)),0,VLOOKUP(A167,'Données projet'!$A$165:$I$185,4,0))</f>
        <v>82.93</v>
      </c>
      <c r="DX167" s="16">
        <f>IF(ISNA(VLOOKUP(A167,'Données projet'!$A$165:$I$185,5,0)),0%,VLOOKUP(A167,'Données projet'!$A$165:$I$185,5,0)*VLOOKUP('Données projet'!$B$14,Paramètres!$A$1:$I$89,7,0))</f>
        <v>0.15049999999999999</v>
      </c>
      <c r="DY167" s="16">
        <f>IF(ISNA(VLOOKUP(A167,'Données projet'!$A$165:$I$185,6,0)),0%,VLOOKUP(A167,'Données projet'!$A$165:$I$185,6,0)*VLOOKUP('Données projet'!$B$14,Paramètres!$A$1:$I$89,7,0))</f>
        <v>8.6000000000000007E-2</v>
      </c>
      <c r="DZ167" s="16">
        <f>IF(ISNA(VLOOKUP(A167,'Données projet'!$A$165:$I$185,7,0)),0%,VLOOKUP(A167,'Données projet'!$A$165:$I$185,7,0))</f>
        <v>0.1</v>
      </c>
      <c r="EA167" s="21">
        <f>EXP(-LN(2)/35)*EA166+(1-EXP(-LN(2)/35))/(LN(2)/35)*DW167*DX167*VLOOKUP('Données projet'!$B$14,Paramètres!$A$1:$I$89,3,0)*0.475*44/12</f>
        <v>44.496790420949992</v>
      </c>
      <c r="EB167" s="21">
        <f>EXP(-LN(2)/25)*EB166+(1-EXP(-LN(2)/25))/(LN(2)/25)*Calculateur!DW167*Calculateur!DY167*VLOOKUP('Données projet'!$B$14,Paramètres!$A$1:$I$89,3,0)*0.475*44/12</f>
        <v>27.263790970537414</v>
      </c>
      <c r="EC167" s="21">
        <f>EXP(-LN(2)/2)*EC166+(1-EXP(-LN(2)/2))/(LN(2)/2)*DW167*DZ167*VLOOKUP('Données projet'!$B$14,Paramètres!$A$1:$I$89,3,0)*0.475*44/12</f>
        <v>8.9496397399424392</v>
      </c>
      <c r="ED167" s="22">
        <f t="shared" si="178"/>
        <v>80.710221131429847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8.5265128291212022E-14</v>
      </c>
      <c r="EK167" s="17">
        <f>EJ167*VLOOKUP('Données projet'!$B$15,Paramètres!$A$1:$I$89,3,0)*VLOOKUP('Données projet'!$B$15,Paramètres!$A$1:$I$89,5,0)</f>
        <v>8.9119112089974823E-14</v>
      </c>
      <c r="EL167" s="13">
        <f t="shared" si="179"/>
        <v>1.3568952080113142E-12</v>
      </c>
      <c r="EM167" s="20">
        <f t="shared" si="180"/>
        <v>2.5184749408430782E-12</v>
      </c>
      <c r="EN167" s="59">
        <f t="shared" si="128"/>
        <v>288.13593173018319</v>
      </c>
      <c r="EO167" s="59">
        <f ca="1">AVERAGE(OFFSET($EN$3,0,0,'Données projet'!$E$15+1,1))-AVERAGE(OFFSET($H$3,0,0,'Données projet'!$E$15+1,1))</f>
        <v>290.69667785754848</v>
      </c>
      <c r="EP167" s="59">
        <f t="shared" si="154"/>
        <v>256.28124185489082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5.0112676025400713</v>
      </c>
      <c r="EW167" s="21">
        <f>EXP(-LN(2)/25)*EW166+(1-EXP(-LN(2)/25))/(LN(2)/25)*Calculateur!ER167*Calculateur!ET167*VLOOKUP('Données projet'!$B$15,Paramètres!$A$1:$I$89,3,0)*0.475*44/12</f>
        <v>7.7066542147631374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12.717921817303209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9.6220000000000034</v>
      </c>
      <c r="N168" s="13">
        <f>IF('Données projet'!$A$36&gt;35,N167+M168-V167,IF(A168&lt;'Données projet'!$A$36,$K$205^A168,IF(A168='Données projet'!$A$36,'Données projet'!$B$36,N167+M168-V167)))</f>
        <v>523.92200000000128</v>
      </c>
      <c r="O168" s="13">
        <f>N168*VLOOKUP('Données projet'!$B$9,Paramètres!$A$1:$I$89,3,0)*VLOOKUP('Données projet'!$B$9,Paramètres!$A$1:$I$89,5,0)</f>
        <v>531.25690800000132</v>
      </c>
      <c r="P168" s="13">
        <f t="shared" si="141"/>
        <v>117.93187429253524</v>
      </c>
      <c r="Q168" s="20">
        <f t="shared" si="162"/>
        <v>1130.6704624928343</v>
      </c>
      <c r="R168" s="59">
        <f t="shared" si="109"/>
        <v>1418.8965575211805</v>
      </c>
      <c r="S168" s="59">
        <f ca="1">AVERAGE(OFFSET($R$3,0,0,'Données projet'!$E$9+1,1))-AVERAGE(OFFSET($H$3,0,0,'Données projet'!$E$9+1,1))</f>
        <v>752.45542076695506</v>
      </c>
      <c r="T168" s="59">
        <f t="shared" si="142"/>
        <v>329.70629768420724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64.39894293314066</v>
      </c>
      <c r="AA168" s="21">
        <f>EXP(-LN(2)/25)*AA167+(1-EXP(-LN(2)/25))/(LN(2)/25)*Calculateur!V168*Calculateur!X168*VLOOKUP('Données projet'!$B$9,Paramètres!$A$1:$I$89,3,0)*0.475*44/12</f>
        <v>25.079819977051923</v>
      </c>
      <c r="AB168" s="21">
        <f>EXP(-LN(2)/2)*AB167+(1-EXP(-LN(2)/2))/(LN(2)/2)*V168*Y168*VLOOKUP('Données projet'!$B$9,Paramètres!$A$1:$I$89,3,0)*0.475*44/12</f>
        <v>3.8587761892528327E-6</v>
      </c>
      <c r="AC168" s="22">
        <f t="shared" si="163"/>
        <v>89.478766768968782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408.246209980743</v>
      </c>
      <c r="AO168" s="59">
        <f t="shared" si="144"/>
        <v>394.10236303013903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10.60226671290761</v>
      </c>
      <c r="AV168" s="21">
        <f>EXP(-LN(2)/25)*AV167+(1-EXP(-LN(2)/25))/(LN(2)/25)*Calculateur!AQ168*Calculateur!AS168*VLOOKUP('Données projet'!$B$10,Paramètres!$A$1:$I$89,3,0)*0.475*44/12</f>
        <v>5.3386840531953625</v>
      </c>
      <c r="AW168" s="21">
        <f>EXP(-LN(2)/2)*AW167+(1-EXP(-LN(2)/2))/(LN(2)/2)*AQ168*AT168*VLOOKUP('Données projet'!$B$10,Paramètres!$A$1:$I$89,3,0)*0.475*44/12</f>
        <v>1.1019857836293095E-11</v>
      </c>
      <c r="AX168" s="21">
        <f t="shared" si="166"/>
        <v>15.940950766113993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9.6220000000000034</v>
      </c>
      <c r="BD168" s="12">
        <f>IF('Données projet'!$A$88&gt;35,BD167+BC168-BL167,IF(A168&lt;'Données projet'!$A$88,$BA$205^A168,IF(A168='Données projet'!$A$88,'Données projet'!$B$88,BD167+BC168-BL167)))</f>
        <v>523.92200000000128</v>
      </c>
      <c r="BE168" s="13">
        <f>BD168*VLOOKUP('Données projet'!$B$11,Paramètres!$A$1:$I$89,3,0)*VLOOKUP('Données projet'!$B$11,Paramètres!$A$1:$I$89,5,0)</f>
        <v>498.56417520000116</v>
      </c>
      <c r="BF168" s="13">
        <f t="shared" si="167"/>
        <v>111.49577256237113</v>
      </c>
      <c r="BG168" s="20">
        <f t="shared" si="168"/>
        <v>1062.5210756861318</v>
      </c>
      <c r="BH168" s="59">
        <f t="shared" si="116"/>
        <v>1350.747170714478</v>
      </c>
      <c r="BI168" s="59">
        <f ca="1">AVERAGE(OFFSET($BH$3,0,0,'Données projet'!$E$11+1,1))-AVERAGE(OFFSET($H$3,0,0,'Données projet'!$E$11+1,1))</f>
        <v>711.91538686535682</v>
      </c>
      <c r="BJ168" s="59">
        <f t="shared" si="146"/>
        <v>313.24593837351722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60.435931060331974</v>
      </c>
      <c r="BQ168" s="21">
        <f>EXP(-LN(2)/25)*BQ167+(1-EXP(-LN(2)/25))/(LN(2)/25)*Calculateur!BL168*Calculateur!BN168*VLOOKUP('Données projet'!$B$11,Paramètres!$A$1:$I$89,3,0)*0.475*44/12</f>
        <v>23.536446440002567</v>
      </c>
      <c r="BR168" s="21">
        <f>EXP(-LN(2)/2)*BR167+(1-EXP(-LN(2)/2))/(LN(2)/2)*BL168*BO168*VLOOKUP('Données projet'!$B$11,Paramètres!$A$1:$I$89,3,0)*0.475*44/12</f>
        <v>3.6213130391449785E-6</v>
      </c>
      <c r="BS168" s="22">
        <f t="shared" si="169"/>
        <v>83.972381121647587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9.6220000000000034</v>
      </c>
      <c r="BY168" s="12">
        <f>IF('Données projet'!$A$114&gt;35,BY167+BX168-CG167,IF(A168&lt;'Données projet'!$A$114,$BV$205^A168,IF(A168='Données projet'!$A$114,'Données projet'!$B$114,BY167+BX168-CG167)))</f>
        <v>523.92200000000128</v>
      </c>
      <c r="BZ168" s="13">
        <f>BY168*VLOOKUP('Données projet'!$B$12,Paramètres!$A$1:$I$89,3,0)*VLOOKUP('Données projet'!$B$12,Paramètres!$A$1:$I$89,5,0)</f>
        <v>474.04462560000115</v>
      </c>
      <c r="CA168" s="13">
        <f t="shared" si="170"/>
        <v>106.63651269520395</v>
      </c>
      <c r="CB168" s="20">
        <f t="shared" si="171"/>
        <v>1011.3529825308154</v>
      </c>
      <c r="CC168" s="59">
        <f t="shared" si="119"/>
        <v>1299.5790775591615</v>
      </c>
      <c r="CD168" s="59">
        <f ca="1">AVERAGE(OFFSET($CC$3,0,0,'Données projet'!$E$12+1,1))-AVERAGE(OFFSET($H$3,0,0,'Données projet'!$E$12+1,1))</f>
        <v>681.47578137804555</v>
      </c>
      <c r="CE168" s="59">
        <f t="shared" si="148"/>
        <v>300.88511065995885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57.463672155725483</v>
      </c>
      <c r="CL168" s="21">
        <f>EXP(-LN(2)/25)*CL167+(1-EXP(-LN(2)/25))/(LN(2)/25)*Calculateur!CG168*Calculateur!CI168*VLOOKUP('Données projet'!$B$12,Paramètres!$A$1:$I$89,3,0)*0.475*44/12</f>
        <v>22.378916287215556</v>
      </c>
      <c r="CM168" s="21">
        <f>EXP(-LN(2)/2)*CM167+(1-EXP(-LN(2)/2))/(LN(2)/2)*CG168*CJ168*VLOOKUP('Données projet'!$B$12,Paramètres!$A$1:$I$89,3,0)*0.475*44/12</f>
        <v>3.4432156765640685E-6</v>
      </c>
      <c r="CN168" s="22">
        <f t="shared" si="172"/>
        <v>79.842591886156711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-8.5265128291212022E-14</v>
      </c>
      <c r="CU168" s="17">
        <f>CT168*VLOOKUP('Données projet'!$B$13,Paramètres!$A$1:$I$89,3,0)*VLOOKUP('Données projet'!$B$13,Paramètres!$A$1:$I$89,5,0)</f>
        <v>-6.9167072069831198E-14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186.54446846714993</v>
      </c>
      <c r="CZ168" s="59">
        <f t="shared" si="150"/>
        <v>154.43773051601286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</v>
      </c>
      <c r="DG168" s="21">
        <f>EXP(-LN(2)/25)*DG167+(1-EXP(-LN(2)/25))/(LN(2)/25)*Calculateur!DB168*Calculateur!DD168*VLOOKUP('Données projet'!$B$13,Paramètres!$A$1:$I$89,3,0)*0.475*44/12</f>
        <v>2.0224163775643613</v>
      </c>
      <c r="DH168" s="21">
        <f>EXP(-LN(2)/2)*DH167+(1-EXP(-LN(2)/2))/(LN(2)/2)*DB168*DE168*VLOOKUP('Données projet'!$B$13,Paramètres!$A$1:$I$89,3,0)*0.475*44/12</f>
        <v>1.2885383550844515E-10</v>
      </c>
      <c r="DI168" s="22">
        <f t="shared" si="175"/>
        <v>2.0224163776932151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8.1599999999999984</v>
      </c>
      <c r="DO168" s="12">
        <f>IF('Données projet'!$A$166&gt;35,DO167+DN168-DW167,IF(A168&lt;'Données projet'!$A$166,$DL$205^A168,IF(A168='Données projet'!$A$166,'Données projet'!$B$166,DO167+DN168-DW167)))</f>
        <v>390.95999999999992</v>
      </c>
      <c r="DP168" s="17">
        <f>DO168*VLOOKUP('Données projet'!$B$14,Paramètres!$A$1:$I$89,3,0)*VLOOKUP('Données projet'!$B$14,Paramètres!$A$1:$I$89,5,0)</f>
        <v>445.22524799999991</v>
      </c>
      <c r="DQ168" s="13">
        <f t="shared" si="176"/>
        <v>100.88745403494899</v>
      </c>
      <c r="DR168" s="20">
        <f t="shared" si="177"/>
        <v>951.14628937753605</v>
      </c>
      <c r="DS168" s="59">
        <f t="shared" si="125"/>
        <v>1239.3723844058823</v>
      </c>
      <c r="DT168" s="59">
        <f ca="1">AVERAGE(OFFSET($DS$3,0,0,'Données projet'!$E$14+1,1))-AVERAGE(OFFSET($H$3,0,0,'Données projet'!$E$14+1,1))</f>
        <v>651.35546372812314</v>
      </c>
      <c r="DU168" s="59">
        <f t="shared" si="152"/>
        <v>293.6561676213388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43.624235501157429</v>
      </c>
      <c r="EB168" s="21">
        <f>EXP(-LN(2)/25)*EB167+(1-EXP(-LN(2)/25))/(LN(2)/25)*Calculateur!DW168*Calculateur!DY168*VLOOKUP('Données projet'!$B$14,Paramètres!$A$1:$I$89,3,0)*0.475*44/12</f>
        <v>26.518261172707614</v>
      </c>
      <c r="EC168" s="21">
        <f>EXP(-LN(2)/2)*EC167+(1-EXP(-LN(2)/2))/(LN(2)/2)*DW168*DZ168*VLOOKUP('Données projet'!$B$14,Paramètres!$A$1:$I$89,3,0)*0.475*44/12</f>
        <v>6.3283509492899093</v>
      </c>
      <c r="ED168" s="22">
        <f t="shared" si="178"/>
        <v>76.470847623154953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8.5265128291212022E-14</v>
      </c>
      <c r="EK168" s="17">
        <f>EJ168*VLOOKUP('Données projet'!$B$15,Paramètres!$A$1:$I$89,3,0)*VLOOKUP('Données projet'!$B$15,Paramètres!$A$1:$I$89,5,0)</f>
        <v>8.9119112089974823E-14</v>
      </c>
      <c r="EL168" s="13">
        <f t="shared" si="179"/>
        <v>1.3568952080113142E-12</v>
      </c>
      <c r="EM168" s="20">
        <f t="shared" si="180"/>
        <v>2.5184749408430782E-12</v>
      </c>
      <c r="EN168" s="59">
        <f t="shared" si="128"/>
        <v>288.22609502834865</v>
      </c>
      <c r="EO168" s="59">
        <f ca="1">AVERAGE(OFFSET($EN$3,0,0,'Données projet'!$E$15+1,1))-AVERAGE(OFFSET($H$3,0,0,'Données projet'!$E$15+1,1))</f>
        <v>290.69667785754848</v>
      </c>
      <c r="EP168" s="59">
        <f t="shared" si="154"/>
        <v>256.28124185489082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4.9129997014256865</v>
      </c>
      <c r="EW168" s="21">
        <f>EXP(-LN(2)/25)*EW167+(1-EXP(-LN(2)/25))/(LN(2)/25)*Calculateur!ER168*Calculateur!ET168*VLOOKUP('Données projet'!$B$15,Paramètres!$A$1:$I$89,3,0)*0.475*44/12</f>
        <v>7.4959153499851077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12.408915051410794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9.6220000000000034</v>
      </c>
      <c r="N169" s="13">
        <f>IF('Données projet'!$A$36&gt;35,N168+M169-V168,IF(A169&lt;'Données projet'!$A$36,$K$205^A169,IF(A169='Données projet'!$A$36,'Données projet'!$B$36,N168+M169-V168)))</f>
        <v>533.54400000000123</v>
      </c>
      <c r="O169" s="13">
        <f>N169*VLOOKUP('Données projet'!$B$9,Paramètres!$A$1:$I$89,3,0)*VLOOKUP('Données projet'!$B$9,Paramètres!$A$1:$I$89,5,0)</f>
        <v>541.01361600000132</v>
      </c>
      <c r="P169" s="13">
        <f t="shared" si="141"/>
        <v>119.84359445909256</v>
      </c>
      <c r="Q169" s="20">
        <f t="shared" si="162"/>
        <v>1150.9929748829218</v>
      </c>
      <c r="R169" s="59">
        <f t="shared" si="109"/>
        <v>1439.3076690777852</v>
      </c>
      <c r="S169" s="59">
        <f ca="1">AVERAGE(OFFSET($R$3,0,0,'Données projet'!$E$9+1,1))-AVERAGE(OFFSET($H$3,0,0,'Données projet'!$E$9+1,1))</f>
        <v>752.45542076695506</v>
      </c>
      <c r="T169" s="59">
        <f t="shared" si="142"/>
        <v>329.70629768420724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63.136118941698435</v>
      </c>
      <c r="AA169" s="21">
        <f>EXP(-LN(2)/25)*AA168+(1-EXP(-LN(2)/25))/(LN(2)/25)*Calculateur!V169*Calculateur!X169*VLOOKUP('Données projet'!$B$9,Paramètres!$A$1:$I$89,3,0)*0.475*44/12</f>
        <v>24.394010980889025</v>
      </c>
      <c r="AB169" s="21">
        <f>EXP(-LN(2)/2)*AB168+(1-EXP(-LN(2)/2))/(LN(2)/2)*V169*Y169*VLOOKUP('Données projet'!$B$9,Paramètres!$A$1:$I$89,3,0)*0.475*44/12</f>
        <v>2.7285668105018625E-6</v>
      </c>
      <c r="AC169" s="22">
        <f t="shared" si="163"/>
        <v>87.530132651154275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408.246209980743</v>
      </c>
      <c r="AO169" s="59">
        <f t="shared" si="144"/>
        <v>394.10236303013903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10.394362729411649</v>
      </c>
      <c r="AV169" s="21">
        <f>EXP(-LN(2)/25)*AV168+(1-EXP(-LN(2)/25))/(LN(2)/25)*Calculateur!AQ169*Calculateur!AS169*VLOOKUP('Données projet'!$B$10,Paramètres!$A$1:$I$89,3,0)*0.475*44/12</f>
        <v>5.1926974570115423</v>
      </c>
      <c r="AW169" s="21">
        <f>EXP(-LN(2)/2)*AW168+(1-EXP(-LN(2)/2))/(LN(2)/2)*AQ169*AT169*VLOOKUP('Données projet'!$B$10,Paramètres!$A$1:$I$89,3,0)*0.475*44/12</f>
        <v>7.7922162037545626E-12</v>
      </c>
      <c r="AX169" s="21">
        <f t="shared" si="166"/>
        <v>15.587060186430984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9.6220000000000034</v>
      </c>
      <c r="BD169" s="12">
        <f>IF('Données projet'!$A$88&gt;35,BD168+BC169-BL168,IF(A169&lt;'Données projet'!$A$88,$BA$205^A169,IF(A169='Données projet'!$A$88,'Données projet'!$B$88,BD168+BC169-BL168)))</f>
        <v>533.54400000000123</v>
      </c>
      <c r="BE169" s="13">
        <f>BD169*VLOOKUP('Données projet'!$B$11,Paramètres!$A$1:$I$89,3,0)*VLOOKUP('Données projet'!$B$11,Paramètres!$A$1:$I$89,5,0)</f>
        <v>507.72047040000115</v>
      </c>
      <c r="BF169" s="13">
        <f t="shared" si="167"/>
        <v>113.30316109216449</v>
      </c>
      <c r="BG169" s="20">
        <f t="shared" si="168"/>
        <v>1081.6161581821882</v>
      </c>
      <c r="BH169" s="59">
        <f t="shared" si="116"/>
        <v>1369.9308523770517</v>
      </c>
      <c r="BI169" s="59">
        <f ca="1">AVERAGE(OFFSET($BH$3,0,0,'Données projet'!$E$11+1,1))-AVERAGE(OFFSET($H$3,0,0,'Données projet'!$E$11+1,1))</f>
        <v>711.91538686535682</v>
      </c>
      <c r="BJ169" s="59">
        <f t="shared" si="146"/>
        <v>313.24593837351722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59.25081931451696</v>
      </c>
      <c r="BQ169" s="21">
        <f>EXP(-LN(2)/25)*BQ168+(1-EXP(-LN(2)/25))/(LN(2)/25)*Calculateur!BL169*Calculateur!BN169*VLOOKUP('Données projet'!$B$11,Paramètres!$A$1:$I$89,3,0)*0.475*44/12</f>
        <v>22.892841074372772</v>
      </c>
      <c r="BR169" s="21">
        <f>EXP(-LN(2)/2)*BR168+(1-EXP(-LN(2)/2))/(LN(2)/2)*BL169*BO169*VLOOKUP('Données projet'!$B$11,Paramètres!$A$1:$I$89,3,0)*0.475*44/12</f>
        <v>2.5606550067786799E-6</v>
      </c>
      <c r="BS169" s="22">
        <f t="shared" si="169"/>
        <v>82.143662949544733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9.6220000000000034</v>
      </c>
      <c r="BY169" s="12">
        <f>IF('Données projet'!$A$114&gt;35,BY168+BX169-CG168,IF(A169&lt;'Données projet'!$A$114,$BV$205^A169,IF(A169='Données projet'!$A$114,'Données projet'!$B$114,BY168+BX169-CG168)))</f>
        <v>533.54400000000123</v>
      </c>
      <c r="BZ169" s="13">
        <f>BY169*VLOOKUP('Données projet'!$B$12,Paramètres!$A$1:$I$89,3,0)*VLOOKUP('Données projet'!$B$12,Paramètres!$A$1:$I$89,5,0)</f>
        <v>482.75061120000112</v>
      </c>
      <c r="CA169" s="13">
        <f t="shared" si="170"/>
        <v>108.36513078962237</v>
      </c>
      <c r="CB169" s="20">
        <f t="shared" si="171"/>
        <v>1029.5265839652609</v>
      </c>
      <c r="CC169" s="59">
        <f t="shared" si="119"/>
        <v>1317.8412781601244</v>
      </c>
      <c r="CD169" s="59">
        <f ca="1">AVERAGE(OFFSET($CC$3,0,0,'Données projet'!$E$12+1,1))-AVERAGE(OFFSET($H$3,0,0,'Données projet'!$E$12+1,1))</f>
        <v>681.47578137804555</v>
      </c>
      <c r="CE169" s="59">
        <f t="shared" si="148"/>
        <v>300.88511065995885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56.336844594130881</v>
      </c>
      <c r="CL169" s="21">
        <f>EXP(-LN(2)/25)*CL168+(1-EXP(-LN(2)/25))/(LN(2)/25)*Calculateur!CG169*Calculateur!CI169*VLOOKUP('Données projet'!$B$12,Paramètres!$A$1:$I$89,3,0)*0.475*44/12</f>
        <v>21.766963644485589</v>
      </c>
      <c r="CM169" s="21">
        <f>EXP(-LN(2)/2)*CM168+(1-EXP(-LN(2)/2))/(LN(2)/2)*CG169*CJ169*VLOOKUP('Données projet'!$B$12,Paramètres!$A$1:$I$89,3,0)*0.475*44/12</f>
        <v>2.434721153986279E-6</v>
      </c>
      <c r="CN169" s="22">
        <f t="shared" si="172"/>
        <v>78.10381067333762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-8.5265128291212022E-14</v>
      </c>
      <c r="CU169" s="17">
        <f>CT169*VLOOKUP('Données projet'!$B$13,Paramètres!$A$1:$I$89,3,0)*VLOOKUP('Données projet'!$B$13,Paramètres!$A$1:$I$89,5,0)</f>
        <v>-6.9167072069831198E-14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186.54446846714993</v>
      </c>
      <c r="CZ169" s="59">
        <f t="shared" si="150"/>
        <v>154.43773051601286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</v>
      </c>
      <c r="DG169" s="21">
        <f>EXP(-LN(2)/25)*DG168+(1-EXP(-LN(2)/25))/(LN(2)/25)*Calculateur!DB169*Calculateur!DD169*VLOOKUP('Données projet'!$B$13,Paramètres!$A$1:$I$89,3,0)*0.475*44/12</f>
        <v>1.967113295365609</v>
      </c>
      <c r="DH169" s="21">
        <f>EXP(-LN(2)/2)*DH168+(1-EXP(-LN(2)/2))/(LN(2)/2)*DB169*DE169*VLOOKUP('Données projet'!$B$13,Paramètres!$A$1:$I$89,3,0)*0.475*44/12</f>
        <v>9.1113420869917512E-11</v>
      </c>
      <c r="DI169" s="22">
        <f t="shared" si="175"/>
        <v>1.9671132954567223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8.1599999999999984</v>
      </c>
      <c r="DO169" s="12">
        <f>IF('Données projet'!$A$166&gt;35,DO168+DN169-DW168,IF(A169&lt;'Données projet'!$A$166,$DL$205^A169,IF(A169='Données projet'!$A$166,'Données projet'!$B$166,DO168+DN169-DW168)))</f>
        <v>399.11999999999995</v>
      </c>
      <c r="DP169" s="17">
        <f>DO169*VLOOKUP('Données projet'!$B$14,Paramètres!$A$1:$I$89,3,0)*VLOOKUP('Données projet'!$B$14,Paramètres!$A$1:$I$89,5,0)</f>
        <v>454.51785599999994</v>
      </c>
      <c r="DQ169" s="13">
        <f t="shared" si="176"/>
        <v>102.7458013633341</v>
      </c>
      <c r="DR169" s="20">
        <f t="shared" si="177"/>
        <v>970.56753657447325</v>
      </c>
      <c r="DS169" s="59">
        <f t="shared" si="125"/>
        <v>1258.8822307693367</v>
      </c>
      <c r="DT169" s="59">
        <f ca="1">AVERAGE(OFFSET($DS$3,0,0,'Données projet'!$E$14+1,1))-AVERAGE(OFFSET($H$3,0,0,'Données projet'!$E$14+1,1))</f>
        <v>651.35546372812314</v>
      </c>
      <c r="DU169" s="59">
        <f t="shared" si="152"/>
        <v>293.6561676213388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42.768790851136053</v>
      </c>
      <c r="EB169" s="21">
        <f>EXP(-LN(2)/25)*EB168+(1-EXP(-LN(2)/25))/(LN(2)/25)*Calculateur!DW169*Calculateur!DY169*VLOOKUP('Données projet'!$B$14,Paramètres!$A$1:$I$89,3,0)*0.475*44/12</f>
        <v>25.793117926405177</v>
      </c>
      <c r="EC169" s="21">
        <f>EXP(-LN(2)/2)*EC168+(1-EXP(-LN(2)/2))/(LN(2)/2)*DW169*DZ169*VLOOKUP('Données projet'!$B$14,Paramètres!$A$1:$I$89,3,0)*0.475*44/12</f>
        <v>4.4748198699712205</v>
      </c>
      <c r="ED169" s="22">
        <f t="shared" si="178"/>
        <v>73.036728647512462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8.5265128291212022E-14</v>
      </c>
      <c r="EK169" s="17">
        <f>EJ169*VLOOKUP('Données projet'!$B$15,Paramètres!$A$1:$I$89,3,0)*VLOOKUP('Données projet'!$B$15,Paramètres!$A$1:$I$89,5,0)</f>
        <v>8.9119112089974823E-14</v>
      </c>
      <c r="EL169" s="13">
        <f t="shared" si="179"/>
        <v>1.3568952080113142E-12</v>
      </c>
      <c r="EM169" s="20">
        <f t="shared" si="180"/>
        <v>2.5184749408430782E-12</v>
      </c>
      <c r="EN169" s="59">
        <f t="shared" si="128"/>
        <v>288.31469419486592</v>
      </c>
      <c r="EO169" s="59">
        <f ca="1">AVERAGE(OFFSET($EN$3,0,0,'Données projet'!$E$15+1,1))-AVERAGE(OFFSET($H$3,0,0,'Données projet'!$E$15+1,1))</f>
        <v>290.69667785754848</v>
      </c>
      <c r="EP169" s="59">
        <f t="shared" si="154"/>
        <v>256.28124185489082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4.8166587739146536</v>
      </c>
      <c r="EW169" s="21">
        <f>EXP(-LN(2)/25)*EW168+(1-EXP(-LN(2)/25))/(LN(2)/25)*Calculateur!ER169*Calculateur!ET169*VLOOKUP('Données projet'!$B$15,Paramètres!$A$1:$I$89,3,0)*0.475*44/12</f>
        <v>7.2909391505467092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12.107597924461363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9.6220000000000034</v>
      </c>
      <c r="N170" s="13">
        <f>IF('Données projet'!$A$36&gt;35,N169+M170-V169,IF(A170&lt;'Données projet'!$A$36,$K$205^A170,IF(A170='Données projet'!$A$36,'Données projet'!$B$36,N169+M170-V169)))</f>
        <v>543.16600000000119</v>
      </c>
      <c r="O170" s="13">
        <f>N170*VLOOKUP('Données projet'!$B$9,Paramètres!$A$1:$I$89,3,0)*VLOOKUP('Données projet'!$B$9,Paramètres!$A$1:$I$89,5,0)</f>
        <v>550.77032400000132</v>
      </c>
      <c r="P170" s="13">
        <f t="shared" si="141"/>
        <v>121.75130557491971</v>
      </c>
      <c r="Q170" s="20">
        <f t="shared" si="162"/>
        <v>1171.3085048429873</v>
      </c>
      <c r="R170" s="59">
        <f t="shared" si="109"/>
        <v>1459.710261206907</v>
      </c>
      <c r="S170" s="59">
        <f ca="1">AVERAGE(OFFSET($R$3,0,0,'Données projet'!$E$9+1,1))-AVERAGE(OFFSET($H$3,0,0,'Données projet'!$E$9+1,1))</f>
        <v>752.45542076695506</v>
      </c>
      <c r="T170" s="59">
        <f t="shared" si="142"/>
        <v>329.70629768420724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61.89805815848181</v>
      </c>
      <c r="AA170" s="21">
        <f>EXP(-LN(2)/25)*AA169+(1-EXP(-LN(2)/25))/(LN(2)/25)*Calculateur!V170*Calculateur!X170*VLOOKUP('Données projet'!$B$9,Paramètres!$A$1:$I$89,3,0)*0.475*44/12</f>
        <v>23.726955467791331</v>
      </c>
      <c r="AB170" s="21">
        <f>EXP(-LN(2)/2)*AB169+(1-EXP(-LN(2)/2))/(LN(2)/2)*V170*Y170*VLOOKUP('Données projet'!$B$9,Paramètres!$A$1:$I$89,3,0)*0.475*44/12</f>
        <v>1.9293880946264163E-6</v>
      </c>
      <c r="AC170" s="22">
        <f t="shared" si="163"/>
        <v>85.625015555661236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408.246209980743</v>
      </c>
      <c r="AO170" s="59">
        <f t="shared" si="144"/>
        <v>394.10236303013903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10.190535616223135</v>
      </c>
      <c r="AV170" s="21">
        <f>EXP(-LN(2)/25)*AV169+(1-EXP(-LN(2)/25))/(LN(2)/25)*Calculateur!AQ170*Calculateur!AS170*VLOOKUP('Données projet'!$B$10,Paramètres!$A$1:$I$89,3,0)*0.475*44/12</f>
        <v>5.05070287197747</v>
      </c>
      <c r="AW170" s="21">
        <f>EXP(-LN(2)/2)*AW169+(1-EXP(-LN(2)/2))/(LN(2)/2)*AQ170*AT170*VLOOKUP('Données projet'!$B$10,Paramètres!$A$1:$I$89,3,0)*0.475*44/12</f>
        <v>5.5099289181465476E-12</v>
      </c>
      <c r="AX170" s="21">
        <f t="shared" si="166"/>
        <v>15.241238488206115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9.6220000000000034</v>
      </c>
      <c r="BD170" s="12">
        <f>IF('Données projet'!$A$88&gt;35,BD169+BC170-BL169,IF(A170&lt;'Données projet'!$A$88,$BA$205^A170,IF(A170='Données projet'!$A$88,'Données projet'!$B$88,BD169+BC170-BL169)))</f>
        <v>543.16600000000119</v>
      </c>
      <c r="BE170" s="13">
        <f>BD170*VLOOKUP('Données projet'!$B$11,Paramètres!$A$1:$I$89,3,0)*VLOOKUP('Données projet'!$B$11,Paramètres!$A$1:$I$89,5,0)</f>
        <v>516.87676560000114</v>
      </c>
      <c r="BF170" s="13">
        <f t="shared" si="167"/>
        <v>115.10675936414104</v>
      </c>
      <c r="BG170" s="20">
        <f t="shared" si="168"/>
        <v>1100.7046393125474</v>
      </c>
      <c r="BH170" s="59">
        <f t="shared" si="116"/>
        <v>1389.1063956764669</v>
      </c>
      <c r="BI170" s="59">
        <f ca="1">AVERAGE(OFFSET($BH$3,0,0,'Données projet'!$E$11+1,1))-AVERAGE(OFFSET($H$3,0,0,'Données projet'!$E$11+1,1))</f>
        <v>711.91538686535682</v>
      </c>
      <c r="BJ170" s="59">
        <f t="shared" si="146"/>
        <v>313.24593837351722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58.088946887190595</v>
      </c>
      <c r="BQ170" s="21">
        <f>EXP(-LN(2)/25)*BQ169+(1-EXP(-LN(2)/25))/(LN(2)/25)*Calculateur!BL170*Calculateur!BN170*VLOOKUP('Données projet'!$B$11,Paramètres!$A$1:$I$89,3,0)*0.475*44/12</f>
        <v>22.266835131311858</v>
      </c>
      <c r="BR170" s="21">
        <f>EXP(-LN(2)/2)*BR169+(1-EXP(-LN(2)/2))/(LN(2)/2)*BL170*BO170*VLOOKUP('Données projet'!$B$11,Paramètres!$A$1:$I$89,3,0)*0.475*44/12</f>
        <v>1.8106565195724895E-6</v>
      </c>
      <c r="BS170" s="22">
        <f t="shared" si="169"/>
        <v>80.355783829158966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9.6220000000000034</v>
      </c>
      <c r="BY170" s="12">
        <f>IF('Données projet'!$A$114&gt;35,BY169+BX170-CG169,IF(A170&lt;'Données projet'!$A$114,$BV$205^A170,IF(A170='Données projet'!$A$114,'Données projet'!$B$114,BY169+BX170-CG169)))</f>
        <v>543.16600000000119</v>
      </c>
      <c r="BZ170" s="13">
        <f>BY170*VLOOKUP('Données projet'!$B$12,Paramètres!$A$1:$I$89,3,0)*VLOOKUP('Données projet'!$B$12,Paramètres!$A$1:$I$89,5,0)</f>
        <v>491.45659680000102</v>
      </c>
      <c r="CA170" s="13">
        <f t="shared" si="170"/>
        <v>110.09012381497753</v>
      </c>
      <c r="CB170" s="20">
        <f t="shared" si="171"/>
        <v>1047.6938717377543</v>
      </c>
      <c r="CC170" s="59">
        <f t="shared" si="119"/>
        <v>1336.0956281016738</v>
      </c>
      <c r="CD170" s="59">
        <f ca="1">AVERAGE(OFFSET($CC$3,0,0,'Données projet'!$E$12+1,1))-AVERAGE(OFFSET($H$3,0,0,'Données projet'!$E$12+1,1))</f>
        <v>681.47578137804555</v>
      </c>
      <c r="CE170" s="59">
        <f t="shared" si="148"/>
        <v>300.88511065995885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55.232113433722205</v>
      </c>
      <c r="CL170" s="21">
        <f>EXP(-LN(2)/25)*CL169+(1-EXP(-LN(2)/25))/(LN(2)/25)*Calculateur!CG170*Calculateur!CI170*VLOOKUP('Données projet'!$B$12,Paramètres!$A$1:$I$89,3,0)*0.475*44/12</f>
        <v>21.171744878952261</v>
      </c>
      <c r="CM170" s="21">
        <f>EXP(-LN(2)/2)*CM169+(1-EXP(-LN(2)/2))/(LN(2)/2)*CG170*CJ170*VLOOKUP('Données projet'!$B$12,Paramètres!$A$1:$I$89,3,0)*0.475*44/12</f>
        <v>1.7216078382820342E-6</v>
      </c>
      <c r="CN170" s="22">
        <f t="shared" si="172"/>
        <v>76.403860034282303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-8.5265128291212022E-14</v>
      </c>
      <c r="CU170" s="17">
        <f>CT170*VLOOKUP('Données projet'!$B$13,Paramètres!$A$1:$I$89,3,0)*VLOOKUP('Données projet'!$B$13,Paramètres!$A$1:$I$89,5,0)</f>
        <v>-6.9167072069831198E-14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186.54446846714993</v>
      </c>
      <c r="CZ170" s="59">
        <f t="shared" si="150"/>
        <v>154.43773051601286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</v>
      </c>
      <c r="DG170" s="21">
        <f>EXP(-LN(2)/25)*DG169+(1-EXP(-LN(2)/25))/(LN(2)/25)*Calculateur!DB170*Calculateur!DD170*VLOOKUP('Données projet'!$B$13,Paramètres!$A$1:$I$89,3,0)*0.475*44/12</f>
        <v>1.913322478857844</v>
      </c>
      <c r="DH170" s="21">
        <f>EXP(-LN(2)/2)*DH169+(1-EXP(-LN(2)/2))/(LN(2)/2)*DB170*DE170*VLOOKUP('Données projet'!$B$13,Paramètres!$A$1:$I$89,3,0)*0.475*44/12</f>
        <v>6.4426917754222573E-11</v>
      </c>
      <c r="DI170" s="22">
        <f t="shared" si="175"/>
        <v>1.9133224789222709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8.1599999999999984</v>
      </c>
      <c r="DO170" s="12">
        <f>IF('Données projet'!$A$166&gt;35,DO169+DN170-DW169,IF(A170&lt;'Données projet'!$A$166,$DL$205^A170,IF(A170='Données projet'!$A$166,'Données projet'!$B$166,DO169+DN170-DW169)))</f>
        <v>407.28</v>
      </c>
      <c r="DP170" s="17">
        <f>DO170*VLOOKUP('Données projet'!$B$14,Paramètres!$A$1:$I$89,3,0)*VLOOKUP('Données projet'!$B$14,Paramètres!$A$1:$I$89,5,0)</f>
        <v>463.81046399999997</v>
      </c>
      <c r="DQ170" s="13">
        <f t="shared" si="176"/>
        <v>104.59973113784045</v>
      </c>
      <c r="DR170" s="20">
        <f t="shared" si="177"/>
        <v>989.98108986507202</v>
      </c>
      <c r="DS170" s="59">
        <f t="shared" si="125"/>
        <v>1278.3828462289916</v>
      </c>
      <c r="DT170" s="59">
        <f ca="1">AVERAGE(OFFSET($DS$3,0,0,'Données projet'!$E$14+1,1))-AVERAGE(OFFSET($H$3,0,0,'Données projet'!$E$14+1,1))</f>
        <v>651.35546372812314</v>
      </c>
      <c r="DU170" s="59">
        <f t="shared" si="152"/>
        <v>293.6561676213388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41.930120948931879</v>
      </c>
      <c r="EB170" s="21">
        <f>EXP(-LN(2)/25)*EB169+(1-EXP(-LN(2)/25))/(LN(2)/25)*Calculateur!DW170*Calculateur!DY170*VLOOKUP('Données projet'!$B$14,Paramètres!$A$1:$I$89,3,0)*0.475*44/12</f>
        <v>25.087803760306507</v>
      </c>
      <c r="EC170" s="21">
        <f>EXP(-LN(2)/2)*EC169+(1-EXP(-LN(2)/2))/(LN(2)/2)*DW170*DZ170*VLOOKUP('Données projet'!$B$14,Paramètres!$A$1:$I$89,3,0)*0.475*44/12</f>
        <v>3.1641754746449551</v>
      </c>
      <c r="ED170" s="22">
        <f t="shared" si="178"/>
        <v>70.182100183883335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8.5265128291212022E-14</v>
      </c>
      <c r="EK170" s="17">
        <f>EJ170*VLOOKUP('Données projet'!$B$15,Paramètres!$A$1:$I$89,3,0)*VLOOKUP('Données projet'!$B$15,Paramètres!$A$1:$I$89,5,0)</f>
        <v>8.9119112089974823E-14</v>
      </c>
      <c r="EL170" s="13">
        <f t="shared" si="179"/>
        <v>1.3568952080113142E-12</v>
      </c>
      <c r="EM170" s="20">
        <f t="shared" si="180"/>
        <v>2.5184749408430782E-12</v>
      </c>
      <c r="EN170" s="59">
        <f t="shared" si="128"/>
        <v>288.40175636392212</v>
      </c>
      <c r="EO170" s="59">
        <f ca="1">AVERAGE(OFFSET($EN$3,0,0,'Données projet'!$E$15+1,1))-AVERAGE(OFFSET($H$3,0,0,'Données projet'!$E$15+1,1))</f>
        <v>290.69667785754848</v>
      </c>
      <c r="EP170" s="59">
        <f t="shared" si="154"/>
        <v>256.28124185489082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4.7222070332299486</v>
      </c>
      <c r="EW170" s="21">
        <f>EXP(-LN(2)/25)*EW169+(1-EXP(-LN(2)/25))/(LN(2)/25)*Calculateur!ER170*Calculateur!ET170*VLOOKUP('Données projet'!$B$15,Paramètres!$A$1:$I$89,3,0)*0.475*44/12</f>
        <v>7.091568036061183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11.813775069291133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9.6220000000000034</v>
      </c>
      <c r="N171" s="13">
        <f>IF('Données projet'!$A$36&gt;35,N170+M171-V170,IF(A171&lt;'Données projet'!$A$36,$K$205^A171,IF(A171='Données projet'!$A$36,'Données projet'!$B$36,N170+M171-V170)))</f>
        <v>552.78800000000115</v>
      </c>
      <c r="O171" s="13">
        <f>N171*VLOOKUP('Données projet'!$B$9,Paramètres!$A$1:$I$89,3,0)*VLOOKUP('Données projet'!$B$9,Paramètres!$A$1:$I$89,5,0)</f>
        <v>560.52703200000121</v>
      </c>
      <c r="P171" s="13">
        <f t="shared" si="141"/>
        <v>123.65508685225305</v>
      </c>
      <c r="Q171" s="20">
        <f t="shared" si="162"/>
        <v>1191.6171903343427</v>
      </c>
      <c r="R171" s="59">
        <f t="shared" si="109"/>
        <v>1480.1044985333272</v>
      </c>
      <c r="S171" s="59">
        <f ca="1">AVERAGE(OFFSET($R$3,0,0,'Données projet'!$E$9+1,1))-AVERAGE(OFFSET($H$3,0,0,'Données projet'!$E$9+1,1))</f>
        <v>752.45542076695506</v>
      </c>
      <c r="T171" s="59">
        <f t="shared" si="142"/>
        <v>329.70629768420724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60.684274992081555</v>
      </c>
      <c r="AA171" s="21">
        <f>EXP(-LN(2)/25)*AA170+(1-EXP(-LN(2)/25))/(LN(2)/25)*Calculateur!V171*Calculateur!X171*VLOOKUP('Données projet'!$B$9,Paramètres!$A$1:$I$89,3,0)*0.475*44/12</f>
        <v>23.078140622778218</v>
      </c>
      <c r="AB171" s="21">
        <f>EXP(-LN(2)/2)*AB170+(1-EXP(-LN(2)/2))/(LN(2)/2)*V171*Y171*VLOOKUP('Données projet'!$B$9,Paramètres!$A$1:$I$89,3,0)*0.475*44/12</f>
        <v>1.3642834052509312E-6</v>
      </c>
      <c r="AC171" s="22">
        <f t="shared" si="163"/>
        <v>83.762416979143183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408.246209980743</v>
      </c>
      <c r="AO171" s="59">
        <f t="shared" si="144"/>
        <v>394.10236303013903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9.9907054284019843</v>
      </c>
      <c r="AV171" s="21">
        <f>EXP(-LN(2)/25)*AV170+(1-EXP(-LN(2)/25))/(LN(2)/25)*Calculateur!AQ171*Calculateur!AS171*VLOOKUP('Données projet'!$B$10,Paramètres!$A$1:$I$89,3,0)*0.475*44/12</f>
        <v>4.9125911363383254</v>
      </c>
      <c r="AW171" s="21">
        <f>EXP(-LN(2)/2)*AW170+(1-EXP(-LN(2)/2))/(LN(2)/2)*AQ171*AT171*VLOOKUP('Données projet'!$B$10,Paramètres!$A$1:$I$89,3,0)*0.475*44/12</f>
        <v>3.8961081018772813E-12</v>
      </c>
      <c r="AX171" s="21">
        <f t="shared" si="166"/>
        <v>14.903296564744204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9.6220000000000034</v>
      </c>
      <c r="BD171" s="12">
        <f>IF('Données projet'!$A$88&gt;35,BD170+BC171-BL170,IF(A171&lt;'Données projet'!$A$88,$BA$205^A171,IF(A171='Données projet'!$A$88,'Données projet'!$B$88,BD170+BC171-BL170)))</f>
        <v>552.78800000000115</v>
      </c>
      <c r="BE171" s="13">
        <f>BD171*VLOOKUP('Données projet'!$B$11,Paramètres!$A$1:$I$89,3,0)*VLOOKUP('Données projet'!$B$11,Paramètres!$A$1:$I$89,5,0)</f>
        <v>526.03306080000118</v>
      </c>
      <c r="BF171" s="13">
        <f t="shared" si="167"/>
        <v>116.90664226754956</v>
      </c>
      <c r="BG171" s="20">
        <f t="shared" si="168"/>
        <v>1119.7866495093174</v>
      </c>
      <c r="BH171" s="59">
        <f t="shared" si="116"/>
        <v>1408.2739577083019</v>
      </c>
      <c r="BI171" s="59">
        <f ca="1">AVERAGE(OFFSET($BH$3,0,0,'Données projet'!$E$11+1,1))-AVERAGE(OFFSET($H$3,0,0,'Données projet'!$E$11+1,1))</f>
        <v>711.91538686535682</v>
      </c>
      <c r="BJ171" s="59">
        <f t="shared" si="146"/>
        <v>313.24593837351722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56.949858069491889</v>
      </c>
      <c r="BQ171" s="21">
        <f>EXP(-LN(2)/25)*BQ170+(1-EXP(-LN(2)/25))/(LN(2)/25)*Calculateur!BL171*Calculateur!BN171*VLOOKUP('Données projet'!$B$11,Paramètres!$A$1:$I$89,3,0)*0.475*44/12</f>
        <v>21.657947353684168</v>
      </c>
      <c r="BR171" s="21">
        <f>EXP(-LN(2)/2)*BR170+(1-EXP(-LN(2)/2))/(LN(2)/2)*BL171*BO171*VLOOKUP('Données projet'!$B$11,Paramètres!$A$1:$I$89,3,0)*0.475*44/12</f>
        <v>1.2803275033893401E-6</v>
      </c>
      <c r="BS171" s="22">
        <f t="shared" si="169"/>
        <v>78.60780670350357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9.6220000000000034</v>
      </c>
      <c r="BY171" s="12">
        <f>IF('Données projet'!$A$114&gt;35,BY170+BX171-CG170,IF(A171&lt;'Données projet'!$A$114,$BV$205^A171,IF(A171='Données projet'!$A$114,'Données projet'!$B$114,BY170+BX171-CG170)))</f>
        <v>552.78800000000115</v>
      </c>
      <c r="BZ171" s="13">
        <f>BY171*VLOOKUP('Données projet'!$B$12,Paramètres!$A$1:$I$89,3,0)*VLOOKUP('Données projet'!$B$12,Paramètres!$A$1:$I$89,5,0)</f>
        <v>500.16258240000104</v>
      </c>
      <c r="CA171" s="13">
        <f t="shared" si="170"/>
        <v>111.81156339666074</v>
      </c>
      <c r="CB171" s="20">
        <f t="shared" si="171"/>
        <v>1065.8549705958526</v>
      </c>
      <c r="CC171" s="59">
        <f t="shared" si="119"/>
        <v>1354.3422787948371</v>
      </c>
      <c r="CD171" s="59">
        <f ca="1">AVERAGE(OFFSET($CC$3,0,0,'Données projet'!$E$12+1,1))-AVERAGE(OFFSET($H$3,0,0,'Données projet'!$E$12+1,1))</f>
        <v>681.47578137804555</v>
      </c>
      <c r="CE171" s="59">
        <f t="shared" si="148"/>
        <v>300.88511065995885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54.149045377549669</v>
      </c>
      <c r="CL171" s="21">
        <f>EXP(-LN(2)/25)*CL170+(1-EXP(-LN(2)/25))/(LN(2)/25)*Calculateur!CG171*Calculateur!CI171*VLOOKUP('Données projet'!$B$12,Paramètres!$A$1:$I$89,3,0)*0.475*44/12</f>
        <v>20.592802401863636</v>
      </c>
      <c r="CM171" s="21">
        <f>EXP(-LN(2)/2)*CM170+(1-EXP(-LN(2)/2))/(LN(2)/2)*CG171*CJ171*VLOOKUP('Données projet'!$B$12,Paramètres!$A$1:$I$89,3,0)*0.475*44/12</f>
        <v>1.2173605769931395E-6</v>
      </c>
      <c r="CN171" s="22">
        <f t="shared" si="172"/>
        <v>74.741848996773882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-8.5265128291212022E-14</v>
      </c>
      <c r="CU171" s="17">
        <f>CT171*VLOOKUP('Données projet'!$B$13,Paramètres!$A$1:$I$89,3,0)*VLOOKUP('Données projet'!$B$13,Paramètres!$A$1:$I$89,5,0)</f>
        <v>-6.9167072069831198E-14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186.54446846714993</v>
      </c>
      <c r="CZ171" s="59">
        <f t="shared" si="150"/>
        <v>154.43773051601286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</v>
      </c>
      <c r="DG171" s="21">
        <f>EXP(-LN(2)/25)*DG170+(1-EXP(-LN(2)/25))/(LN(2)/25)*Calculateur!DB171*Calculateur!DD171*VLOOKUP('Données projet'!$B$13,Paramètres!$A$1:$I$89,3,0)*0.475*44/12</f>
        <v>1.86100257505622</v>
      </c>
      <c r="DH171" s="21">
        <f>EXP(-LN(2)/2)*DH170+(1-EXP(-LN(2)/2))/(LN(2)/2)*DB171*DE171*VLOOKUP('Données projet'!$B$13,Paramètres!$A$1:$I$89,3,0)*0.475*44/12</f>
        <v>4.5556710434958756E-11</v>
      </c>
      <c r="DI171" s="22">
        <f t="shared" si="175"/>
        <v>1.8610025751017767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8.1599999999999984</v>
      </c>
      <c r="DO171" s="12">
        <f>IF('Données projet'!$A$166&gt;35,DO170+DN171-DW170,IF(A171&lt;'Données projet'!$A$166,$DL$205^A171,IF(A171='Données projet'!$A$166,'Données projet'!$B$166,DO170+DN171-DW170)))</f>
        <v>415.44</v>
      </c>
      <c r="DP171" s="17">
        <f>DO171*VLOOKUP('Données projet'!$B$14,Paramètres!$A$1:$I$89,3,0)*VLOOKUP('Données projet'!$B$14,Paramètres!$A$1:$I$89,5,0)</f>
        <v>473.10307199999994</v>
      </c>
      <c r="DQ171" s="13">
        <f t="shared" si="176"/>
        <v>106.44934206618096</v>
      </c>
      <c r="DR171" s="20">
        <f t="shared" si="177"/>
        <v>1009.3871211652649</v>
      </c>
      <c r="DS171" s="59">
        <f t="shared" si="125"/>
        <v>1297.8744293642494</v>
      </c>
      <c r="DT171" s="59">
        <f ca="1">AVERAGE(OFFSET($DS$3,0,0,'Données projet'!$E$14+1,1))-AVERAGE(OFFSET($H$3,0,0,'Données projet'!$E$14+1,1))</f>
        <v>651.35546372812314</v>
      </c>
      <c r="DU171" s="59">
        <f t="shared" si="152"/>
        <v>293.6561676213388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41.107896851971795</v>
      </c>
      <c r="EB171" s="21">
        <f>EXP(-LN(2)/25)*EB170+(1-EXP(-LN(2)/25))/(LN(2)/25)*Calculateur!DW171*Calculateur!DY171*VLOOKUP('Données projet'!$B$14,Paramètres!$A$1:$I$89,3,0)*0.475*44/12</f>
        <v>24.401776447170665</v>
      </c>
      <c r="EC171" s="21">
        <f>EXP(-LN(2)/2)*EC170+(1-EXP(-LN(2)/2))/(LN(2)/2)*DW171*DZ171*VLOOKUP('Données projet'!$B$14,Paramètres!$A$1:$I$89,3,0)*0.475*44/12</f>
        <v>2.2374099349856107</v>
      </c>
      <c r="ED171" s="22">
        <f t="shared" si="178"/>
        <v>67.74708323412807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8.5265128291212022E-14</v>
      </c>
      <c r="EK171" s="17">
        <f>EJ171*VLOOKUP('Données projet'!$B$15,Paramètres!$A$1:$I$89,3,0)*VLOOKUP('Données projet'!$B$15,Paramètres!$A$1:$I$89,5,0)</f>
        <v>8.9119112089974823E-14</v>
      </c>
      <c r="EL171" s="13">
        <f t="shared" si="179"/>
        <v>1.3568952080113142E-12</v>
      </c>
      <c r="EM171" s="20">
        <f t="shared" si="180"/>
        <v>2.5184749408430782E-12</v>
      </c>
      <c r="EN171" s="59">
        <f t="shared" si="128"/>
        <v>288.48730819898702</v>
      </c>
      <c r="EO171" s="59">
        <f ca="1">AVERAGE(OFFSET($EN$3,0,0,'Données projet'!$E$15+1,1))-AVERAGE(OFFSET($H$3,0,0,'Données projet'!$E$15+1,1))</f>
        <v>290.69667785754848</v>
      </c>
      <c r="EP171" s="59">
        <f t="shared" si="154"/>
        <v>256.28124185489082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4.6296074335701975</v>
      </c>
      <c r="EW171" s="21">
        <f>EXP(-LN(2)/25)*EW170+(1-EXP(-LN(2)/25))/(LN(2)/25)*Calculateur!ER171*Calculateur!ET171*VLOOKUP('Données projet'!$B$15,Paramètres!$A$1:$I$89,3,0)*0.475*44/12</f>
        <v>6.8976487351857347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11.527256168755933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9.6220000000000034</v>
      </c>
      <c r="N172" s="13">
        <f>IF('Données projet'!$A$36&gt;35,N171+M172-V171,IF(A172&lt;'Données projet'!$A$36,$K$205^A172,IF(A172='Données projet'!$A$36,'Données projet'!$B$36,N171+M172-V171)))</f>
        <v>562.41000000000111</v>
      </c>
      <c r="O172" s="13">
        <f>N172*VLOOKUP('Données projet'!$B$9,Paramètres!$A$1:$I$89,3,0)*VLOOKUP('Données projet'!$B$9,Paramètres!$A$1:$I$89,5,0)</f>
        <v>570.28374000000122</v>
      </c>
      <c r="P172" s="13">
        <f t="shared" si="141"/>
        <v>125.55501458776541</v>
      </c>
      <c r="Q172" s="20">
        <f t="shared" si="162"/>
        <v>1211.9191642403603</v>
      </c>
      <c r="R172" s="59">
        <f t="shared" si="109"/>
        <v>1500.4905401413366</v>
      </c>
      <c r="S172" s="59">
        <f ca="1">AVERAGE(OFFSET($R$3,0,0,'Données projet'!$E$9+1,1))-AVERAGE(OFFSET($H$3,0,0,'Données projet'!$E$9+1,1))</f>
        <v>752.45542076695506</v>
      </c>
      <c r="T172" s="59">
        <f t="shared" si="142"/>
        <v>329.70629768420724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59.494293373239778</v>
      </c>
      <c r="AA172" s="21">
        <f>EXP(-LN(2)/25)*AA171+(1-EXP(-LN(2)/25))/(LN(2)/25)*Calculateur!V172*Calculateur!X172*VLOOKUP('Données projet'!$B$9,Paramètres!$A$1:$I$89,3,0)*0.475*44/12</f>
        <v>22.447067653821676</v>
      </c>
      <c r="AB172" s="21">
        <f>EXP(-LN(2)/2)*AB171+(1-EXP(-LN(2)/2))/(LN(2)/2)*V172*Y172*VLOOKUP('Données projet'!$B$9,Paramètres!$A$1:$I$89,3,0)*0.475*44/12</f>
        <v>9.6469404731320817E-7</v>
      </c>
      <c r="AC172" s="22">
        <f t="shared" si="163"/>
        <v>81.9413619917555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408.246209980743</v>
      </c>
      <c r="AO172" s="59">
        <f t="shared" si="144"/>
        <v>394.10236303013903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9.7947937886796268</v>
      </c>
      <c r="AV172" s="21">
        <f>EXP(-LN(2)/25)*AV171+(1-EXP(-LN(2)/25))/(LN(2)/25)*Calculateur!AQ172*Calculateur!AS172*VLOOKUP('Données projet'!$B$10,Paramètres!$A$1:$I$89,3,0)*0.475*44/12</f>
        <v>4.778256073373214</v>
      </c>
      <c r="AW172" s="21">
        <f>EXP(-LN(2)/2)*AW171+(1-EXP(-LN(2)/2))/(LN(2)/2)*AQ172*AT172*VLOOKUP('Données projet'!$B$10,Paramètres!$A$1:$I$89,3,0)*0.475*44/12</f>
        <v>2.7549644590732738E-12</v>
      </c>
      <c r="AX172" s="21">
        <f t="shared" si="166"/>
        <v>14.573049862055596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9.6220000000000034</v>
      </c>
      <c r="BD172" s="12">
        <f>IF('Données projet'!$A$88&gt;35,BD171+BC172-BL171,IF(A172&lt;'Données projet'!$A$88,$BA$205^A172,IF(A172='Données projet'!$A$88,'Données projet'!$B$88,BD171+BC172-BL171)))</f>
        <v>562.41000000000111</v>
      </c>
      <c r="BE172" s="13">
        <f>BD172*VLOOKUP('Données projet'!$B$11,Paramètres!$A$1:$I$89,3,0)*VLOOKUP('Données projet'!$B$11,Paramètres!$A$1:$I$89,5,0)</f>
        <v>535.189356000001</v>
      </c>
      <c r="BF172" s="13">
        <f t="shared" si="167"/>
        <v>118.70288193519161</v>
      </c>
      <c r="BG172" s="20">
        <f t="shared" si="168"/>
        <v>1138.8623144037938</v>
      </c>
      <c r="BH172" s="59">
        <f t="shared" si="116"/>
        <v>1427.4336903047702</v>
      </c>
      <c r="BI172" s="59">
        <f ca="1">AVERAGE(OFFSET($BH$3,0,0,'Données projet'!$E$11+1,1))-AVERAGE(OFFSET($H$3,0,0,'Données projet'!$E$11+1,1))</f>
        <v>711.91538686535682</v>
      </c>
      <c r="BJ172" s="59">
        <f t="shared" si="146"/>
        <v>313.24593837351722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55.833106088732684</v>
      </c>
      <c r="BQ172" s="21">
        <f>EXP(-LN(2)/25)*BQ171+(1-EXP(-LN(2)/25))/(LN(2)/25)*Calculateur!BL172*Calculateur!BN172*VLOOKUP('Données projet'!$B$11,Paramètres!$A$1:$I$89,3,0)*0.475*44/12</f>
        <v>21.065709644355724</v>
      </c>
      <c r="BR172" s="21">
        <f>EXP(-LN(2)/2)*BR171+(1-EXP(-LN(2)/2))/(LN(2)/2)*BL172*BO172*VLOOKUP('Données projet'!$B$11,Paramètres!$A$1:$I$89,3,0)*0.475*44/12</f>
        <v>9.0532825978624484E-7</v>
      </c>
      <c r="BS172" s="22">
        <f t="shared" si="169"/>
        <v>76.898816638416676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9.6220000000000034</v>
      </c>
      <c r="BY172" s="12">
        <f>IF('Données projet'!$A$114&gt;35,BY171+BX172-CG171,IF(A172&lt;'Données projet'!$A$114,$BV$205^A172,IF(A172='Données projet'!$A$114,'Données projet'!$B$114,BY171+BX172-CG171)))</f>
        <v>562.41000000000111</v>
      </c>
      <c r="BZ172" s="13">
        <f>BY172*VLOOKUP('Données projet'!$B$12,Paramètres!$A$1:$I$89,3,0)*VLOOKUP('Données projet'!$B$12,Paramètres!$A$1:$I$89,5,0)</f>
        <v>508.86856800000095</v>
      </c>
      <c r="CA172" s="13">
        <f t="shared" si="170"/>
        <v>113.52951852374844</v>
      </c>
      <c r="CB172" s="20">
        <f t="shared" si="171"/>
        <v>1084.0100006955302</v>
      </c>
      <c r="CC172" s="59">
        <f t="shared" si="119"/>
        <v>1372.5813765965065</v>
      </c>
      <c r="CD172" s="59">
        <f ca="1">AVERAGE(OFFSET($CC$3,0,0,'Données projet'!$E$12+1,1))-AVERAGE(OFFSET($H$3,0,0,'Données projet'!$E$12+1,1))</f>
        <v>681.47578137804555</v>
      </c>
      <c r="CE172" s="59">
        <f t="shared" si="148"/>
        <v>300.88511065995885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53.087215625352393</v>
      </c>
      <c r="CL172" s="21">
        <f>EXP(-LN(2)/25)*CL171+(1-EXP(-LN(2)/25))/(LN(2)/25)*Calculateur!CG172*Calculateur!CI172*VLOOKUP('Données projet'!$B$12,Paramètres!$A$1:$I$89,3,0)*0.475*44/12</f>
        <v>20.029691137256261</v>
      </c>
      <c r="CM172" s="21">
        <f>EXP(-LN(2)/2)*CM171+(1-EXP(-LN(2)/2))/(LN(2)/2)*CG172*CJ172*VLOOKUP('Données projet'!$B$12,Paramètres!$A$1:$I$89,3,0)*0.475*44/12</f>
        <v>8.6080391914101712E-7</v>
      </c>
      <c r="CN172" s="22">
        <f t="shared" si="172"/>
        <v>73.116907623412573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-8.5265128291212022E-14</v>
      </c>
      <c r="CU172" s="17">
        <f>CT172*VLOOKUP('Données projet'!$B$13,Paramètres!$A$1:$I$89,3,0)*VLOOKUP('Données projet'!$B$13,Paramètres!$A$1:$I$89,5,0)</f>
        <v>-6.9167072069831198E-14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186.54446846714993</v>
      </c>
      <c r="CZ172" s="59">
        <f t="shared" si="150"/>
        <v>154.43773051601286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</v>
      </c>
      <c r="DG172" s="21">
        <f>EXP(-LN(2)/25)*DG171+(1-EXP(-LN(2)/25))/(LN(2)/25)*Calculateur!DB172*Calculateur!DD172*VLOOKUP('Données projet'!$B$13,Paramètres!$A$1:$I$89,3,0)*0.475*44/12</f>
        <v>1.8101133617754357</v>
      </c>
      <c r="DH172" s="21">
        <f>EXP(-LN(2)/2)*DH171+(1-EXP(-LN(2)/2))/(LN(2)/2)*DB172*DE172*VLOOKUP('Données projet'!$B$13,Paramètres!$A$1:$I$89,3,0)*0.475*44/12</f>
        <v>3.2213458877111287E-11</v>
      </c>
      <c r="DI172" s="22">
        <f t="shared" si="175"/>
        <v>1.8101133618076493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8.1599999999999984</v>
      </c>
      <c r="DO172" s="12">
        <f>IF('Données projet'!$A$166&gt;35,DO171+DN172-DW171,IF(A172&lt;'Données projet'!$A$166,$DL$205^A172,IF(A172='Données projet'!$A$166,'Données projet'!$B$166,DO171+DN172-DW171)))</f>
        <v>423.6</v>
      </c>
      <c r="DP172" s="17">
        <f>DO172*VLOOKUP('Données projet'!$B$14,Paramètres!$A$1:$I$89,3,0)*VLOOKUP('Données projet'!$B$14,Paramètres!$A$1:$I$89,5,0)</f>
        <v>482.39568000000003</v>
      </c>
      <c r="DQ172" s="13">
        <f t="shared" si="176"/>
        <v>108.29472875668991</v>
      </c>
      <c r="DR172" s="20">
        <f t="shared" si="177"/>
        <v>1028.785795251235</v>
      </c>
      <c r="DS172" s="59">
        <f t="shared" si="125"/>
        <v>1317.3571711522113</v>
      </c>
      <c r="DT172" s="59">
        <f ca="1">AVERAGE(OFFSET($DS$3,0,0,'Données projet'!$E$14+1,1))-AVERAGE(OFFSET($H$3,0,0,'Données projet'!$E$14+1,1))</f>
        <v>651.35546372812314</v>
      </c>
      <c r="DU172" s="59">
        <f t="shared" si="152"/>
        <v>293.6561676213388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40.301796068045924</v>
      </c>
      <c r="EB172" s="21">
        <f>EXP(-LN(2)/25)*EB171+(1-EXP(-LN(2)/25))/(LN(2)/25)*Calculateur!DW172*Calculateur!DY172*VLOOKUP('Données projet'!$B$14,Paramètres!$A$1:$I$89,3,0)*0.475*44/12</f>
        <v>23.734508586989129</v>
      </c>
      <c r="EC172" s="21">
        <f>EXP(-LN(2)/2)*EC171+(1-EXP(-LN(2)/2))/(LN(2)/2)*DW172*DZ172*VLOOKUP('Données projet'!$B$14,Paramètres!$A$1:$I$89,3,0)*0.475*44/12</f>
        <v>1.5820877373224778</v>
      </c>
      <c r="ED172" s="22">
        <f t="shared" si="178"/>
        <v>65.618392392357535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8.5265128291212022E-14</v>
      </c>
      <c r="EK172" s="17">
        <f>EJ172*VLOOKUP('Données projet'!$B$15,Paramètres!$A$1:$I$89,3,0)*VLOOKUP('Données projet'!$B$15,Paramètres!$A$1:$I$89,5,0)</f>
        <v>8.9119112089974823E-14</v>
      </c>
      <c r="EL172" s="13">
        <f t="shared" si="179"/>
        <v>1.3568952080113142E-12</v>
      </c>
      <c r="EM172" s="20">
        <f t="shared" si="180"/>
        <v>2.5184749408430782E-12</v>
      </c>
      <c r="EN172" s="59">
        <f t="shared" si="128"/>
        <v>288.57137590097892</v>
      </c>
      <c r="EO172" s="59">
        <f ca="1">AVERAGE(OFFSET($EN$3,0,0,'Données projet'!$E$15+1,1))-AVERAGE(OFFSET($H$3,0,0,'Données projet'!$E$15+1,1))</f>
        <v>290.69667785754848</v>
      </c>
      <c r="EP172" s="59">
        <f t="shared" si="154"/>
        <v>256.28124185489082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4.5388236555795949</v>
      </c>
      <c r="EW172" s="21">
        <f>EXP(-LN(2)/25)*EW171+(1-EXP(-LN(2)/25))/(LN(2)/25)*Calculateur!ER172*Calculateur!ET172*VLOOKUP('Données projet'!$B$15,Paramètres!$A$1:$I$89,3,0)*0.475*44/12</f>
        <v>6.7090321677904985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11.247855823370093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9.6220000000000034</v>
      </c>
      <c r="N173" s="13">
        <f>IF('Données projet'!$A$36&gt;35,N172+M173-V172,IF(A173&lt;'Données projet'!$A$36,$K$205^A173,IF(A173='Données projet'!$A$36,'Données projet'!$B$36,N172+M173-V172)))</f>
        <v>572.03200000000106</v>
      </c>
      <c r="O173" s="13">
        <f>N173*VLOOKUP('Données projet'!$B$9,Paramètres!$A$1:$I$89,3,0)*VLOOKUP('Données projet'!$B$9,Paramètres!$A$1:$I$89,5,0)</f>
        <v>580.04044800000111</v>
      </c>
      <c r="P173" s="13">
        <f t="shared" si="141"/>
        <v>127.45116231789045</v>
      </c>
      <c r="Q173" s="20">
        <f t="shared" si="162"/>
        <v>1232.2145546369943</v>
      </c>
      <c r="R173" s="59">
        <f t="shared" si="109"/>
        <v>1520.8685398532803</v>
      </c>
      <c r="S173" s="59">
        <f ca="1">AVERAGE(OFFSET($R$3,0,0,'Données projet'!$E$9+1,1))-AVERAGE(OFFSET($H$3,0,0,'Données projet'!$E$9+1,1))</f>
        <v>752.45542076695506</v>
      </c>
      <c r="T173" s="59">
        <f t="shared" si="142"/>
        <v>329.70629768420724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58.327646568126369</v>
      </c>
      <c r="AA173" s="21">
        <f>EXP(-LN(2)/25)*AA172+(1-EXP(-LN(2)/25))/(LN(2)/25)*Calculateur!V173*Calculateur!X173*VLOOKUP('Données projet'!$B$9,Paramètres!$A$1:$I$89,3,0)*0.475*44/12</f>
        <v>21.833251408387937</v>
      </c>
      <c r="AB173" s="21">
        <f>EXP(-LN(2)/2)*AB172+(1-EXP(-LN(2)/2))/(LN(2)/2)*V173*Y173*VLOOKUP('Données projet'!$B$9,Paramètres!$A$1:$I$89,3,0)*0.475*44/12</f>
        <v>6.8214170262546562E-7</v>
      </c>
      <c r="AC173" s="22">
        <f t="shared" si="163"/>
        <v>80.160898658656009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408.246209980743</v>
      </c>
      <c r="AO173" s="59">
        <f t="shared" si="144"/>
        <v>394.10236303013903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9.6027238567179243</v>
      </c>
      <c r="AV173" s="21">
        <f>EXP(-LN(2)/25)*AV172+(1-EXP(-LN(2)/25))/(LN(2)/25)*Calculateur!AQ173*Calculateur!AS173*VLOOKUP('Données projet'!$B$10,Paramètres!$A$1:$I$89,3,0)*0.475*44/12</f>
        <v>4.6475944097692574</v>
      </c>
      <c r="AW173" s="21">
        <f>EXP(-LN(2)/2)*AW172+(1-EXP(-LN(2)/2))/(LN(2)/2)*AQ173*AT173*VLOOKUP('Données projet'!$B$10,Paramètres!$A$1:$I$89,3,0)*0.475*44/12</f>
        <v>1.9480540509386407E-12</v>
      </c>
      <c r="AX173" s="21">
        <f t="shared" si="166"/>
        <v>14.250318266489129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9.6220000000000034</v>
      </c>
      <c r="BD173" s="12">
        <f>IF('Données projet'!$A$88&gt;35,BD172+BC173-BL172,IF(A173&lt;'Données projet'!$A$88,$BA$205^A173,IF(A173='Données projet'!$A$88,'Données projet'!$B$88,BD172+BC173-BL172)))</f>
        <v>572.03200000000106</v>
      </c>
      <c r="BE173" s="13">
        <f>BD173*VLOOKUP('Données projet'!$B$11,Paramètres!$A$1:$I$89,3,0)*VLOOKUP('Données projet'!$B$11,Paramètres!$A$1:$I$89,5,0)</f>
        <v>544.34565120000104</v>
      </c>
      <c r="BF173" s="13">
        <f t="shared" si="167"/>
        <v>120.49554789026885</v>
      </c>
      <c r="BG173" s="20">
        <f t="shared" si="168"/>
        <v>1157.9317550822202</v>
      </c>
      <c r="BH173" s="59">
        <f t="shared" si="116"/>
        <v>1446.5857402985062</v>
      </c>
      <c r="BI173" s="59">
        <f ca="1">AVERAGE(OFFSET($BH$3,0,0,'Données projet'!$E$11+1,1))-AVERAGE(OFFSET($H$3,0,0,'Données projet'!$E$11+1,1))</f>
        <v>711.91538686535682</v>
      </c>
      <c r="BJ173" s="59">
        <f t="shared" si="146"/>
        <v>313.24593837351722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54.738252933164716</v>
      </c>
      <c r="BQ173" s="21">
        <f>EXP(-LN(2)/25)*BQ172+(1-EXP(-LN(2)/25))/(LN(2)/25)*Calculateur!BL173*Calculateur!BN173*VLOOKUP('Données projet'!$B$11,Paramètres!$A$1:$I$89,3,0)*0.475*44/12</f>
        <v>20.489666706333292</v>
      </c>
      <c r="BR173" s="21">
        <f>EXP(-LN(2)/2)*BR172+(1-EXP(-LN(2)/2))/(LN(2)/2)*BL173*BO173*VLOOKUP('Données projet'!$B$11,Paramètres!$A$1:$I$89,3,0)*0.475*44/12</f>
        <v>6.4016375169467007E-7</v>
      </c>
      <c r="BS173" s="22">
        <f t="shared" si="169"/>
        <v>75.22792027966176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9.6220000000000034</v>
      </c>
      <c r="BY173" s="12">
        <f>IF('Données projet'!$A$114&gt;35,BY172+BX173-CG172,IF(A173&lt;'Données projet'!$A$114,$BV$205^A173,IF(A173='Données projet'!$A$114,'Données projet'!$B$114,BY172+BX173-CG172)))</f>
        <v>572.03200000000106</v>
      </c>
      <c r="BZ173" s="13">
        <f>BY173*VLOOKUP('Données projet'!$B$12,Paramètres!$A$1:$I$89,3,0)*VLOOKUP('Données projet'!$B$12,Paramètres!$A$1:$I$89,5,0)</f>
        <v>517.57455360000097</v>
      </c>
      <c r="CA173" s="13">
        <f t="shared" si="170"/>
        <v>115.24405568945055</v>
      </c>
      <c r="CB173" s="20">
        <f t="shared" si="171"/>
        <v>1102.1590778457946</v>
      </c>
      <c r="CC173" s="59">
        <f t="shared" si="119"/>
        <v>1390.8130630620806</v>
      </c>
      <c r="CD173" s="59">
        <f ca="1">AVERAGE(OFFSET($CC$3,0,0,'Données projet'!$E$12+1,1))-AVERAGE(OFFSET($H$3,0,0,'Données projet'!$E$12+1,1))</f>
        <v>681.47578137804555</v>
      </c>
      <c r="CE173" s="59">
        <f t="shared" si="148"/>
        <v>300.88511065995885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52.046207706943505</v>
      </c>
      <c r="CL173" s="21">
        <f>EXP(-LN(2)/25)*CL172+(1-EXP(-LN(2)/25))/(LN(2)/25)*Calculateur!CG173*Calculateur!CI173*VLOOKUP('Données projet'!$B$12,Paramètres!$A$1:$I$89,3,0)*0.475*44/12</f>
        <v>19.481978179792311</v>
      </c>
      <c r="CM173" s="21">
        <f>EXP(-LN(2)/2)*CM172+(1-EXP(-LN(2)/2))/(LN(2)/2)*CG173*CJ173*VLOOKUP('Données projet'!$B$12,Paramètres!$A$1:$I$89,3,0)*0.475*44/12</f>
        <v>6.0868028849656974E-7</v>
      </c>
      <c r="CN173" s="22">
        <f t="shared" si="172"/>
        <v>71.528186495416108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-8.5265128291212022E-14</v>
      </c>
      <c r="CU173" s="17">
        <f>CT173*VLOOKUP('Données projet'!$B$13,Paramètres!$A$1:$I$89,3,0)*VLOOKUP('Données projet'!$B$13,Paramètres!$A$1:$I$89,5,0)</f>
        <v>-6.9167072069831198E-14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186.54446846714993</v>
      </c>
      <c r="CZ173" s="59">
        <f t="shared" si="150"/>
        <v>154.43773051601286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</v>
      </c>
      <c r="DG173" s="21">
        <f>EXP(-LN(2)/25)*DG172+(1-EXP(-LN(2)/25))/(LN(2)/25)*Calculateur!DB173*Calculateur!DD173*VLOOKUP('Données projet'!$B$13,Paramètres!$A$1:$I$89,3,0)*0.475*44/12</f>
        <v>1.7606157167079617</v>
      </c>
      <c r="DH173" s="21">
        <f>EXP(-LN(2)/2)*DH172+(1-EXP(-LN(2)/2))/(LN(2)/2)*DB173*DE173*VLOOKUP('Données projet'!$B$13,Paramètres!$A$1:$I$89,3,0)*0.475*44/12</f>
        <v>2.2778355217479378E-11</v>
      </c>
      <c r="DI173" s="22">
        <f t="shared" si="175"/>
        <v>1.7606157167307401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8.1599999999999984</v>
      </c>
      <c r="DO173" s="12">
        <f>IF('Données projet'!$A$166&gt;35,DO172+DN173-DW172,IF(A173&lt;'Données projet'!$A$166,$DL$205^A173,IF(A173='Données projet'!$A$166,'Données projet'!$B$166,DO172+DN173-DW172)))</f>
        <v>431.76000000000005</v>
      </c>
      <c r="DP173" s="17">
        <f>DO173*VLOOKUP('Données projet'!$B$14,Paramètres!$A$1:$I$89,3,0)*VLOOKUP('Données projet'!$B$14,Paramètres!$A$1:$I$89,5,0)</f>
        <v>491.68828800000011</v>
      </c>
      <c r="DQ173" s="13">
        <f t="shared" si="176"/>
        <v>110.13598196420406</v>
      </c>
      <c r="DR173" s="20">
        <f t="shared" si="177"/>
        <v>1048.1772701876555</v>
      </c>
      <c r="DS173" s="59">
        <f t="shared" si="125"/>
        <v>1336.8312554039414</v>
      </c>
      <c r="DT173" s="59">
        <f ca="1">AVERAGE(OFFSET($DS$3,0,0,'Données projet'!$E$14+1,1))-AVERAGE(OFFSET($H$3,0,0,'Données projet'!$E$14+1,1))</f>
        <v>651.35546372812314</v>
      </c>
      <c r="DU173" s="59">
        <f t="shared" si="152"/>
        <v>293.6561676213388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39.511502428819909</v>
      </c>
      <c r="EB173" s="21">
        <f>EXP(-LN(2)/25)*EB172+(1-EXP(-LN(2)/25))/(LN(2)/25)*Calculateur!DW173*Calculateur!DY173*VLOOKUP('Données projet'!$B$14,Paramètres!$A$1:$I$89,3,0)*0.475*44/12</f>
        <v>23.085487201534352</v>
      </c>
      <c r="EC173" s="21">
        <f>EXP(-LN(2)/2)*EC172+(1-EXP(-LN(2)/2))/(LN(2)/2)*DW173*DZ173*VLOOKUP('Données projet'!$B$14,Paramètres!$A$1:$I$89,3,0)*0.475*44/12</f>
        <v>1.1187049674928053</v>
      </c>
      <c r="ED173" s="22">
        <f t="shared" si="178"/>
        <v>63.715694597847062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8.5265128291212022E-14</v>
      </c>
      <c r="EK173" s="17">
        <f>EJ173*VLOOKUP('Données projet'!$B$15,Paramètres!$A$1:$I$89,3,0)*VLOOKUP('Données projet'!$B$15,Paramètres!$A$1:$I$89,5,0)</f>
        <v>8.9119112089974823E-14</v>
      </c>
      <c r="EL173" s="13">
        <f t="shared" si="179"/>
        <v>1.3568952080113142E-12</v>
      </c>
      <c r="EM173" s="20">
        <f t="shared" si="180"/>
        <v>2.5184749408430782E-12</v>
      </c>
      <c r="EN173" s="59">
        <f t="shared" si="128"/>
        <v>288.65398521628839</v>
      </c>
      <c r="EO173" s="59">
        <f ca="1">AVERAGE(OFFSET($EN$3,0,0,'Données projet'!$E$15+1,1))-AVERAGE(OFFSET($H$3,0,0,'Données projet'!$E$15+1,1))</f>
        <v>290.69667785754848</v>
      </c>
      <c r="EP173" s="59">
        <f t="shared" si="154"/>
        <v>256.28124185489082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4.4498200921027511</v>
      </c>
      <c r="EW173" s="21">
        <f>EXP(-LN(2)/25)*EW172+(1-EXP(-LN(2)/25))/(LN(2)/25)*Calculateur!ER173*Calculateur!ET173*VLOOKUP('Données projet'!$B$15,Paramètres!$A$1:$I$89,3,0)*0.475*44/12</f>
        <v>6.5255733303495997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10.975393422452351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9.6220000000000034</v>
      </c>
      <c r="N174" s="13">
        <f>IF('Données projet'!$A$36&gt;35,N173+M174-V173,IF(A174&lt;'Données projet'!$A$36,$K$205^A174,IF(A174='Données projet'!$A$36,'Données projet'!$B$36,N173+M174-V173)))</f>
        <v>581.65400000000102</v>
      </c>
      <c r="O174" s="13">
        <f>N174*VLOOKUP('Données projet'!$B$9,Paramètres!$A$1:$I$89,3,0)*VLOOKUP('Données projet'!$B$9,Paramètres!$A$1:$I$89,5,0)</f>
        <v>589.79715600000111</v>
      </c>
      <c r="P174" s="13">
        <f t="shared" si="141"/>
        <v>129.34360096340086</v>
      </c>
      <c r="Q174" s="20">
        <f t="shared" si="162"/>
        <v>1252.5034850445916</v>
      </c>
      <c r="R174" s="59">
        <f t="shared" si="109"/>
        <v>1541.2386464892531</v>
      </c>
      <c r="S174" s="59">
        <f ca="1">AVERAGE(OFFSET($R$3,0,0,'Données projet'!$E$9+1,1))-AVERAGE(OFFSET($H$3,0,0,'Données projet'!$E$9+1,1))</f>
        <v>752.45542076695506</v>
      </c>
      <c r="T174" s="59">
        <f t="shared" si="142"/>
        <v>329.70629768420724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57.183876995276947</v>
      </c>
      <c r="AA174" s="21">
        <f>EXP(-LN(2)/25)*AA173+(1-EXP(-LN(2)/25))/(LN(2)/25)*Calculateur!V174*Calculateur!X174*VLOOKUP('Données projet'!$B$9,Paramètres!$A$1:$I$89,3,0)*0.475*44/12</f>
        <v>21.23622000046478</v>
      </c>
      <c r="AB174" s="21">
        <f>EXP(-LN(2)/2)*AB173+(1-EXP(-LN(2)/2))/(LN(2)/2)*V174*Y174*VLOOKUP('Données projet'!$B$9,Paramètres!$A$1:$I$89,3,0)*0.475*44/12</f>
        <v>4.8234702365660409E-7</v>
      </c>
      <c r="AC174" s="22">
        <f t="shared" si="163"/>
        <v>78.420097478088749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408.246209980743</v>
      </c>
      <c r="AO174" s="59">
        <f t="shared" si="144"/>
        <v>394.10236303013903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9.4144202989708994</v>
      </c>
      <c r="AV174" s="21">
        <f>EXP(-LN(2)/25)*AV173+(1-EXP(-LN(2)/25))/(LN(2)/25)*Calculateur!AQ174*Calculateur!AS174*VLOOKUP('Données projet'!$B$10,Paramètres!$A$1:$I$89,3,0)*0.475*44/12</f>
        <v>4.5205056962277492</v>
      </c>
      <c r="AW174" s="21">
        <f>EXP(-LN(2)/2)*AW173+(1-EXP(-LN(2)/2))/(LN(2)/2)*AQ174*AT174*VLOOKUP('Données projet'!$B$10,Paramètres!$A$1:$I$89,3,0)*0.475*44/12</f>
        <v>1.3774822295366369E-12</v>
      </c>
      <c r="AX174" s="21">
        <f t="shared" si="166"/>
        <v>13.934925995200025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9.6220000000000034</v>
      </c>
      <c r="BD174" s="12">
        <f>IF('Données projet'!$A$88&gt;35,BD173+BC174-BL173,IF(A174&lt;'Données projet'!$A$88,$BA$205^A174,IF(A174='Données projet'!$A$88,'Données projet'!$B$88,BD173+BC174-BL173)))</f>
        <v>581.65400000000102</v>
      </c>
      <c r="BE174" s="13">
        <f>BD174*VLOOKUP('Données projet'!$B$11,Paramètres!$A$1:$I$89,3,0)*VLOOKUP('Données projet'!$B$11,Paramètres!$A$1:$I$89,5,0)</f>
        <v>553.50194640000097</v>
      </c>
      <c r="BF174" s="13">
        <f t="shared" si="167"/>
        <v>122.28470718307115</v>
      </c>
      <c r="BG174" s="20">
        <f t="shared" si="168"/>
        <v>1176.9950883238507</v>
      </c>
      <c r="BH174" s="59">
        <f t="shared" si="116"/>
        <v>1465.7302497685123</v>
      </c>
      <c r="BI174" s="59">
        <f ca="1">AVERAGE(OFFSET($BH$3,0,0,'Données projet'!$E$11+1,1))-AVERAGE(OFFSET($H$3,0,0,'Données projet'!$E$11+1,1))</f>
        <v>711.91538686535682</v>
      </c>
      <c r="BJ174" s="59">
        <f t="shared" si="146"/>
        <v>313.24593837351722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53.664869180182947</v>
      </c>
      <c r="BQ174" s="21">
        <f>EXP(-LN(2)/25)*BQ173+(1-EXP(-LN(2)/25))/(LN(2)/25)*Calculateur!BL174*Calculateur!BN174*VLOOKUP('Données projet'!$B$11,Paramètres!$A$1:$I$89,3,0)*0.475*44/12</f>
        <v>19.929375692743864</v>
      </c>
      <c r="BR174" s="21">
        <f>EXP(-LN(2)/2)*BR173+(1-EXP(-LN(2)/2))/(LN(2)/2)*BL174*BO174*VLOOKUP('Données projet'!$B$11,Paramètres!$A$1:$I$89,3,0)*0.475*44/12</f>
        <v>4.5266412989312242E-7</v>
      </c>
      <c r="BS174" s="22">
        <f t="shared" si="169"/>
        <v>73.594245325590933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9.6220000000000034</v>
      </c>
      <c r="BY174" s="12">
        <f>IF('Données projet'!$A$114&gt;35,BY173+BX174-CG173,IF(A174&lt;'Données projet'!$A$114,$BV$205^A174,IF(A174='Données projet'!$A$114,'Données projet'!$B$114,BY173+BX174-CG173)))</f>
        <v>581.65400000000102</v>
      </c>
      <c r="BZ174" s="13">
        <f>BY174*VLOOKUP('Données projet'!$B$12,Paramètres!$A$1:$I$89,3,0)*VLOOKUP('Données projet'!$B$12,Paramètres!$A$1:$I$89,5,0)</f>
        <v>526.28053920000093</v>
      </c>
      <c r="CA174" s="13">
        <f t="shared" si="170"/>
        <v>116.95523902184036</v>
      </c>
      <c r="CB174" s="20">
        <f t="shared" si="171"/>
        <v>1120.3023137363737</v>
      </c>
      <c r="CC174" s="59">
        <f t="shared" si="119"/>
        <v>1409.0374751810352</v>
      </c>
      <c r="CD174" s="59">
        <f ca="1">AVERAGE(OFFSET($CC$3,0,0,'Données projet'!$E$12+1,1))-AVERAGE(OFFSET($H$3,0,0,'Données projet'!$E$12+1,1))</f>
        <v>681.47578137804555</v>
      </c>
      <c r="CE174" s="59">
        <f t="shared" si="148"/>
        <v>300.88511065995885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51.025613318862483</v>
      </c>
      <c r="CL174" s="21">
        <f>EXP(-LN(2)/25)*CL173+(1-EXP(-LN(2)/25))/(LN(2)/25)*Calculateur!CG174*Calculateur!CI174*VLOOKUP('Données projet'!$B$12,Paramètres!$A$1:$I$89,3,0)*0.475*44/12</f>
        <v>18.949242461953183</v>
      </c>
      <c r="CM174" s="21">
        <f>EXP(-LN(2)/2)*CM173+(1-EXP(-LN(2)/2))/(LN(2)/2)*CG174*CJ174*VLOOKUP('Données projet'!$B$12,Paramètres!$A$1:$I$89,3,0)*0.475*44/12</f>
        <v>4.3040195957050856E-7</v>
      </c>
      <c r="CN174" s="22">
        <f t="shared" si="172"/>
        <v>69.974856211217613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-8.5265128291212022E-14</v>
      </c>
      <c r="CU174" s="17">
        <f>CT174*VLOOKUP('Données projet'!$B$13,Paramètres!$A$1:$I$89,3,0)*VLOOKUP('Données projet'!$B$13,Paramètres!$A$1:$I$89,5,0)</f>
        <v>-6.9167072069831198E-14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186.54446846714993</v>
      </c>
      <c r="CZ174" s="59">
        <f t="shared" si="150"/>
        <v>154.43773051601286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</v>
      </c>
      <c r="DG174" s="21">
        <f>EXP(-LN(2)/25)*DG173+(1-EXP(-LN(2)/25))/(LN(2)/25)*Calculateur!DB174*Calculateur!DD174*VLOOKUP('Données projet'!$B$13,Paramètres!$A$1:$I$89,3,0)*0.475*44/12</f>
        <v>1.7124715873478258</v>
      </c>
      <c r="DH174" s="21">
        <f>EXP(-LN(2)/2)*DH173+(1-EXP(-LN(2)/2))/(LN(2)/2)*DB174*DE174*VLOOKUP('Données projet'!$B$13,Paramètres!$A$1:$I$89,3,0)*0.475*44/12</f>
        <v>1.6106729438555643E-11</v>
      </c>
      <c r="DI174" s="22">
        <f t="shared" si="175"/>
        <v>1.7124715873639325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8.1599999999999984</v>
      </c>
      <c r="DO174" s="12">
        <f>IF('Données projet'!$A$166&gt;35,DO173+DN174-DW173,IF(A174&lt;'Données projet'!$A$166,$DL$205^A174,IF(A174='Données projet'!$A$166,'Données projet'!$B$166,DO173+DN174-DW173)))</f>
        <v>439.92000000000007</v>
      </c>
      <c r="DP174" s="17">
        <f>DO174*VLOOKUP('Données projet'!$B$14,Paramètres!$A$1:$I$89,3,0)*VLOOKUP('Données projet'!$B$14,Paramètres!$A$1:$I$89,5,0)</f>
        <v>500.98089600000009</v>
      </c>
      <c r="DQ174" s="13">
        <f t="shared" si="176"/>
        <v>111.97318881683064</v>
      </c>
      <c r="DR174" s="20">
        <f t="shared" si="177"/>
        <v>1067.5616977226466</v>
      </c>
      <c r="DS174" s="59">
        <f t="shared" si="125"/>
        <v>1356.2968591673082</v>
      </c>
      <c r="DT174" s="59">
        <f ca="1">AVERAGE(OFFSET($DS$3,0,0,'Données projet'!$E$14+1,1))-AVERAGE(OFFSET($H$3,0,0,'Données projet'!$E$14+1,1))</f>
        <v>651.35546372812314</v>
      </c>
      <c r="DU174" s="59">
        <f t="shared" si="152"/>
        <v>293.6561676213388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38.736705965827589</v>
      </c>
      <c r="EB174" s="21">
        <f>EXP(-LN(2)/25)*EB173+(1-EXP(-LN(2)/25))/(LN(2)/25)*Calculateur!DW174*Calculateur!DY174*VLOOKUP('Données projet'!$B$14,Paramètres!$A$1:$I$89,3,0)*0.475*44/12</f>
        <v>22.454213339995388</v>
      </c>
      <c r="EC174" s="21">
        <f>EXP(-LN(2)/2)*EC173+(1-EXP(-LN(2)/2))/(LN(2)/2)*DW174*DZ174*VLOOKUP('Données projet'!$B$14,Paramètres!$A$1:$I$89,3,0)*0.475*44/12</f>
        <v>0.79104386866123888</v>
      </c>
      <c r="ED174" s="22">
        <f t="shared" si="178"/>
        <v>61.981963174484214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8.5265128291212022E-14</v>
      </c>
      <c r="EK174" s="17">
        <f>EJ174*VLOOKUP('Données projet'!$B$15,Paramètres!$A$1:$I$89,3,0)*VLOOKUP('Données projet'!$B$15,Paramètres!$A$1:$I$89,5,0)</f>
        <v>8.9119112089974823E-14</v>
      </c>
      <c r="EL174" s="13">
        <f t="shared" si="179"/>
        <v>1.3568952080113142E-12</v>
      </c>
      <c r="EM174" s="20">
        <f t="shared" si="180"/>
        <v>2.5184749408430782E-12</v>
      </c>
      <c r="EN174" s="59">
        <f t="shared" si="128"/>
        <v>288.73516144466402</v>
      </c>
      <c r="EO174" s="59">
        <f ca="1">AVERAGE(OFFSET($EN$3,0,0,'Données projet'!$E$15+1,1))-AVERAGE(OFFSET($H$3,0,0,'Données projet'!$E$15+1,1))</f>
        <v>290.69667785754848</v>
      </c>
      <c r="EP174" s="59">
        <f t="shared" si="154"/>
        <v>256.28124185489082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4.3625618342188748</v>
      </c>
      <c r="EW174" s="21">
        <f>EXP(-LN(2)/25)*EW173+(1-EXP(-LN(2)/25))/(LN(2)/25)*Calculateur!ER174*Calculateur!ET174*VLOOKUP('Données projet'!$B$15,Paramètres!$A$1:$I$89,3,0)*0.475*44/12</f>
        <v>6.3471311844662033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10.709693018685078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9.6220000000000034</v>
      </c>
      <c r="N175" s="13">
        <f>IF('Données projet'!$A$36&gt;35,N174+M175-V174,IF(A175&lt;'Données projet'!$A$36,$K$205^A175,IF(A175='Données projet'!$A$36,'Données projet'!$B$36,N174+M175-V174)))</f>
        <v>591.27600000000098</v>
      </c>
      <c r="O175" s="13">
        <f>N175*VLOOKUP('Données projet'!$B$9,Paramètres!$A$1:$I$89,3,0)*VLOOKUP('Données projet'!$B$9,Paramètres!$A$1:$I$89,5,0)</f>
        <v>599.553864000001</v>
      </c>
      <c r="P175" s="13">
        <f t="shared" si="141"/>
        <v>131.23239896414796</v>
      </c>
      <c r="Q175" s="20">
        <f t="shared" si="162"/>
        <v>1272.7860746625593</v>
      </c>
      <c r="R175" s="59">
        <f t="shared" si="109"/>
        <v>1561.6010041095169</v>
      </c>
      <c r="S175" s="59">
        <f ca="1">AVERAGE(OFFSET($R$3,0,0,'Données projet'!$E$9+1,1))-AVERAGE(OFFSET($H$3,0,0,'Données projet'!$E$9+1,1))</f>
        <v>752.45542076695506</v>
      </c>
      <c r="T175" s="59">
        <f t="shared" si="142"/>
        <v>329.70629768420724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56.062536046120549</v>
      </c>
      <c r="AA175" s="21">
        <f>EXP(-LN(2)/25)*AA174+(1-EXP(-LN(2)/25))/(LN(2)/25)*Calculateur!V175*Calculateur!X175*VLOOKUP('Données projet'!$B$9,Paramètres!$A$1:$I$89,3,0)*0.475*44/12</f>
        <v>20.655514447787798</v>
      </c>
      <c r="AB175" s="21">
        <f>EXP(-LN(2)/2)*AB174+(1-EXP(-LN(2)/2))/(LN(2)/2)*V175*Y175*VLOOKUP('Données projet'!$B$9,Paramètres!$A$1:$I$89,3,0)*0.475*44/12</f>
        <v>3.4107085131273281E-7</v>
      </c>
      <c r="AC175" s="22">
        <f t="shared" si="163"/>
        <v>76.718050834979195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408.246209980743</v>
      </c>
      <c r="AO175" s="59">
        <f t="shared" si="144"/>
        <v>394.10236303013903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9.2298092591374647</v>
      </c>
      <c r="AV175" s="21">
        <f>EXP(-LN(2)/25)*AV174+(1-EXP(-LN(2)/25))/(LN(2)/25)*Calculateur!AQ175*Calculateur!AS175*VLOOKUP('Données projet'!$B$10,Paramètres!$A$1:$I$89,3,0)*0.475*44/12</f>
        <v>4.3968922302413382</v>
      </c>
      <c r="AW175" s="21">
        <f>EXP(-LN(2)/2)*AW174+(1-EXP(-LN(2)/2))/(LN(2)/2)*AQ175*AT175*VLOOKUP('Données projet'!$B$10,Paramètres!$A$1:$I$89,3,0)*0.475*44/12</f>
        <v>9.7402702546932033E-13</v>
      </c>
      <c r="AX175" s="21">
        <f t="shared" si="166"/>
        <v>13.626701489379776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9.6220000000000034</v>
      </c>
      <c r="BD175" s="12">
        <f>IF('Données projet'!$A$88&gt;35,BD174+BC175-BL174,IF(A175&lt;'Données projet'!$A$88,$BA$205^A175,IF(A175='Données projet'!$A$88,'Données projet'!$B$88,BD174+BC175-BL174)))</f>
        <v>591.27600000000098</v>
      </c>
      <c r="BE175" s="13">
        <f>BD175*VLOOKUP('Données projet'!$B$11,Paramètres!$A$1:$I$89,3,0)*VLOOKUP('Données projet'!$B$11,Paramètres!$A$1:$I$89,5,0)</f>
        <v>562.65824160000091</v>
      </c>
      <c r="BF175" s="13">
        <f t="shared" si="167"/>
        <v>124.07042451836233</v>
      </c>
      <c r="BG175" s="20">
        <f t="shared" si="168"/>
        <v>1196.052426822816</v>
      </c>
      <c r="BH175" s="59">
        <f t="shared" si="116"/>
        <v>1484.8673562697736</v>
      </c>
      <c r="BI175" s="59">
        <f ca="1">AVERAGE(OFFSET($BH$3,0,0,'Données projet'!$E$11+1,1))-AVERAGE(OFFSET($H$3,0,0,'Données projet'!$E$11+1,1))</f>
        <v>711.91538686535682</v>
      </c>
      <c r="BJ175" s="59">
        <f t="shared" si="146"/>
        <v>313.24593837351722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52.612533827897707</v>
      </c>
      <c r="BQ175" s="21">
        <f>EXP(-LN(2)/25)*BQ174+(1-EXP(-LN(2)/25))/(LN(2)/25)*Calculateur!BL175*Calculateur!BN175*VLOOKUP('Données projet'!$B$11,Paramètres!$A$1:$I$89,3,0)*0.475*44/12</f>
        <v>19.384405866385464</v>
      </c>
      <c r="BR175" s="21">
        <f>EXP(-LN(2)/2)*BR174+(1-EXP(-LN(2)/2))/(LN(2)/2)*BL175*BO175*VLOOKUP('Données projet'!$B$11,Paramètres!$A$1:$I$89,3,0)*0.475*44/12</f>
        <v>3.2008187584733504E-7</v>
      </c>
      <c r="BS175" s="22">
        <f t="shared" si="169"/>
        <v>71.996940014365052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9.6220000000000034</v>
      </c>
      <c r="BY175" s="12">
        <f>IF('Données projet'!$A$114&gt;35,BY174+BX175-CG174,IF(A175&lt;'Données projet'!$A$114,$BV$205^A175,IF(A175='Données projet'!$A$114,'Données projet'!$B$114,BY174+BX175-CG174)))</f>
        <v>591.27600000000098</v>
      </c>
      <c r="BZ175" s="13">
        <f>BY175*VLOOKUP('Données projet'!$B$12,Paramètres!$A$1:$I$89,3,0)*VLOOKUP('Données projet'!$B$12,Paramètres!$A$1:$I$89,5,0)</f>
        <v>534.98652480000089</v>
      </c>
      <c r="CA175" s="13">
        <f t="shared" si="170"/>
        <v>118.66313040568902</v>
      </c>
      <c r="CB175" s="20">
        <f t="shared" si="171"/>
        <v>1138.4398161499098</v>
      </c>
      <c r="CC175" s="59">
        <f t="shared" si="119"/>
        <v>1427.2547455968675</v>
      </c>
      <c r="CD175" s="59">
        <f ca="1">AVERAGE(OFFSET($CC$3,0,0,'Données projet'!$E$12+1,1))-AVERAGE(OFFSET($H$3,0,0,'Données projet'!$E$12+1,1))</f>
        <v>681.47578137804555</v>
      </c>
      <c r="CE175" s="59">
        <f t="shared" si="148"/>
        <v>300.88511065995885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50.025032164230616</v>
      </c>
      <c r="CL175" s="21">
        <f>EXP(-LN(2)/25)*CL174+(1-EXP(-LN(2)/25))/(LN(2)/25)*Calculateur!CG175*Calculateur!CI175*VLOOKUP('Données projet'!$B$12,Paramètres!$A$1:$I$89,3,0)*0.475*44/12</f>
        <v>18.431074430333723</v>
      </c>
      <c r="CM175" s="21">
        <f>EXP(-LN(2)/2)*CM174+(1-EXP(-LN(2)/2))/(LN(2)/2)*CG175*CJ175*VLOOKUP('Données projet'!$B$12,Paramètres!$A$1:$I$89,3,0)*0.475*44/12</f>
        <v>3.0434014424828487E-7</v>
      </c>
      <c r="CN175" s="22">
        <f t="shared" si="172"/>
        <v>68.456106898904494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-8.5265128291212022E-14</v>
      </c>
      <c r="CU175" s="17">
        <f>CT175*VLOOKUP('Données projet'!$B$13,Paramètres!$A$1:$I$89,3,0)*VLOOKUP('Données projet'!$B$13,Paramètres!$A$1:$I$89,5,0)</f>
        <v>-6.9167072069831198E-14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186.54446846714993</v>
      </c>
      <c r="CZ175" s="59">
        <f t="shared" si="150"/>
        <v>154.43773051601286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</v>
      </c>
      <c r="DG175" s="21">
        <f>EXP(-LN(2)/25)*DG174+(1-EXP(-LN(2)/25))/(LN(2)/25)*Calculateur!DB175*Calculateur!DD175*VLOOKUP('Données projet'!$B$13,Paramètres!$A$1:$I$89,3,0)*0.475*44/12</f>
        <v>1.6656439617368326</v>
      </c>
      <c r="DH175" s="21">
        <f>EXP(-LN(2)/2)*DH174+(1-EXP(-LN(2)/2))/(LN(2)/2)*DB175*DE175*VLOOKUP('Données projet'!$B$13,Paramètres!$A$1:$I$89,3,0)*0.475*44/12</f>
        <v>1.1389177608739689E-11</v>
      </c>
      <c r="DI175" s="22">
        <f t="shared" si="175"/>
        <v>1.6656439617482217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8.1599999999999984</v>
      </c>
      <c r="DO175" s="12">
        <f>IF('Données projet'!$A$166&gt;35,DO174+DN175-DW174,IF(A175&lt;'Données projet'!$A$166,$DL$205^A175,IF(A175='Données projet'!$A$166,'Données projet'!$B$166,DO174+DN175-DW174)))</f>
        <v>448.0800000000001</v>
      </c>
      <c r="DP175" s="17">
        <f>DO175*VLOOKUP('Données projet'!$B$14,Paramètres!$A$1:$I$89,3,0)*VLOOKUP('Données projet'!$B$14,Paramètres!$A$1:$I$89,5,0)</f>
        <v>510.27350400000017</v>
      </c>
      <c r="DQ175" s="13">
        <f t="shared" si="176"/>
        <v>113.80643302541515</v>
      </c>
      <c r="DR175" s="20">
        <f t="shared" si="177"/>
        <v>1086.9392236525985</v>
      </c>
      <c r="DS175" s="59">
        <f t="shared" si="125"/>
        <v>1375.7541530995561</v>
      </c>
      <c r="DT175" s="59">
        <f ca="1">AVERAGE(OFFSET($DS$3,0,0,'Données projet'!$E$14+1,1))-AVERAGE(OFFSET($H$3,0,0,'Données projet'!$E$14+1,1))</f>
        <v>651.35546372812314</v>
      </c>
      <c r="DU175" s="59">
        <f t="shared" si="152"/>
        <v>293.6561676213388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37.977102788895372</v>
      </c>
      <c r="EB175" s="21">
        <f>EXP(-LN(2)/25)*EB174+(1-EXP(-LN(2)/25))/(LN(2)/25)*Calculateur!DW175*Calculateur!DY175*VLOOKUP('Données projet'!$B$14,Paramètres!$A$1:$I$89,3,0)*0.475*44/12</f>
        <v>21.840201695397454</v>
      </c>
      <c r="EC175" s="21">
        <f>EXP(-LN(2)/2)*EC174+(1-EXP(-LN(2)/2))/(LN(2)/2)*DW175*DZ175*VLOOKUP('Données projet'!$B$14,Paramètres!$A$1:$I$89,3,0)*0.475*44/12</f>
        <v>0.55935248374640267</v>
      </c>
      <c r="ED175" s="22">
        <f t="shared" si="178"/>
        <v>60.376656968039228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8.5265128291212022E-14</v>
      </c>
      <c r="EK175" s="17">
        <f>EJ175*VLOOKUP('Données projet'!$B$15,Paramètres!$A$1:$I$89,3,0)*VLOOKUP('Données projet'!$B$15,Paramètres!$A$1:$I$89,5,0)</f>
        <v>8.9119112089974823E-14</v>
      </c>
      <c r="EL175" s="13">
        <f t="shared" si="179"/>
        <v>1.3568952080113142E-12</v>
      </c>
      <c r="EM175" s="20">
        <f t="shared" si="180"/>
        <v>2.5184749408430782E-12</v>
      </c>
      <c r="EN175" s="59">
        <f t="shared" si="128"/>
        <v>288.81492944696015</v>
      </c>
      <c r="EO175" s="59">
        <f ca="1">AVERAGE(OFFSET($EN$3,0,0,'Données projet'!$E$15+1,1))-AVERAGE(OFFSET($H$3,0,0,'Données projet'!$E$15+1,1))</f>
        <v>290.69667785754848</v>
      </c>
      <c r="EP175" s="59">
        <f t="shared" si="154"/>
        <v>256.28124185489082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4.2770146575498194</v>
      </c>
      <c r="EW175" s="21">
        <f>EXP(-LN(2)/25)*EW174+(1-EXP(-LN(2)/25))/(LN(2)/25)*Calculateur!ER175*Calculateur!ET175*VLOOKUP('Données projet'!$B$15,Paramètres!$A$1:$I$89,3,0)*0.475*44/12</f>
        <v>6.1735685484458527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10.450583205995672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9.6220000000000034</v>
      </c>
      <c r="N176" s="13">
        <f>IF('Données projet'!$A$36&gt;35,N175+M176-V175,IF(A176&lt;'Données projet'!$A$36,$K$205^A176,IF(A176='Données projet'!$A$36,'Données projet'!$B$36,N175+M176-V175)))</f>
        <v>600.89800000000093</v>
      </c>
      <c r="O176" s="13">
        <f>N176*VLOOKUP('Données projet'!$B$9,Paramètres!$A$1:$I$89,3,0)*VLOOKUP('Données projet'!$B$9,Paramètres!$A$1:$I$89,5,0)</f>
        <v>609.310572000001</v>
      </c>
      <c r="P176" s="13">
        <f t="shared" si="141"/>
        <v>133.11762240478217</v>
      </c>
      <c r="Q176" s="20">
        <f t="shared" si="162"/>
        <v>1293.0624385883307</v>
      </c>
      <c r="R176" s="59">
        <f t="shared" si="109"/>
        <v>1581.9557522410792</v>
      </c>
      <c r="S176" s="59">
        <f ca="1">AVERAGE(OFFSET($R$3,0,0,'Données projet'!$E$9+1,1))-AVERAGE(OFFSET($H$3,0,0,'Données projet'!$E$9+1,1))</f>
        <v>752.45542076695506</v>
      </c>
      <c r="T176" s="59">
        <f t="shared" si="142"/>
        <v>329.70629768420724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54.963183909026661</v>
      </c>
      <c r="AA176" s="21">
        <f>EXP(-LN(2)/25)*AA175+(1-EXP(-LN(2)/25))/(LN(2)/25)*Calculateur!V176*Calculateur!X176*VLOOKUP('Données projet'!$B$9,Paramètres!$A$1:$I$89,3,0)*0.475*44/12</f>
        <v>20.090688318986746</v>
      </c>
      <c r="AB176" s="21">
        <f>EXP(-LN(2)/2)*AB175+(1-EXP(-LN(2)/2))/(LN(2)/2)*V176*Y176*VLOOKUP('Données projet'!$B$9,Paramètres!$A$1:$I$89,3,0)*0.475*44/12</f>
        <v>2.4117351182830204E-7</v>
      </c>
      <c r="AC176" s="22">
        <f t="shared" si="163"/>
        <v>75.053872469186913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408.246209980743</v>
      </c>
      <c r="AO176" s="59">
        <f t="shared" si="144"/>
        <v>394.10236303013903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9.0488183291935478</v>
      </c>
      <c r="AV176" s="21">
        <f>EXP(-LN(2)/25)*AV175+(1-EXP(-LN(2)/25))/(LN(2)/25)*Calculateur!AQ176*Calculateur!AS176*VLOOKUP('Données projet'!$B$10,Paramètres!$A$1:$I$89,3,0)*0.475*44/12</f>
        <v>4.2766589809828757</v>
      </c>
      <c r="AW176" s="21">
        <f>EXP(-LN(2)/2)*AW175+(1-EXP(-LN(2)/2))/(LN(2)/2)*AQ176*AT176*VLOOKUP('Données projet'!$B$10,Paramètres!$A$1:$I$89,3,0)*0.475*44/12</f>
        <v>6.8874111476831845E-13</v>
      </c>
      <c r="AX176" s="21">
        <f t="shared" si="166"/>
        <v>13.325477310177114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9.6220000000000034</v>
      </c>
      <c r="BD176" s="12">
        <f>IF('Données projet'!$A$88&gt;35,BD175+BC176-BL175,IF(A176&lt;'Données projet'!$A$88,$BA$205^A176,IF(A176='Données projet'!$A$88,'Données projet'!$B$88,BD175+BC176-BL175)))</f>
        <v>600.89800000000093</v>
      </c>
      <c r="BE176" s="13">
        <f>BD176*VLOOKUP('Données projet'!$B$11,Paramètres!$A$1:$I$89,3,0)*VLOOKUP('Données projet'!$B$11,Paramètres!$A$1:$I$89,5,0)</f>
        <v>571.81453680000084</v>
      </c>
      <c r="BF176" s="13">
        <f t="shared" si="167"/>
        <v>125.85276237424009</v>
      </c>
      <c r="BG176" s="20">
        <f t="shared" si="168"/>
        <v>1215.1038793951363</v>
      </c>
      <c r="BH176" s="59">
        <f t="shared" si="116"/>
        <v>1503.9971930478848</v>
      </c>
      <c r="BI176" s="59">
        <f ca="1">AVERAGE(OFFSET($BH$3,0,0,'Données projet'!$E$11+1,1))-AVERAGE(OFFSET($H$3,0,0,'Données projet'!$E$11+1,1))</f>
        <v>711.91538686535682</v>
      </c>
      <c r="BJ176" s="59">
        <f t="shared" si="146"/>
        <v>313.24593837351722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51.580834130009599</v>
      </c>
      <c r="BQ176" s="21">
        <f>EXP(-LN(2)/25)*BQ175+(1-EXP(-LN(2)/25))/(LN(2)/25)*Calculateur!BL176*Calculateur!BN176*VLOOKUP('Données projet'!$B$11,Paramètres!$A$1:$I$89,3,0)*0.475*44/12</f>
        <v>18.854338268587554</v>
      </c>
      <c r="BR176" s="21">
        <f>EXP(-LN(2)/2)*BR175+(1-EXP(-LN(2)/2))/(LN(2)/2)*BL176*BO176*VLOOKUP('Données projet'!$B$11,Paramètres!$A$1:$I$89,3,0)*0.475*44/12</f>
        <v>2.2633206494656121E-7</v>
      </c>
      <c r="BS176" s="22">
        <f t="shared" si="169"/>
        <v>70.435172624929223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9.6220000000000034</v>
      </c>
      <c r="BY176" s="12">
        <f>IF('Données projet'!$A$114&gt;35,BY175+BX176-CG175,IF(A176&lt;'Données projet'!$A$114,$BV$205^A176,IF(A176='Données projet'!$A$114,'Données projet'!$B$114,BY175+BX176-CG175)))</f>
        <v>600.89800000000093</v>
      </c>
      <c r="BZ176" s="13">
        <f>BY176*VLOOKUP('Données projet'!$B$12,Paramètres!$A$1:$I$89,3,0)*VLOOKUP('Données projet'!$B$12,Paramètres!$A$1:$I$89,5,0)</f>
        <v>543.69251040000086</v>
      </c>
      <c r="CA176" s="13">
        <f t="shared" si="170"/>
        <v>120.36778959614513</v>
      </c>
      <c r="CB176" s="20">
        <f t="shared" si="171"/>
        <v>1156.5716891599543</v>
      </c>
      <c r="CC176" s="59">
        <f t="shared" si="119"/>
        <v>1445.4650028127028</v>
      </c>
      <c r="CD176" s="59">
        <f ca="1">AVERAGE(OFFSET($CC$3,0,0,'Données projet'!$E$12+1,1))-AVERAGE(OFFSET($H$3,0,0,'Données projet'!$E$12+1,1))</f>
        <v>681.47578137804555</v>
      </c>
      <c r="CE176" s="59">
        <f t="shared" si="148"/>
        <v>300.88511065995885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49.044071795746838</v>
      </c>
      <c r="CL176" s="21">
        <f>EXP(-LN(2)/25)*CL175+(1-EXP(-LN(2)/25))/(LN(2)/25)*Calculateur!CG176*Calculateur!CI176*VLOOKUP('Données projet'!$B$12,Paramètres!$A$1:$I$89,3,0)*0.475*44/12</f>
        <v>17.927075730788168</v>
      </c>
      <c r="CM176" s="21">
        <f>EXP(-LN(2)/2)*CM175+(1-EXP(-LN(2)/2))/(LN(2)/2)*CG176*CJ176*VLOOKUP('Données projet'!$B$12,Paramètres!$A$1:$I$89,3,0)*0.475*44/12</f>
        <v>2.1520097978525428E-7</v>
      </c>
      <c r="CN176" s="22">
        <f t="shared" si="172"/>
        <v>66.97114774173599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-8.5265128291212022E-14</v>
      </c>
      <c r="CU176" s="17">
        <f>CT176*VLOOKUP('Données projet'!$B$13,Paramètres!$A$1:$I$89,3,0)*VLOOKUP('Données projet'!$B$13,Paramètres!$A$1:$I$89,5,0)</f>
        <v>-6.9167072069831198E-14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186.54446846714993</v>
      </c>
      <c r="CZ176" s="59">
        <f t="shared" si="150"/>
        <v>154.43773051601286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</v>
      </c>
      <c r="DG176" s="21">
        <f>EXP(-LN(2)/25)*DG175+(1-EXP(-LN(2)/25))/(LN(2)/25)*Calculateur!DB176*Calculateur!DD176*VLOOKUP('Données projet'!$B$13,Paramètres!$A$1:$I$89,3,0)*0.475*44/12</f>
        <v>1.6200968400107298</v>
      </c>
      <c r="DH176" s="21">
        <f>EXP(-LN(2)/2)*DH175+(1-EXP(-LN(2)/2))/(LN(2)/2)*DB176*DE176*VLOOKUP('Données projet'!$B$13,Paramètres!$A$1:$I$89,3,0)*0.475*44/12</f>
        <v>8.0533647192778216E-12</v>
      </c>
      <c r="DI176" s="22">
        <f t="shared" si="175"/>
        <v>1.6200968400187832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8.1599999999999984</v>
      </c>
      <c r="DO176" s="12">
        <f>IF('Données projet'!$A$166&gt;35,DO175+DN176-DW175,IF(A176&lt;'Données projet'!$A$166,$DL$205^A176,IF(A176='Données projet'!$A$166,'Données projet'!$B$166,DO175+DN176-DW175)))</f>
        <v>456.24000000000012</v>
      </c>
      <c r="DP176" s="17">
        <f>DO176*VLOOKUP('Données projet'!$B$14,Paramètres!$A$1:$I$89,3,0)*VLOOKUP('Données projet'!$B$14,Paramètres!$A$1:$I$89,5,0)</f>
        <v>519.56611200000009</v>
      </c>
      <c r="DQ176" s="13">
        <f t="shared" si="176"/>
        <v>115.63579507731664</v>
      </c>
      <c r="DR176" s="20">
        <f t="shared" si="177"/>
        <v>1106.30998815966</v>
      </c>
      <c r="DS176" s="59">
        <f t="shared" si="125"/>
        <v>1395.2033018124084</v>
      </c>
      <c r="DT176" s="59">
        <f ca="1">AVERAGE(OFFSET($DS$3,0,0,'Données projet'!$E$14+1,1))-AVERAGE(OFFSET($H$3,0,0,'Données projet'!$E$14+1,1))</f>
        <v>651.35546372812314</v>
      </c>
      <c r="DU176" s="59">
        <f t="shared" si="152"/>
        <v>293.6561676213388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37.232394966950608</v>
      </c>
      <c r="EB176" s="21">
        <f>EXP(-LN(2)/25)*EB175+(1-EXP(-LN(2)/25))/(LN(2)/25)*Calculateur!DW176*Calculateur!DY176*VLOOKUP('Données projet'!$B$14,Paramètres!$A$1:$I$89,3,0)*0.475*44/12</f>
        <v>21.242980231510519</v>
      </c>
      <c r="EC176" s="21">
        <f>EXP(-LN(2)/2)*EC175+(1-EXP(-LN(2)/2))/(LN(2)/2)*DW176*DZ176*VLOOKUP('Données projet'!$B$14,Paramètres!$A$1:$I$89,3,0)*0.475*44/12</f>
        <v>0.39552193433061944</v>
      </c>
      <c r="ED176" s="22">
        <f t="shared" si="178"/>
        <v>58.87089713279174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8.5265128291212022E-14</v>
      </c>
      <c r="EK176" s="17">
        <f>EJ176*VLOOKUP('Données projet'!$B$15,Paramètres!$A$1:$I$89,3,0)*VLOOKUP('Données projet'!$B$15,Paramètres!$A$1:$I$89,5,0)</f>
        <v>8.9119112089974823E-14</v>
      </c>
      <c r="EL176" s="13">
        <f t="shared" si="179"/>
        <v>1.3568952080113142E-12</v>
      </c>
      <c r="EM176" s="20">
        <f t="shared" si="180"/>
        <v>2.5184749408430782E-12</v>
      </c>
      <c r="EN176" s="59">
        <f t="shared" si="128"/>
        <v>288.89331365275098</v>
      </c>
      <c r="EO176" s="59">
        <f ca="1">AVERAGE(OFFSET($EN$3,0,0,'Données projet'!$E$15+1,1))-AVERAGE(OFFSET($H$3,0,0,'Données projet'!$E$15+1,1))</f>
        <v>290.69667785754848</v>
      </c>
      <c r="EP176" s="59">
        <f t="shared" si="154"/>
        <v>256.28124185489082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4.1931450088366189</v>
      </c>
      <c r="EW176" s="21">
        <f>EXP(-LN(2)/25)*EW175+(1-EXP(-LN(2)/25))/(LN(2)/25)*Calculateur!ER176*Calculateur!ET176*VLOOKUP('Données projet'!$B$15,Paramètres!$A$1:$I$89,3,0)*0.475*44/12</f>
        <v>6.0047519918347412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10.197897000671361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>
        <f>VLOOKUP(A177,'Données projet'!$A$35:$I$55,2,0)</f>
        <v>610.52</v>
      </c>
      <c r="L177" s="12">
        <f>VLOOKUP(A177,'Données projet'!$A$35:$I$55,9,0)</f>
        <v>9.6220000000000034</v>
      </c>
      <c r="M177" s="12">
        <f t="array" ref="M177">INDEX(L:L,MIN(IF(ISNUMBER(L177:L373),ROW(L177:L373),"")))</f>
        <v>9.6220000000000034</v>
      </c>
      <c r="N177" s="13">
        <f>IF('Données projet'!$A$36&gt;35,N176+M177-V176,IF(A177&lt;'Données projet'!$A$36,$K$205^A177,IF(A177='Données projet'!$A$36,'Données projet'!$B$36,N176+M177-V176)))</f>
        <v>610.52000000000089</v>
      </c>
      <c r="O177" s="13">
        <f>N177*VLOOKUP('Données projet'!$B$9,Paramètres!$A$1:$I$89,3,0)*VLOOKUP('Données projet'!$B$9,Paramètres!$A$1:$I$89,5,0)</f>
        <v>619.06728000000089</v>
      </c>
      <c r="P177" s="13">
        <f t="shared" si="141"/>
        <v>134.99933513219278</v>
      </c>
      <c r="Q177" s="20">
        <f t="shared" si="162"/>
        <v>1313.332688021904</v>
      </c>
      <c r="R177" s="59">
        <f t="shared" si="109"/>
        <v>1602.3030260897137</v>
      </c>
      <c r="S177" s="59">
        <f ca="1">AVERAGE(OFFSET($R$3,0,0,'Données projet'!$E$9+1,1))-AVERAGE(OFFSET($H$3,0,0,'Données projet'!$E$9+1,1))</f>
        <v>752.45542076695506</v>
      </c>
      <c r="T177" s="59">
        <f t="shared" si="142"/>
        <v>329.70629768420724</v>
      </c>
      <c r="U177" s="15">
        <f>IF(ISNA(VLOOKUP(A177,'Données projet'!$A$35:$I$55,3,0)),0,VLOOKUP(A177,'Données projet'!$A$35:$I$55,3,0))</f>
        <v>15</v>
      </c>
      <c r="V177" s="15">
        <f>IF(ISNA(VLOOKUP(A177,'Données projet'!$A$35:$I$55,4,0)),0,VLOOKUP(A177,'Données projet'!$A$35:$I$55,4,0))</f>
        <v>240</v>
      </c>
      <c r="W177" s="16">
        <f>IF(ISNA(VLOOKUP(A177,'Données projet'!$A$35:$I$55,5,0)),0%,VLOOKUP(A177,'Données projet'!$A$35:$I$55,5,0)*VLOOKUP('Données projet'!$B$9,Paramètres!$A$1:$I$89,7,0))</f>
        <v>0.19350000000000001</v>
      </c>
      <c r="X177" s="16">
        <f>IF(ISNA(VLOOKUP(A177,'Données projet'!$A$35:$I$55,6,0)),0%,VLOOKUP(A177,'Données projet'!$A$35:$I$55,6,0)*VLOOKUP('Données projet'!$B$9,Paramètres!$A$1:$I$89,7,0))</f>
        <v>2.1500000000000002E-2</v>
      </c>
      <c r="Y177" s="16">
        <f>IF(ISNA(VLOOKUP(A177,'Données projet'!$A$35:$I$55,7,0)),0%,VLOOKUP(A177,'Données projet'!$A$35:$I$55,7,0))</f>
        <v>0.05</v>
      </c>
      <c r="Z177" s="21">
        <f>EXP(-LN(2)/35)*Z176+(1-EXP(-LN(2)/35))/(LN(2)/35)*V177*W177*VLOOKUP('Données projet'!$B$9,Paramètres!$A$1:$I$89,3,0)*0.475*44/12</f>
        <v>105.94216644426993</v>
      </c>
      <c r="AA177" s="21">
        <f>EXP(-LN(2)/25)*AA176+(1-EXP(-LN(2)/25))/(LN(2)/25)*Calculateur!V177*Calculateur!X177*VLOOKUP('Données projet'!$B$9,Paramètres!$A$1:$I$89,3,0)*0.475*44/12</f>
        <v>25.30261957716338</v>
      </c>
      <c r="AB177" s="21">
        <f>EXP(-LN(2)/2)*AB176+(1-EXP(-LN(2)/2))/(LN(2)/2)*V177*Y177*VLOOKUP('Données projet'!$B$9,Paramètres!$A$1:$I$89,3,0)*0.475*44/12</f>
        <v>11.480835667453793</v>
      </c>
      <c r="AC177" s="22">
        <f t="shared" si="163"/>
        <v>142.72562168888709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408.246209980743</v>
      </c>
      <c r="AO177" s="59">
        <f t="shared" si="144"/>
        <v>394.10236303013903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8.8713765209922641</v>
      </c>
      <c r="AV177" s="21">
        <f>EXP(-LN(2)/25)*AV176+(1-EXP(-LN(2)/25))/(LN(2)/25)*Calculateur!AQ177*Calculateur!AS177*VLOOKUP('Données projet'!$B$10,Paramètres!$A$1:$I$89,3,0)*0.475*44/12</f>
        <v>4.1597135162481775</v>
      </c>
      <c r="AW177" s="21">
        <f>EXP(-LN(2)/2)*AW176+(1-EXP(-LN(2)/2))/(LN(2)/2)*AQ177*AT177*VLOOKUP('Données projet'!$B$10,Paramètres!$A$1:$I$89,3,0)*0.475*44/12</f>
        <v>4.8701351273466016E-13</v>
      </c>
      <c r="AX177" s="21">
        <f t="shared" si="166"/>
        <v>13.031090037240929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>
        <f>VLOOKUP(A177,'Données projet'!$A$87:$I$107,2,0)</f>
        <v>610.52</v>
      </c>
      <c r="BB177" s="12">
        <f>VLOOKUP(A177,'Données projet'!$A$87:$I$107,9,0)</f>
        <v>9.6220000000000034</v>
      </c>
      <c r="BC177" s="12">
        <f t="array" ref="BC177">INDEX(BB:BB,MIN(IF(ISNUMBER(BB177:BB373),ROW(BB177:BB373),"")))</f>
        <v>9.6220000000000034</v>
      </c>
      <c r="BD177" s="12">
        <f>IF('Données projet'!$A$88&gt;35,BD176+BC177-BL176,IF(A177&lt;'Données projet'!$A$88,$BA$205^A177,IF(A177='Données projet'!$A$88,'Données projet'!$B$88,BD176+BC177-BL176)))</f>
        <v>610.52000000000089</v>
      </c>
      <c r="BE177" s="13">
        <f>BD177*VLOOKUP('Données projet'!$B$11,Paramètres!$A$1:$I$89,3,0)*VLOOKUP('Données projet'!$B$11,Paramètres!$A$1:$I$89,5,0)</f>
        <v>580.97083200000088</v>
      </c>
      <c r="BF177" s="13">
        <f t="shared" si="167"/>
        <v>127.63178111316617</v>
      </c>
      <c r="BG177" s="20">
        <f t="shared" si="168"/>
        <v>1234.1495511720993</v>
      </c>
      <c r="BH177" s="59">
        <f t="shared" si="116"/>
        <v>1523.1198892399091</v>
      </c>
      <c r="BI177" s="59">
        <f ca="1">AVERAGE(OFFSET($BH$3,0,0,'Données projet'!$E$11+1,1))-AVERAGE(OFFSET($H$3,0,0,'Données projet'!$E$11+1,1))</f>
        <v>711.91538686535682</v>
      </c>
      <c r="BJ177" s="59">
        <f t="shared" si="146"/>
        <v>313.24593837351722</v>
      </c>
      <c r="BK177" s="15">
        <f>IF(ISNA(VLOOKUP(A177,'Données projet'!$A$87:$I$107,3,0)),0,VLOOKUP(A177,'Données projet'!$A$87:$I$107,3,0))</f>
        <v>15</v>
      </c>
      <c r="BL177" s="15">
        <f>IF(ISNA(VLOOKUP(A177,'Données projet'!$A$87:$I$107,4,0)),0,VLOOKUP(A177,'Données projet'!$A$87:$I$107,4,0))</f>
        <v>240</v>
      </c>
      <c r="BM177" s="16">
        <f>IF(ISNA(VLOOKUP(A177,'Données projet'!$A$87:$I$107,5,0)),0%,VLOOKUP(A177,'Données projet'!$A$87:$I$107,5,0)*VLOOKUP('Données projet'!$B$11,Paramètres!$A$1:$I$89,7,0))</f>
        <v>0.19350000000000001</v>
      </c>
      <c r="BN177" s="16">
        <f>IF(ISNA(VLOOKUP(A177,'Données projet'!$A$87:$I$107,6,0)),0%,VLOOKUP(A177,'Données projet'!$A$87:$I$107,6,0)*VLOOKUP('Données projet'!$B$11,Paramètres!$A$1:$I$89,7,0))</f>
        <v>2.1500000000000002E-2</v>
      </c>
      <c r="BO177" s="16">
        <f>IF(ISNA(VLOOKUP(A177,'Données projet'!$A$87:$I$107,7,0)),0%,VLOOKUP(A177,'Données projet'!$A$87:$I$107,7,0))</f>
        <v>0.05</v>
      </c>
      <c r="BP177" s="21">
        <f>EXP(-LN(2)/35)*BP176+(1-EXP(-LN(2)/35))/(LN(2)/35)*BL177*BM177*VLOOKUP('Données projet'!$B$11,Paramètres!$A$1:$I$89,3,0)*0.475*44/12</f>
        <v>99.422648509237902</v>
      </c>
      <c r="BQ177" s="21">
        <f>EXP(-LN(2)/25)*BQ176+(1-EXP(-LN(2)/25))/(LN(2)/25)*Calculateur!BL177*Calculateur!BN177*VLOOKUP('Données projet'!$B$11,Paramètres!$A$1:$I$89,3,0)*0.475*44/12</f>
        <v>23.745535295491777</v>
      </c>
      <c r="BR177" s="21">
        <f>EXP(-LN(2)/2)*BR176+(1-EXP(-LN(2)/2))/(LN(2)/2)*BL177*BO177*VLOOKUP('Données projet'!$B$11,Paramètres!$A$1:$I$89,3,0)*0.475*44/12</f>
        <v>10.77432270330279</v>
      </c>
      <c r="BS177" s="22">
        <f t="shared" si="169"/>
        <v>133.94250650803247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>
        <f>VLOOKUP(A177,'Données projet'!$A$113:$I$133,2,0)</f>
        <v>610.52</v>
      </c>
      <c r="BW177" s="12">
        <f>VLOOKUP(A177,'Données projet'!$A$113:$I$133,9,0)</f>
        <v>9.6220000000000034</v>
      </c>
      <c r="BX177" s="12">
        <f t="array" ref="BX177">INDEX(BW:BW,MIN(IF(ISNUMBER(BW177:BW373),ROW(BW177:BW373),"")))</f>
        <v>9.6220000000000034</v>
      </c>
      <c r="BY177" s="12">
        <f>IF('Données projet'!$A$114&gt;35,BY176+BX177-CG176,IF(A177&lt;'Données projet'!$A$114,$BV$205^A177,IF(A177='Données projet'!$A$114,'Données projet'!$B$114,BY176+BX177-CG176)))</f>
        <v>610.52000000000089</v>
      </c>
      <c r="BZ177" s="13">
        <f>BY177*VLOOKUP('Données projet'!$B$12,Paramètres!$A$1:$I$89,3,0)*VLOOKUP('Données projet'!$B$12,Paramètres!$A$1:$I$89,5,0)</f>
        <v>552.3984960000007</v>
      </c>
      <c r="CA177" s="13">
        <f t="shared" si="170"/>
        <v>122.06927432492597</v>
      </c>
      <c r="CB177" s="20">
        <f t="shared" si="171"/>
        <v>1174.698033315914</v>
      </c>
      <c r="CC177" s="59">
        <f t="shared" si="119"/>
        <v>1463.6683713837238</v>
      </c>
      <c r="CD177" s="59">
        <f ca="1">AVERAGE(OFFSET($CC$3,0,0,'Données projet'!$E$12+1,1))-AVERAGE(OFFSET($H$3,0,0,'Données projet'!$E$12+1,1))</f>
        <v>681.47578137804555</v>
      </c>
      <c r="CE177" s="59">
        <f t="shared" si="148"/>
        <v>300.88511065995885</v>
      </c>
      <c r="CF177" s="15">
        <f>IF(ISNA(VLOOKUP(A177,'Données projet'!$A$113:$I$133,3,0)),0,VLOOKUP(A177,'Données projet'!$A$113:$I$133,3,0))</f>
        <v>15</v>
      </c>
      <c r="CG177" s="15">
        <f>IF(ISNA(VLOOKUP(A177,'Données projet'!$A$113:$I$133,4,0)),0,VLOOKUP(A177,'Données projet'!$A$113:$I$133,4,0))</f>
        <v>240</v>
      </c>
      <c r="CH177" s="16">
        <f>IF(ISNA(VLOOKUP(A177,'Données projet'!$A$113:$I$133,5,0)),0%,VLOOKUP(A177,'Données projet'!$A$113:$I$133,5,0)*VLOOKUP('Données projet'!$B$12,Paramètres!$A$1:$I$89,7,0))</f>
        <v>0.19350000000000001</v>
      </c>
      <c r="CI177" s="16">
        <f>IF(ISNA(VLOOKUP(A177,'Données projet'!$A$113:$I$133,6,0)),0%,VLOOKUP(A177,'Données projet'!$A$113:$I$133,6,0)*VLOOKUP('Données projet'!$B$12,Paramètres!$A$1:$I$89,7,0))</f>
        <v>2.1500000000000002E-2</v>
      </c>
      <c r="CJ177" s="16">
        <f>IF(ISNA(VLOOKUP(A177,'Données projet'!$A$113:$I$133,7,0)),0%,VLOOKUP(A177,'Données projet'!$A$113:$I$133,7,0))</f>
        <v>0.05</v>
      </c>
      <c r="CK177" s="21">
        <f>EXP(-LN(2)/35)*CK176+(1-EXP(-LN(2)/35))/(LN(2)/35)*CG177*CH177*VLOOKUP('Données projet'!$B$12,Paramètres!$A$1:$I$89,3,0)*0.475*44/12</f>
        <v>94.533010057963907</v>
      </c>
      <c r="CL177" s="21">
        <f>EXP(-LN(2)/25)*CL176+(1-EXP(-LN(2)/25))/(LN(2)/25)*Calculateur!CG177*Calculateur!CI177*VLOOKUP('Données projet'!$B$12,Paramètres!$A$1:$I$89,3,0)*0.475*44/12</f>
        <v>22.577722084238086</v>
      </c>
      <c r="CM177" s="21">
        <f>EXP(-LN(2)/2)*CM176+(1-EXP(-LN(2)/2))/(LN(2)/2)*CG177*CJ177*VLOOKUP('Données projet'!$B$12,Paramètres!$A$1:$I$89,3,0)*0.475*44/12</f>
        <v>10.244437980189536</v>
      </c>
      <c r="CN177" s="22">
        <f t="shared" si="172"/>
        <v>127.35517012239153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-8.5265128291212022E-14</v>
      </c>
      <c r="CU177" s="17">
        <f>CT177*VLOOKUP('Données projet'!$B$13,Paramètres!$A$1:$I$89,3,0)*VLOOKUP('Données projet'!$B$13,Paramètres!$A$1:$I$89,5,0)</f>
        <v>-6.9167072069831198E-14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186.54446846714993</v>
      </c>
      <c r="CZ177" s="59">
        <f t="shared" si="150"/>
        <v>154.43773051601286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</v>
      </c>
      <c r="DG177" s="21">
        <f>EXP(-LN(2)/25)*DG176+(1-EXP(-LN(2)/25))/(LN(2)/25)*Calculateur!DB177*Calculateur!DD177*VLOOKUP('Données projet'!$B$13,Paramètres!$A$1:$I$89,3,0)*0.475*44/12</f>
        <v>1.5757952067234464</v>
      </c>
      <c r="DH177" s="21">
        <f>EXP(-LN(2)/2)*DH176+(1-EXP(-LN(2)/2))/(LN(2)/2)*DB177*DE177*VLOOKUP('Données projet'!$B$13,Paramètres!$A$1:$I$89,3,0)*0.475*44/12</f>
        <v>5.6945888043698445E-12</v>
      </c>
      <c r="DI177" s="22">
        <f t="shared" si="175"/>
        <v>1.575795206729141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8.1599999999999984</v>
      </c>
      <c r="DO177" s="12">
        <f>IF('Données projet'!$A$166&gt;35,DO176+DN177-DW176,IF(A177&lt;'Données projet'!$A$166,$DL$205^A177,IF(A177='Données projet'!$A$166,'Données projet'!$B$166,DO176+DN177-DW176)))</f>
        <v>464.40000000000015</v>
      </c>
      <c r="DP177" s="17">
        <f>DO177*VLOOKUP('Données projet'!$B$14,Paramètres!$A$1:$I$89,3,0)*VLOOKUP('Données projet'!$B$14,Paramètres!$A$1:$I$89,5,0)</f>
        <v>528.85872000000018</v>
      </c>
      <c r="DQ177" s="13">
        <f t="shared" si="176"/>
        <v>117.46135241593048</v>
      </c>
      <c r="DR177" s="20">
        <f t="shared" si="177"/>
        <v>1125.6741261244126</v>
      </c>
      <c r="DS177" s="59">
        <f t="shared" si="125"/>
        <v>1414.6444641922224</v>
      </c>
      <c r="DT177" s="59">
        <f ca="1">AVERAGE(OFFSET($DS$3,0,0,'Données projet'!$E$14+1,1))-AVERAGE(OFFSET($H$3,0,0,'Données projet'!$E$14+1,1))</f>
        <v>651.35546372812314</v>
      </c>
      <c r="DU177" s="59">
        <f t="shared" si="152"/>
        <v>293.6561676213388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36.502290411167259</v>
      </c>
      <c r="EB177" s="21">
        <f>EXP(-LN(2)/25)*EB176+(1-EXP(-LN(2)/25))/(LN(2)/25)*Calculateur!DW177*Calculateur!DY177*VLOOKUP('Données projet'!$B$14,Paramètres!$A$1:$I$89,3,0)*0.475*44/12</f>
        <v>20.662089819960084</v>
      </c>
      <c r="EC177" s="21">
        <f>EXP(-LN(2)/2)*EC176+(1-EXP(-LN(2)/2))/(LN(2)/2)*DW177*DZ177*VLOOKUP('Données projet'!$B$14,Paramètres!$A$1:$I$89,3,0)*0.475*44/12</f>
        <v>0.27967624187320134</v>
      </c>
      <c r="ED177" s="22">
        <f t="shared" si="178"/>
        <v>57.444056473000543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8.5265128291212022E-14</v>
      </c>
      <c r="EK177" s="17">
        <f>EJ177*VLOOKUP('Données projet'!$B$15,Paramètres!$A$1:$I$89,3,0)*VLOOKUP('Données projet'!$B$15,Paramètres!$A$1:$I$89,5,0)</f>
        <v>8.9119112089974823E-14</v>
      </c>
      <c r="EL177" s="13">
        <f t="shared" si="179"/>
        <v>1.3568952080113142E-12</v>
      </c>
      <c r="EM177" s="20">
        <f t="shared" si="180"/>
        <v>2.5184749408430782E-12</v>
      </c>
      <c r="EN177" s="59">
        <f t="shared" si="128"/>
        <v>288.97033806781224</v>
      </c>
      <c r="EO177" s="59">
        <f ca="1">AVERAGE(OFFSET($EN$3,0,0,'Données projet'!$E$15+1,1))-AVERAGE(OFFSET($H$3,0,0,'Données projet'!$E$15+1,1))</f>
        <v>290.69667785754848</v>
      </c>
      <c r="EP177" s="59">
        <f t="shared" si="154"/>
        <v>256.28124185489082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4.1109199927792499</v>
      </c>
      <c r="EW177" s="21">
        <f>EXP(-LN(2)/25)*EW176+(1-EXP(-LN(2)/25))/(LN(2)/25)*Calculateur!ER177*Calculateur!ET177*VLOOKUP('Données projet'!$B$15,Paramètres!$A$1:$I$89,3,0)*0.475*44/12</f>
        <v>5.8405517328418366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9.9514717256210865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6.140000000000005</v>
      </c>
      <c r="N178" s="13">
        <f>IF('Données projet'!$A$36&gt;35,N177+M178-V177,IF(A178&lt;'Données projet'!$A$36,$K$205^A178,IF(A178='Données projet'!$A$36,'Données projet'!$B$36,N177+M178-V177)))</f>
        <v>376.66000000000088</v>
      </c>
      <c r="O178" s="13">
        <f>N178*VLOOKUP('Données projet'!$B$9,Paramètres!$A$1:$I$89,3,0)*VLOOKUP('Données projet'!$B$9,Paramètres!$A$1:$I$89,5,0)</f>
        <v>381.93324000000092</v>
      </c>
      <c r="P178" s="13">
        <f t="shared" si="141"/>
        <v>88.104112736615605</v>
      </c>
      <c r="Q178" s="20">
        <f t="shared" si="162"/>
        <v>818.64838934960699</v>
      </c>
      <c r="R178" s="59">
        <f t="shared" si="109"/>
        <v>1107.6944156310774</v>
      </c>
      <c r="S178" s="59">
        <f ca="1">AVERAGE(OFFSET($R$3,0,0,'Données projet'!$E$9+1,1))-AVERAGE(OFFSET($H$3,0,0,'Données projet'!$E$9+1,1))</f>
        <v>752.45542076695506</v>
      </c>
      <c r="T178" s="59">
        <f t="shared" si="142"/>
        <v>329.70629768420724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103.8647051786388</v>
      </c>
      <c r="AA178" s="21">
        <f>EXP(-LN(2)/25)*AA177+(1-EXP(-LN(2)/25))/(LN(2)/25)*Calculateur!V178*Calculateur!X178*VLOOKUP('Données projet'!$B$9,Paramètres!$A$1:$I$89,3,0)*0.475*44/12</f>
        <v>24.610718114218916</v>
      </c>
      <c r="AB178" s="21">
        <f>EXP(-LN(2)/2)*AB177+(1-EXP(-LN(2)/2))/(LN(2)/2)*V178*Y178*VLOOKUP('Données projet'!$B$9,Paramètres!$A$1:$I$89,3,0)*0.475*44/12</f>
        <v>8.1181767541449599</v>
      </c>
      <c r="AC178" s="22">
        <f t="shared" si="163"/>
        <v>136.5936000470027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408.246209980743</v>
      </c>
      <c r="AO178" s="59">
        <f t="shared" si="144"/>
        <v>394.10236303013903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8.6974142384209916</v>
      </c>
      <c r="AV178" s="21">
        <f>EXP(-LN(2)/25)*AV177+(1-EXP(-LN(2)/25))/(LN(2)/25)*Calculateur!AQ178*Calculateur!AS178*VLOOKUP('Données projet'!$B$10,Paramètres!$A$1:$I$89,3,0)*0.475*44/12</f>
        <v>4.0459659313965446</v>
      </c>
      <c r="AW178" s="21">
        <f>EXP(-LN(2)/2)*AW177+(1-EXP(-LN(2)/2))/(LN(2)/2)*AQ178*AT178*VLOOKUP('Données projet'!$B$10,Paramètres!$A$1:$I$89,3,0)*0.475*44/12</f>
        <v>3.4437055738415923E-13</v>
      </c>
      <c r="AX178" s="21">
        <f t="shared" si="166"/>
        <v>12.743380169817881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6.140000000000005</v>
      </c>
      <c r="BD178" s="12">
        <f>IF('Données projet'!$A$88&gt;35,BD177+BC178-BL177,IF(A178&lt;'Données projet'!$A$88,$BA$205^A178,IF(A178='Données projet'!$A$88,'Données projet'!$B$88,BD177+BC178-BL177)))</f>
        <v>376.66000000000088</v>
      </c>
      <c r="BE178" s="13">
        <f>BD178*VLOOKUP('Données projet'!$B$11,Paramètres!$A$1:$I$89,3,0)*VLOOKUP('Données projet'!$B$11,Paramètres!$A$1:$I$89,5,0)</f>
        <v>358.42965600000082</v>
      </c>
      <c r="BF178" s="13">
        <f t="shared" si="167"/>
        <v>83.295853427413832</v>
      </c>
      <c r="BG178" s="20">
        <f t="shared" si="168"/>
        <v>769.33859558608037</v>
      </c>
      <c r="BH178" s="59">
        <f t="shared" si="116"/>
        <v>1058.3846218675508</v>
      </c>
      <c r="BI178" s="59">
        <f ca="1">AVERAGE(OFFSET($BH$3,0,0,'Données projet'!$E$11+1,1))-AVERAGE(OFFSET($H$3,0,0,'Données projet'!$E$11+1,1))</f>
        <v>711.91538686535682</v>
      </c>
      <c r="BJ178" s="59">
        <f t="shared" si="146"/>
        <v>313.24593837351722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97.473031013799456</v>
      </c>
      <c r="BQ178" s="21">
        <f>EXP(-LN(2)/25)*BQ177+(1-EXP(-LN(2)/25))/(LN(2)/25)*Calculateur!BL178*Calculateur!BN178*VLOOKUP('Données projet'!$B$11,Paramètres!$A$1:$I$89,3,0)*0.475*44/12</f>
        <v>23.096212384113123</v>
      </c>
      <c r="BR178" s="21">
        <f>EXP(-LN(2)/2)*BR177+(1-EXP(-LN(2)/2))/(LN(2)/2)*BL178*BO178*VLOOKUP('Données projet'!$B$11,Paramètres!$A$1:$I$89,3,0)*0.475*44/12</f>
        <v>7.6185966461975774</v>
      </c>
      <c r="BS178" s="22">
        <f t="shared" si="169"/>
        <v>128.18784004411015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6.140000000000005</v>
      </c>
      <c r="BY178" s="12">
        <f>IF('Données projet'!$A$114&gt;35,BY177+BX178-CG177,IF(A178&lt;'Données projet'!$A$114,$BV$205^A178,IF(A178='Données projet'!$A$114,'Données projet'!$B$114,BY177+BX178-CG177)))</f>
        <v>376.66000000000088</v>
      </c>
      <c r="BZ178" s="13">
        <f>BY178*VLOOKUP('Données projet'!$B$12,Paramètres!$A$1:$I$89,3,0)*VLOOKUP('Données projet'!$B$12,Paramètres!$A$1:$I$89,5,0)</f>
        <v>340.80196800000078</v>
      </c>
      <c r="CA178" s="13">
        <f t="shared" si="170"/>
        <v>79.665615362245418</v>
      </c>
      <c r="CB178" s="20">
        <f t="shared" si="171"/>
        <v>732.31437435591215</v>
      </c>
      <c r="CC178" s="59">
        <f t="shared" si="119"/>
        <v>1021.3604006373826</v>
      </c>
      <c r="CD178" s="59">
        <f ca="1">AVERAGE(OFFSET($CC$3,0,0,'Données projet'!$E$12+1,1))-AVERAGE(OFFSET($H$3,0,0,'Données projet'!$E$12+1,1))</f>
        <v>681.47578137804555</v>
      </c>
      <c r="CE178" s="59">
        <f t="shared" si="148"/>
        <v>300.88511065995885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92.679275390169977</v>
      </c>
      <c r="CL178" s="21">
        <f>EXP(-LN(2)/25)*CL177+(1-EXP(-LN(2)/25))/(LN(2)/25)*Calculateur!CG178*Calculateur!CI178*VLOOKUP('Données projet'!$B$12,Paramètres!$A$1:$I$89,3,0)*0.475*44/12</f>
        <v>21.960333086533794</v>
      </c>
      <c r="CM178" s="21">
        <f>EXP(-LN(2)/2)*CM177+(1-EXP(-LN(2)/2))/(LN(2)/2)*CG178*CJ178*VLOOKUP('Données projet'!$B$12,Paramètres!$A$1:$I$89,3,0)*0.475*44/12</f>
        <v>7.2439115652370401</v>
      </c>
      <c r="CN178" s="22">
        <f t="shared" si="172"/>
        <v>121.88352004194081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-8.5265128291212022E-14</v>
      </c>
      <c r="CU178" s="17">
        <f>CT178*VLOOKUP('Données projet'!$B$13,Paramètres!$A$1:$I$89,3,0)*VLOOKUP('Données projet'!$B$13,Paramètres!$A$1:$I$89,5,0)</f>
        <v>-6.9167072069831198E-14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186.54446846714993</v>
      </c>
      <c r="CZ178" s="59">
        <f t="shared" si="150"/>
        <v>154.43773051601286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</v>
      </c>
      <c r="DG178" s="21">
        <f>EXP(-LN(2)/25)*DG177+(1-EXP(-LN(2)/25))/(LN(2)/25)*Calculateur!DB178*Calculateur!DD178*VLOOKUP('Données projet'!$B$13,Paramètres!$A$1:$I$89,3,0)*0.475*44/12</f>
        <v>1.5327050039281254</v>
      </c>
      <c r="DH178" s="21">
        <f>EXP(-LN(2)/2)*DH177+(1-EXP(-LN(2)/2))/(LN(2)/2)*DB178*DE178*VLOOKUP('Données projet'!$B$13,Paramètres!$A$1:$I$89,3,0)*0.475*44/12</f>
        <v>4.0266823596389108E-12</v>
      </c>
      <c r="DI178" s="22">
        <f t="shared" si="175"/>
        <v>1.5327050039321521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8.1599999999999984</v>
      </c>
      <c r="DO178" s="12">
        <f>IF('Données projet'!$A$166&gt;35,DO177+DN178-DW177,IF(A178&lt;'Données projet'!$A$166,$DL$205^A178,IF(A178='Données projet'!$A$166,'Données projet'!$B$166,DO177+DN178-DW177)))</f>
        <v>472.56000000000017</v>
      </c>
      <c r="DP178" s="17">
        <f>DO178*VLOOKUP('Données projet'!$B$14,Paramètres!$A$1:$I$89,3,0)*VLOOKUP('Données projet'!$B$14,Paramètres!$A$1:$I$89,5,0)</f>
        <v>538.15132800000015</v>
      </c>
      <c r="DQ178" s="13">
        <f t="shared" si="176"/>
        <v>119.28317960723415</v>
      </c>
      <c r="DR178" s="20">
        <f t="shared" si="177"/>
        <v>1145.031767415933</v>
      </c>
      <c r="DS178" s="59">
        <f t="shared" si="125"/>
        <v>1434.0777936974034</v>
      </c>
      <c r="DT178" s="59">
        <f ca="1">AVERAGE(OFFSET($DS$3,0,0,'Données projet'!$E$14+1,1))-AVERAGE(OFFSET($H$3,0,0,'Données projet'!$E$14+1,1))</f>
        <v>651.35546372812314</v>
      </c>
      <c r="DU178" s="59">
        <f t="shared" si="152"/>
        <v>293.6561676213388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35.78650276040301</v>
      </c>
      <c r="EB178" s="21">
        <f>EXP(-LN(2)/25)*EB177+(1-EXP(-LN(2)/25))/(LN(2)/25)*Calculateur!DW178*Calculateur!DY178*VLOOKUP('Données projet'!$B$14,Paramètres!$A$1:$I$89,3,0)*0.475*44/12</f>
        <v>20.097083887261196</v>
      </c>
      <c r="EC178" s="21">
        <f>EXP(-LN(2)/2)*EC177+(1-EXP(-LN(2)/2))/(LN(2)/2)*DW178*DZ178*VLOOKUP('Données projet'!$B$14,Paramètres!$A$1:$I$89,3,0)*0.475*44/12</f>
        <v>0.19776096716530972</v>
      </c>
      <c r="ED178" s="22">
        <f t="shared" si="178"/>
        <v>56.081347614829511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8.5265128291212022E-14</v>
      </c>
      <c r="EK178" s="17">
        <f>EJ178*VLOOKUP('Données projet'!$B$15,Paramètres!$A$1:$I$89,3,0)*VLOOKUP('Données projet'!$B$15,Paramètres!$A$1:$I$89,5,0)</f>
        <v>8.9119112089974823E-14</v>
      </c>
      <c r="EL178" s="13">
        <f t="shared" si="179"/>
        <v>1.3568952080113142E-12</v>
      </c>
      <c r="EM178" s="20">
        <f t="shared" si="180"/>
        <v>2.5184749408430782E-12</v>
      </c>
      <c r="EN178" s="59">
        <f t="shared" si="128"/>
        <v>289.0460262814729</v>
      </c>
      <c r="EO178" s="59">
        <f ca="1">AVERAGE(OFFSET($EN$3,0,0,'Données projet'!$E$15+1,1))-AVERAGE(OFFSET($H$3,0,0,'Données projet'!$E$15+1,1))</f>
        <v>290.69667785754848</v>
      </c>
      <c r="EP178" s="59">
        <f t="shared" si="154"/>
        <v>256.28124185489082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4.0303073591344578</v>
      </c>
      <c r="EW178" s="21">
        <f>EXP(-LN(2)/25)*EW177+(1-EXP(-LN(2)/25))/(LN(2)/25)*Calculateur!ER178*Calculateur!ET178*VLOOKUP('Données projet'!$B$15,Paramètres!$A$1:$I$89,3,0)*0.475*44/12</f>
        <v>5.6808415385660096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9.7111488977004683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6.140000000000005</v>
      </c>
      <c r="N179" s="13">
        <f>IF('Données projet'!$A$36&gt;35,N178+M179-V178,IF(A179&lt;'Données projet'!$A$36,$K$205^A179,IF(A179='Données projet'!$A$36,'Données projet'!$B$36,N178+M179-V178)))</f>
        <v>382.80000000000086</v>
      </c>
      <c r="O179" s="13">
        <f>N179*VLOOKUP('Données projet'!$B$9,Paramètres!$A$1:$I$89,3,0)*VLOOKUP('Données projet'!$B$9,Paramètres!$A$1:$I$89,5,0)</f>
        <v>388.15920000000091</v>
      </c>
      <c r="P179" s="13">
        <f t="shared" si="141"/>
        <v>89.37194271202209</v>
      </c>
      <c r="Q179" s="20">
        <f t="shared" si="162"/>
        <v>831.70007355677342</v>
      </c>
      <c r="R179" s="59">
        <f t="shared" si="109"/>
        <v>1120.8204750306111</v>
      </c>
      <c r="S179" s="59">
        <f ca="1">AVERAGE(OFFSET($R$3,0,0,'Données projet'!$E$9+1,1))-AVERAGE(OFFSET($H$3,0,0,'Données projet'!$E$9+1,1))</f>
        <v>752.45542076695506</v>
      </c>
      <c r="T179" s="59">
        <f t="shared" si="142"/>
        <v>329.70629768420724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101.82798166130044</v>
      </c>
      <c r="AA179" s="21">
        <f>EXP(-LN(2)/25)*AA178+(1-EXP(-LN(2)/25))/(LN(2)/25)*Calculateur!V179*Calculateur!X179*VLOOKUP('Données projet'!$B$9,Paramètres!$A$1:$I$89,3,0)*0.475*44/12</f>
        <v>23.937736733164183</v>
      </c>
      <c r="AB179" s="21">
        <f>EXP(-LN(2)/2)*AB178+(1-EXP(-LN(2)/2))/(LN(2)/2)*V179*Y179*VLOOKUP('Données projet'!$B$9,Paramètres!$A$1:$I$89,3,0)*0.475*44/12</f>
        <v>5.7404178337268972</v>
      </c>
      <c r="AC179" s="22">
        <f t="shared" si="163"/>
        <v>131.50613622819154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408.246209980743</v>
      </c>
      <c r="AO179" s="59">
        <f t="shared" si="144"/>
        <v>394.10236303013903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8.5268632501044266</v>
      </c>
      <c r="AV179" s="21">
        <f>EXP(-LN(2)/25)*AV178+(1-EXP(-LN(2)/25))/(LN(2)/25)*Calculateur!AQ179*Calculateur!AS179*VLOOKUP('Données projet'!$B$10,Paramètres!$A$1:$I$89,3,0)*0.475*44/12</f>
        <v>3.9353287802344048</v>
      </c>
      <c r="AW179" s="21">
        <f>EXP(-LN(2)/2)*AW178+(1-EXP(-LN(2)/2))/(LN(2)/2)*AQ179*AT179*VLOOKUP('Données projet'!$B$10,Paramètres!$A$1:$I$89,3,0)*0.475*44/12</f>
        <v>2.4350675636733008E-13</v>
      </c>
      <c r="AX179" s="21">
        <f t="shared" si="166"/>
        <v>12.462192030339075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6.140000000000005</v>
      </c>
      <c r="BD179" s="12">
        <f>IF('Données projet'!$A$88&gt;35,BD178+BC179-BL178,IF(A179&lt;'Données projet'!$A$88,$BA$205^A179,IF(A179='Données projet'!$A$88,'Données projet'!$B$88,BD178+BC179-BL178)))</f>
        <v>382.80000000000086</v>
      </c>
      <c r="BE179" s="13">
        <f>BD179*VLOOKUP('Données projet'!$B$11,Paramètres!$A$1:$I$89,3,0)*VLOOKUP('Données projet'!$B$11,Paramètres!$A$1:$I$89,5,0)</f>
        <v>364.27248000000083</v>
      </c>
      <c r="BF179" s="13">
        <f t="shared" si="167"/>
        <v>84.494491907753954</v>
      </c>
      <c r="BG179" s="20">
        <f t="shared" si="168"/>
        <v>781.60247607267286</v>
      </c>
      <c r="BH179" s="59">
        <f t="shared" si="116"/>
        <v>1070.7228775465105</v>
      </c>
      <c r="BI179" s="59">
        <f ca="1">AVERAGE(OFFSET($BH$3,0,0,'Données projet'!$E$11+1,1))-AVERAGE(OFFSET($H$3,0,0,'Données projet'!$E$11+1,1))</f>
        <v>711.91538686535682</v>
      </c>
      <c r="BJ179" s="59">
        <f t="shared" si="146"/>
        <v>313.24593837351722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95.561644328297305</v>
      </c>
      <c r="BQ179" s="21">
        <f>EXP(-LN(2)/25)*BQ178+(1-EXP(-LN(2)/25))/(LN(2)/25)*Calculateur!BL179*Calculateur!BN179*VLOOKUP('Données projet'!$B$11,Paramètres!$A$1:$I$89,3,0)*0.475*44/12</f>
        <v>22.464645241892526</v>
      </c>
      <c r="BR179" s="21">
        <f>EXP(-LN(2)/2)*BR178+(1-EXP(-LN(2)/2))/(LN(2)/2)*BL179*BO179*VLOOKUP('Données projet'!$B$11,Paramètres!$A$1:$I$89,3,0)*0.475*44/12</f>
        <v>5.3871613516513959</v>
      </c>
      <c r="BS179" s="22">
        <f t="shared" si="169"/>
        <v>123.41345092184123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6.140000000000005</v>
      </c>
      <c r="BY179" s="12">
        <f>IF('Données projet'!$A$114&gt;35,BY178+BX179-CG178,IF(A179&lt;'Données projet'!$A$114,$BV$205^A179,IF(A179='Données projet'!$A$114,'Données projet'!$B$114,BY178+BX179-CG178)))</f>
        <v>382.80000000000086</v>
      </c>
      <c r="BZ179" s="13">
        <f>BY179*VLOOKUP('Données projet'!$B$12,Paramètres!$A$1:$I$89,3,0)*VLOOKUP('Données projet'!$B$12,Paramètres!$A$1:$I$89,5,0)</f>
        <v>346.35744000000079</v>
      </c>
      <c r="CA179" s="13">
        <f t="shared" si="170"/>
        <v>80.812014230904367</v>
      </c>
      <c r="CB179" s="20">
        <f t="shared" si="171"/>
        <v>743.98679945215974</v>
      </c>
      <c r="CC179" s="59">
        <f t="shared" si="119"/>
        <v>1033.1072009259974</v>
      </c>
      <c r="CD179" s="59">
        <f ca="1">AVERAGE(OFFSET($CC$3,0,0,'Données projet'!$E$12+1,1))-AVERAGE(OFFSET($H$3,0,0,'Données projet'!$E$12+1,1))</f>
        <v>681.47578137804555</v>
      </c>
      <c r="CE179" s="59">
        <f t="shared" si="148"/>
        <v>300.88511065995885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90.861891328544985</v>
      </c>
      <c r="CL179" s="21">
        <f>EXP(-LN(2)/25)*CL178+(1-EXP(-LN(2)/25))/(LN(2)/25)*Calculateur!CG179*Calculateur!CI179*VLOOKUP('Données projet'!$B$12,Paramètres!$A$1:$I$89,3,0)*0.475*44/12</f>
        <v>21.359826623438803</v>
      </c>
      <c r="CM179" s="21">
        <f>EXP(-LN(2)/2)*CM178+(1-EXP(-LN(2)/2))/(LN(2)/2)*CG179*CJ179*VLOOKUP('Données projet'!$B$12,Paramètres!$A$1:$I$89,3,0)*0.475*44/12</f>
        <v>5.122218990094769</v>
      </c>
      <c r="CN179" s="22">
        <f t="shared" si="172"/>
        <v>117.34393694207856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-8.5265128291212022E-14</v>
      </c>
      <c r="CU179" s="17">
        <f>CT179*VLOOKUP('Données projet'!$B$13,Paramètres!$A$1:$I$89,3,0)*VLOOKUP('Données projet'!$B$13,Paramètres!$A$1:$I$89,5,0)</f>
        <v>-6.9167072069831198E-14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186.54446846714993</v>
      </c>
      <c r="CZ179" s="59">
        <f t="shared" si="150"/>
        <v>154.43773051601286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</v>
      </c>
      <c r="DG179" s="21">
        <f>EXP(-LN(2)/25)*DG178+(1-EXP(-LN(2)/25))/(LN(2)/25)*Calculateur!DB179*Calculateur!DD179*VLOOKUP('Données projet'!$B$13,Paramètres!$A$1:$I$89,3,0)*0.475*44/12</f>
        <v>1.4907931049942578</v>
      </c>
      <c r="DH179" s="21">
        <f>EXP(-LN(2)/2)*DH178+(1-EXP(-LN(2)/2))/(LN(2)/2)*DB179*DE179*VLOOKUP('Données projet'!$B$13,Paramètres!$A$1:$I$89,3,0)*0.475*44/12</f>
        <v>2.8472944021849223E-12</v>
      </c>
      <c r="DI179" s="22">
        <f t="shared" si="175"/>
        <v>1.490793104997105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8.1599999999999984</v>
      </c>
      <c r="DO179" s="12">
        <f>IF('Données projet'!$A$166&gt;35,DO178+DN179-DW178,IF(A179&lt;'Données projet'!$A$166,$DL$205^A179,IF(A179='Données projet'!$A$166,'Données projet'!$B$166,DO178+DN179-DW178)))</f>
        <v>480.7200000000002</v>
      </c>
      <c r="DP179" s="17">
        <f>DO179*VLOOKUP('Données projet'!$B$14,Paramètres!$A$1:$I$89,3,0)*VLOOKUP('Données projet'!$B$14,Paramètres!$A$1:$I$89,5,0)</f>
        <v>547.44393600000024</v>
      </c>
      <c r="DQ179" s="13">
        <f t="shared" si="176"/>
        <v>121.10134849450466</v>
      </c>
      <c r="DR179" s="20">
        <f t="shared" si="177"/>
        <v>1164.3830371612628</v>
      </c>
      <c r="DS179" s="59">
        <f t="shared" si="125"/>
        <v>1453.5034386351003</v>
      </c>
      <c r="DT179" s="59">
        <f ca="1">AVERAGE(OFFSET($DS$3,0,0,'Données projet'!$E$14+1,1))-AVERAGE(OFFSET($H$3,0,0,'Données projet'!$E$14+1,1))</f>
        <v>651.35546372812314</v>
      </c>
      <c r="DU179" s="59">
        <f t="shared" si="152"/>
        <v>293.6561676213388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35.084751268882897</v>
      </c>
      <c r="EB179" s="21">
        <f>EXP(-LN(2)/25)*EB178+(1-EXP(-LN(2)/25))/(LN(2)/25)*Calculateur!DW179*Calculateur!DY179*VLOOKUP('Données projet'!$B$14,Paramètres!$A$1:$I$89,3,0)*0.475*44/12</f>
        <v>19.547528071504328</v>
      </c>
      <c r="EC179" s="21">
        <f>EXP(-LN(2)/2)*EC178+(1-EXP(-LN(2)/2))/(LN(2)/2)*DW179*DZ179*VLOOKUP('Données projet'!$B$14,Paramètres!$A$1:$I$89,3,0)*0.475*44/12</f>
        <v>0.13983812093660067</v>
      </c>
      <c r="ED179" s="22">
        <f t="shared" si="178"/>
        <v>54.77211746132383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8.5265128291212022E-14</v>
      </c>
      <c r="EK179" s="17">
        <f>EJ179*VLOOKUP('Données projet'!$B$15,Paramètres!$A$1:$I$89,3,0)*VLOOKUP('Données projet'!$B$15,Paramètres!$A$1:$I$89,5,0)</f>
        <v>8.9119112089974823E-14</v>
      </c>
      <c r="EL179" s="13">
        <f t="shared" si="179"/>
        <v>1.3568952080113142E-12</v>
      </c>
      <c r="EM179" s="20">
        <f t="shared" si="180"/>
        <v>2.5184749408430782E-12</v>
      </c>
      <c r="EN179" s="59">
        <f t="shared" si="128"/>
        <v>289.1204014738401</v>
      </c>
      <c r="EO179" s="59">
        <f ca="1">AVERAGE(OFFSET($EN$3,0,0,'Données projet'!$E$15+1,1))-AVERAGE(OFFSET($H$3,0,0,'Données projet'!$E$15+1,1))</f>
        <v>290.69667785754848</v>
      </c>
      <c r="EP179" s="59">
        <f t="shared" si="154"/>
        <v>256.28124185489082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3.9512754900665885</v>
      </c>
      <c r="EW179" s="21">
        <f>EXP(-LN(2)/25)*EW178+(1-EXP(-LN(2)/25))/(LN(2)/25)*Calculateur!ER179*Calculateur!ET179*VLOOKUP('Données projet'!$B$15,Paramètres!$A$1:$I$89,3,0)*0.475*44/12</f>
        <v>5.5254986279514489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9.4767741180180369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>
        <f>VLOOKUP(A180,'Données projet'!$A$35:$I$55,2,0)</f>
        <v>388.94</v>
      </c>
      <c r="L180" s="12">
        <f>VLOOKUP(A180,'Données projet'!$A$35:$I$55,9,0)</f>
        <v>6.140000000000005</v>
      </c>
      <c r="M180" s="12">
        <f t="array" ref="M180">INDEX(L:L,MIN(IF(ISNUMBER(L180:L376),ROW(L180:L376),"")))</f>
        <v>6.140000000000005</v>
      </c>
      <c r="N180" s="13">
        <f>IF('Données projet'!$A$36&gt;35,N179+M180-V179,IF(A180&lt;'Données projet'!$A$36,$K$205^A180,IF(A180='Données projet'!$A$36,'Données projet'!$B$36,N179+M180-V179)))</f>
        <v>388.94000000000085</v>
      </c>
      <c r="O180" s="13">
        <f>N180*VLOOKUP('Données projet'!$B$9,Paramètres!$A$1:$I$89,3,0)*VLOOKUP('Données projet'!$B$9,Paramètres!$A$1:$I$89,5,0)</f>
        <v>394.38516000000089</v>
      </c>
      <c r="P180" s="13">
        <f t="shared" si="141"/>
        <v>90.637407722136572</v>
      </c>
      <c r="Q180" s="20">
        <f t="shared" si="162"/>
        <v>844.74763878272279</v>
      </c>
      <c r="R180" s="59">
        <f t="shared" si="109"/>
        <v>1133.9411252056179</v>
      </c>
      <c r="S180" s="59">
        <f ca="1">AVERAGE(OFFSET($R$3,0,0,'Données projet'!$E$9+1,1))-AVERAGE(OFFSET($H$3,0,0,'Données projet'!$E$9+1,1))</f>
        <v>752.45542076695506</v>
      </c>
      <c r="T180" s="59">
        <f t="shared" si="142"/>
        <v>329.70629768420724</v>
      </c>
      <c r="U180" s="15">
        <f>IF(ISNA(VLOOKUP(A180,'Données projet'!$A$35:$I$55,3,0)),0,VLOOKUP(A180,'Données projet'!$A$35:$I$55,3,0))</f>
        <v>16</v>
      </c>
      <c r="V180" s="15">
        <f>IF(ISNA(VLOOKUP(A180,'Données projet'!$A$35:$I$55,4,0)),0,VLOOKUP(A180,'Données projet'!$A$35:$I$55,4,0))</f>
        <v>128.66000000000003</v>
      </c>
      <c r="W180" s="16">
        <f>IF(ISNA(VLOOKUP(A180,'Données projet'!$A$35:$I$55,5,0)),0%,VLOOKUP(A180,'Données projet'!$A$35:$I$55,5,0)*VLOOKUP('Données projet'!$B$9,Paramètres!$A$1:$I$89,7,0))</f>
        <v>0.19350000000000001</v>
      </c>
      <c r="X180" s="16">
        <f>IF(ISNA(VLOOKUP(A180,'Données projet'!$A$35:$I$55,6,0)),0%,VLOOKUP(A180,'Données projet'!$A$35:$I$55,6,0)*VLOOKUP('Données projet'!$B$9,Paramètres!$A$1:$I$89,7,0))</f>
        <v>2.1500000000000002E-2</v>
      </c>
      <c r="Y180" s="16">
        <f>IF(ISNA(VLOOKUP(A180,'Données projet'!$A$35:$I$55,7,0)),0%,VLOOKUP(A180,'Données projet'!$A$35:$I$55,7,0))</f>
        <v>0.05</v>
      </c>
      <c r="Z180" s="21">
        <f>EXP(-LN(2)/35)*Z179+(1-EXP(-LN(2)/35))/(LN(2)/35)*V180*W180*VLOOKUP('Données projet'!$B$9,Paramètres!$A$1:$I$89,3,0)*0.475*44/12</f>
        <v>127.73796761205486</v>
      </c>
      <c r="AA180" s="21">
        <f>EXP(-LN(2)/25)*AA179+(1-EXP(-LN(2)/25))/(LN(2)/25)*Calculateur!V180*Calculateur!X180*VLOOKUP('Données projet'!$B$9,Paramètres!$A$1:$I$89,3,0)*0.475*44/12</f>
        <v>26.371701504829375</v>
      </c>
      <c r="AB180" s="21">
        <f>EXP(-LN(2)/2)*AB179+(1-EXP(-LN(2)/2))/(LN(2)/2)*V180*Y180*VLOOKUP('Données projet'!$B$9,Paramètres!$A$1:$I$89,3,0)*0.475*44/12</f>
        <v>10.213772939712136</v>
      </c>
      <c r="AC180" s="22">
        <f t="shared" si="163"/>
        <v>164.32344205659635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408.246209980743</v>
      </c>
      <c r="AO180" s="59">
        <f t="shared" si="144"/>
        <v>394.10236303013903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8.3596566626429176</v>
      </c>
      <c r="AV180" s="21">
        <f>EXP(-LN(2)/25)*AV179+(1-EXP(-LN(2)/25))/(LN(2)/25)*Calculateur!AQ180*Calculateur!AS180*VLOOKUP('Données projet'!$B$10,Paramètres!$A$1:$I$89,3,0)*0.475*44/12</f>
        <v>3.8277170077889489</v>
      </c>
      <c r="AW180" s="21">
        <f>EXP(-LN(2)/2)*AW179+(1-EXP(-LN(2)/2))/(LN(2)/2)*AQ180*AT180*VLOOKUP('Données projet'!$B$10,Paramètres!$A$1:$I$89,3,0)*0.475*44/12</f>
        <v>1.7218527869207961E-13</v>
      </c>
      <c r="AX180" s="21">
        <f t="shared" si="166"/>
        <v>12.18737367043204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>
        <f>VLOOKUP(A180,'Données projet'!$A$87:$I$107,2,0)</f>
        <v>388.94</v>
      </c>
      <c r="BB180" s="12">
        <f>VLOOKUP(A180,'Données projet'!$A$87:$I$107,9,0)</f>
        <v>6.140000000000005</v>
      </c>
      <c r="BC180" s="12">
        <f t="array" ref="BC180">INDEX(BB:BB,MIN(IF(ISNUMBER(BB180:BB376),ROW(BB180:BB376),"")))</f>
        <v>6.140000000000005</v>
      </c>
      <c r="BD180" s="12">
        <f>IF('Données projet'!$A$88&gt;35,BD179+BC180-BL179,IF(A180&lt;'Données projet'!$A$88,$BA$205^A180,IF(A180='Données projet'!$A$88,'Données projet'!$B$88,BD179+BC180-BL179)))</f>
        <v>388.94000000000085</v>
      </c>
      <c r="BE180" s="13">
        <f>BD180*VLOOKUP('Données projet'!$B$11,Paramètres!$A$1:$I$89,3,0)*VLOOKUP('Données projet'!$B$11,Paramètres!$A$1:$I$89,5,0)</f>
        <v>370.11530400000083</v>
      </c>
      <c r="BF180" s="13">
        <f t="shared" si="167"/>
        <v>85.690894490175097</v>
      </c>
      <c r="BG180" s="20">
        <f t="shared" si="168"/>
        <v>793.86246237038984</v>
      </c>
      <c r="BH180" s="59">
        <f t="shared" si="116"/>
        <v>1083.0559487932851</v>
      </c>
      <c r="BI180" s="59">
        <f ca="1">AVERAGE(OFFSET($BH$3,0,0,'Données projet'!$E$11+1,1))-AVERAGE(OFFSET($H$3,0,0,'Données projet'!$E$11+1,1))</f>
        <v>711.91538686535682</v>
      </c>
      <c r="BJ180" s="59">
        <f t="shared" si="146"/>
        <v>313.24593837351722</v>
      </c>
      <c r="BK180" s="15">
        <f>IF(ISNA(VLOOKUP(A180,'Données projet'!$A$87:$I$107,3,0)),0,VLOOKUP(A180,'Données projet'!$A$87:$I$107,3,0))</f>
        <v>16</v>
      </c>
      <c r="BL180" s="15">
        <f>IF(ISNA(VLOOKUP(A180,'Données projet'!$A$87:$I$107,4,0)),0,VLOOKUP(A180,'Données projet'!$A$87:$I$107,4,0))</f>
        <v>128.66000000000003</v>
      </c>
      <c r="BM180" s="16">
        <f>IF(ISNA(VLOOKUP(A180,'Données projet'!$A$87:$I$107,5,0)),0%,VLOOKUP(A180,'Données projet'!$A$87:$I$107,5,0)*VLOOKUP('Données projet'!$B$11,Paramètres!$A$1:$I$89,7,0))</f>
        <v>0.19350000000000001</v>
      </c>
      <c r="BN180" s="16">
        <f>IF(ISNA(VLOOKUP(A180,'Données projet'!$A$87:$I$107,6,0)),0%,VLOOKUP(A180,'Données projet'!$A$87:$I$107,6,0)*VLOOKUP('Données projet'!$B$11,Paramètres!$A$1:$I$89,7,0))</f>
        <v>2.1500000000000002E-2</v>
      </c>
      <c r="BO180" s="16">
        <f>IF(ISNA(VLOOKUP(A180,'Données projet'!$A$87:$I$107,7,0)),0%,VLOOKUP(A180,'Données projet'!$A$87:$I$107,7,0))</f>
        <v>0.05</v>
      </c>
      <c r="BP180" s="21">
        <f>EXP(-LN(2)/35)*BP179+(1-EXP(-LN(2)/35))/(LN(2)/35)*BL180*BM180*VLOOKUP('Données projet'!$B$11,Paramètres!$A$1:$I$89,3,0)*0.475*44/12</f>
        <v>119.87716960515914</v>
      </c>
      <c r="BQ180" s="21">
        <f>EXP(-LN(2)/25)*BQ179+(1-EXP(-LN(2)/25))/(LN(2)/25)*Calculateur!BL180*Calculateur!BN180*VLOOKUP('Données projet'!$B$11,Paramètres!$A$1:$I$89,3,0)*0.475*44/12</f>
        <v>24.748827566070627</v>
      </c>
      <c r="BR180" s="21">
        <f>EXP(-LN(2)/2)*BR179+(1-EXP(-LN(2)/2))/(LN(2)/2)*BL180*BO180*VLOOKUP('Données projet'!$B$11,Paramètres!$A$1:$I$89,3,0)*0.475*44/12</f>
        <v>9.5852330664990806</v>
      </c>
      <c r="BS180" s="22">
        <f t="shared" si="169"/>
        <v>154.21123023772884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>
        <f>VLOOKUP(A180,'Données projet'!$A$113:$I$133,2,0)</f>
        <v>388.94</v>
      </c>
      <c r="BW180" s="12">
        <f>VLOOKUP(A180,'Données projet'!$A$113:$I$133,9,0)</f>
        <v>6.140000000000005</v>
      </c>
      <c r="BX180" s="12">
        <f t="array" ref="BX180">INDEX(BW:BW,MIN(IF(ISNUMBER(BW180:BW376),ROW(BW180:BW376),"")))</f>
        <v>6.140000000000005</v>
      </c>
      <c r="BY180" s="12">
        <f>IF('Données projet'!$A$114&gt;35,BY179+BX180-CG179,IF(A180&lt;'Données projet'!$A$114,$BV$205^A180,IF(A180='Données projet'!$A$114,'Données projet'!$B$114,BY179+BX180-CG179)))</f>
        <v>388.94000000000085</v>
      </c>
      <c r="BZ180" s="13">
        <f>BY180*VLOOKUP('Données projet'!$B$12,Paramètres!$A$1:$I$89,3,0)*VLOOKUP('Données projet'!$B$12,Paramètres!$A$1:$I$89,5,0)</f>
        <v>351.91291200000074</v>
      </c>
      <c r="CA180" s="13">
        <f t="shared" si="170"/>
        <v>81.956274647572329</v>
      </c>
      <c r="CB180" s="20">
        <f t="shared" si="171"/>
        <v>755.65550007785635</v>
      </c>
      <c r="CC180" s="59">
        <f t="shared" si="119"/>
        <v>1044.8489865007516</v>
      </c>
      <c r="CD180" s="59">
        <f ca="1">AVERAGE(OFFSET($CC$3,0,0,'Données projet'!$E$12+1,1))-AVERAGE(OFFSET($H$3,0,0,'Données projet'!$E$12+1,1))</f>
        <v>681.47578137804555</v>
      </c>
      <c r="CE180" s="59">
        <f t="shared" si="148"/>
        <v>300.88511065995885</v>
      </c>
      <c r="CF180" s="15">
        <f>IF(ISNA(VLOOKUP(A180,'Données projet'!$A$113:$I$133,3,0)),0,VLOOKUP(A180,'Données projet'!$A$113:$I$133,3,0))</f>
        <v>16</v>
      </c>
      <c r="CG180" s="15">
        <f>IF(ISNA(VLOOKUP(A180,'Données projet'!$A$113:$I$133,4,0)),0,VLOOKUP(A180,'Données projet'!$A$113:$I$133,4,0))</f>
        <v>128.66000000000003</v>
      </c>
      <c r="CH180" s="16">
        <f>IF(ISNA(VLOOKUP(A180,'Données projet'!$A$113:$I$133,5,0)),0%,VLOOKUP(A180,'Données projet'!$A$113:$I$133,5,0)*VLOOKUP('Données projet'!$B$12,Paramètres!$A$1:$I$89,7,0))</f>
        <v>0.19350000000000001</v>
      </c>
      <c r="CI180" s="16">
        <f>IF(ISNA(VLOOKUP(A180,'Données projet'!$A$113:$I$133,6,0)),0%,VLOOKUP(A180,'Données projet'!$A$113:$I$133,6,0)*VLOOKUP('Données projet'!$B$12,Paramètres!$A$1:$I$89,7,0))</f>
        <v>2.1500000000000002E-2</v>
      </c>
      <c r="CJ180" s="16">
        <f>IF(ISNA(VLOOKUP(A180,'Données projet'!$A$113:$I$133,7,0)),0%,VLOOKUP(A180,'Données projet'!$A$113:$I$133,7,0))</f>
        <v>0.05</v>
      </c>
      <c r="CK180" s="21">
        <f>EXP(-LN(2)/35)*CK179+(1-EXP(-LN(2)/35))/(LN(2)/35)*CG180*CH180*VLOOKUP('Données projet'!$B$12,Paramètres!$A$1:$I$89,3,0)*0.475*44/12</f>
        <v>113.98157109998739</v>
      </c>
      <c r="CL180" s="21">
        <f>EXP(-LN(2)/25)*CL179+(1-EXP(-LN(2)/25))/(LN(2)/25)*Calculateur!CG180*Calculateur!CI180*VLOOKUP('Données projet'!$B$12,Paramètres!$A$1:$I$89,3,0)*0.475*44/12</f>
        <v>23.531672112001587</v>
      </c>
      <c r="CM180" s="21">
        <f>EXP(-LN(2)/2)*CM179+(1-EXP(-LN(2)/2))/(LN(2)/2)*CG180*CJ180*VLOOKUP('Données projet'!$B$12,Paramètres!$A$1:$I$89,3,0)*0.475*44/12</f>
        <v>9.1138281615892875</v>
      </c>
      <c r="CN180" s="22">
        <f t="shared" si="172"/>
        <v>146.62707137357827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-8.5265128291212022E-14</v>
      </c>
      <c r="CU180" s="17">
        <f>CT180*VLOOKUP('Données projet'!$B$13,Paramètres!$A$1:$I$89,3,0)*VLOOKUP('Données projet'!$B$13,Paramètres!$A$1:$I$89,5,0)</f>
        <v>-6.9167072069831198E-14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186.54446846714993</v>
      </c>
      <c r="CZ180" s="59">
        <f t="shared" si="150"/>
        <v>154.43773051601286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</v>
      </c>
      <c r="DG180" s="21">
        <f>EXP(-LN(2)/25)*DG179+(1-EXP(-LN(2)/25))/(LN(2)/25)*Calculateur!DB180*Calculateur!DD180*VLOOKUP('Données projet'!$B$13,Paramètres!$A$1:$I$89,3,0)*0.475*44/12</f>
        <v>1.4500272891407877</v>
      </c>
      <c r="DH180" s="21">
        <f>EXP(-LN(2)/2)*DH179+(1-EXP(-LN(2)/2))/(LN(2)/2)*DB180*DE180*VLOOKUP('Données projet'!$B$13,Paramètres!$A$1:$I$89,3,0)*0.475*44/12</f>
        <v>2.0133411798194554E-12</v>
      </c>
      <c r="DI180" s="22">
        <f t="shared" si="175"/>
        <v>1.450027289142801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8.1599999999999984</v>
      </c>
      <c r="DO180" s="12">
        <f>IF('Données projet'!$A$166&gt;35,DO179+DN180-DW179,IF(A180&lt;'Données projet'!$A$166,$DL$205^A180,IF(A180='Données projet'!$A$166,'Données projet'!$B$166,DO179+DN180-DW179)))</f>
        <v>488.88000000000022</v>
      </c>
      <c r="DP180" s="17">
        <f>DO180*VLOOKUP('Données projet'!$B$14,Paramètres!$A$1:$I$89,3,0)*VLOOKUP('Données projet'!$B$14,Paramètres!$A$1:$I$89,5,0)</f>
        <v>556.73654400000021</v>
      </c>
      <c r="DQ180" s="13">
        <f t="shared" si="176"/>
        <v>122.91592834223361</v>
      </c>
      <c r="DR180" s="20">
        <f t="shared" si="177"/>
        <v>1183.7280559960573</v>
      </c>
      <c r="DS180" s="59">
        <f t="shared" si="125"/>
        <v>1472.9215424189524</v>
      </c>
      <c r="DT180" s="59">
        <f ca="1">AVERAGE(OFFSET($DS$3,0,0,'Données projet'!$E$14+1,1))-AVERAGE(OFFSET($H$3,0,0,'Données projet'!$E$14+1,1))</f>
        <v>651.35546372812314</v>
      </c>
      <c r="DU180" s="59">
        <f t="shared" si="152"/>
        <v>293.6561676213388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34.396760696085344</v>
      </c>
      <c r="EB180" s="21">
        <f>EXP(-LN(2)/25)*EB179+(1-EXP(-LN(2)/25))/(LN(2)/25)*Calculateur!DW180*Calculateur!DY180*VLOOKUP('Données projet'!$B$14,Paramètres!$A$1:$I$89,3,0)*0.475*44/12</f>
        <v>19.012999888429217</v>
      </c>
      <c r="EC180" s="21">
        <f>EXP(-LN(2)/2)*EC179+(1-EXP(-LN(2)/2))/(LN(2)/2)*DW180*DZ180*VLOOKUP('Données projet'!$B$14,Paramètres!$A$1:$I$89,3,0)*0.475*44/12</f>
        <v>9.888048358265486E-2</v>
      </c>
      <c r="ED180" s="22">
        <f t="shared" si="178"/>
        <v>53.508641068097212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8.5265128291212022E-14</v>
      </c>
      <c r="EK180" s="17">
        <f>EJ180*VLOOKUP('Données projet'!$B$15,Paramètres!$A$1:$I$89,3,0)*VLOOKUP('Données projet'!$B$15,Paramètres!$A$1:$I$89,5,0)</f>
        <v>8.9119112089974823E-14</v>
      </c>
      <c r="EL180" s="13">
        <f t="shared" si="179"/>
        <v>1.3568952080113142E-12</v>
      </c>
      <c r="EM180" s="20">
        <f t="shared" si="180"/>
        <v>2.5184749408430782E-12</v>
      </c>
      <c r="EN180" s="59">
        <f t="shared" si="128"/>
        <v>289.19348642289776</v>
      </c>
      <c r="EO180" s="59">
        <f ca="1">AVERAGE(OFFSET($EN$3,0,0,'Données projet'!$E$15+1,1))-AVERAGE(OFFSET($H$3,0,0,'Données projet'!$E$15+1,1))</f>
        <v>290.69667785754848</v>
      </c>
      <c r="EP180" s="59">
        <f t="shared" si="154"/>
        <v>256.28124185489082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3.8737933877464599</v>
      </c>
      <c r="EW180" s="21">
        <f>EXP(-LN(2)/25)*EW179+(1-EXP(-LN(2)/25))/(LN(2)/25)*Calculateur!ER180*Calculateur!ET180*VLOOKUP('Données projet'!$B$15,Paramètres!$A$1:$I$89,3,0)*0.475*44/12</f>
        <v>5.3744035773967722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9.248196965143233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3.76000000000001</v>
      </c>
      <c r="N181" s="13">
        <f>IF('Données projet'!$A$36&gt;35,N180+M181-V180,IF(A181&lt;'Données projet'!$A$36,$K$205^A181,IF(A181='Données projet'!$A$36,'Données projet'!$B$36,N180+M181-V180)))</f>
        <v>264.04000000000082</v>
      </c>
      <c r="O181" s="13">
        <f>N181*VLOOKUP('Données projet'!$B$9,Paramètres!$A$1:$I$89,3,0)*VLOOKUP('Données projet'!$B$9,Paramètres!$A$1:$I$89,5,0)</f>
        <v>267.73656000000085</v>
      </c>
      <c r="P181" s="13">
        <f t="shared" si="141"/>
        <v>64.368675094258279</v>
      </c>
      <c r="Q181" s="20">
        <f t="shared" si="162"/>
        <v>578.41661778916796</v>
      </c>
      <c r="R181" s="59">
        <f t="shared" si="109"/>
        <v>867.68192130064813</v>
      </c>
      <c r="S181" s="59">
        <f ca="1">AVERAGE(OFFSET($R$3,0,0,'Données projet'!$E$9+1,1))-AVERAGE(OFFSET($H$3,0,0,'Données projet'!$E$9+1,1))</f>
        <v>752.45542076695506</v>
      </c>
      <c r="T181" s="59">
        <f t="shared" si="142"/>
        <v>329.70629768420724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125.23310397964948</v>
      </c>
      <c r="AA181" s="21">
        <f>EXP(-LN(2)/25)*AA180+(1-EXP(-LN(2)/25))/(LN(2)/25)*Calculateur!V181*Calculateur!X181*VLOOKUP('Données projet'!$B$9,Paramètres!$A$1:$I$89,3,0)*0.475*44/12</f>
        <v>25.650565940352308</v>
      </c>
      <c r="AB181" s="21">
        <f>EXP(-LN(2)/2)*AB180+(1-EXP(-LN(2)/2))/(LN(2)/2)*V181*Y181*VLOOKUP('Données projet'!$B$9,Paramètres!$A$1:$I$89,3,0)*0.475*44/12</f>
        <v>7.2222281071701104</v>
      </c>
      <c r="AC181" s="22">
        <f t="shared" si="163"/>
        <v>158.10589802717192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408.246209980743</v>
      </c>
      <c r="AO181" s="59">
        <f t="shared" si="144"/>
        <v>394.10236303013903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8.1957288943755806</v>
      </c>
      <c r="AV181" s="21">
        <f>EXP(-LN(2)/25)*AV180+(1-EXP(-LN(2)/25))/(LN(2)/25)*Calculateur!AQ181*Calculateur!AS181*VLOOKUP('Données projet'!$B$10,Paramètres!$A$1:$I$89,3,0)*0.475*44/12</f>
        <v>3.7230478849200708</v>
      </c>
      <c r="AW181" s="21">
        <f>EXP(-LN(2)/2)*AW180+(1-EXP(-LN(2)/2))/(LN(2)/2)*AQ181*AT181*VLOOKUP('Données projet'!$B$10,Paramètres!$A$1:$I$89,3,0)*0.475*44/12</f>
        <v>1.2175337818366504E-13</v>
      </c>
      <c r="AX181" s="21">
        <f t="shared" si="166"/>
        <v>11.918776779295774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3.76000000000001</v>
      </c>
      <c r="BD181" s="12">
        <f>IF('Données projet'!$A$88&gt;35,BD180+BC181-BL180,IF(A181&lt;'Données projet'!$A$88,$BA$205^A181,IF(A181='Données projet'!$A$88,'Données projet'!$B$88,BD180+BC181-BL180)))</f>
        <v>264.04000000000082</v>
      </c>
      <c r="BE181" s="13">
        <f>BD181*VLOOKUP('Données projet'!$B$11,Paramètres!$A$1:$I$89,3,0)*VLOOKUP('Données projet'!$B$11,Paramètres!$A$1:$I$89,5,0)</f>
        <v>251.26046400000078</v>
      </c>
      <c r="BF181" s="13">
        <f t="shared" si="167"/>
        <v>60.855771194207591</v>
      </c>
      <c r="BG181" s="20">
        <f t="shared" si="168"/>
        <v>543.60244296324618</v>
      </c>
      <c r="BH181" s="59">
        <f t="shared" si="116"/>
        <v>832.86774647472635</v>
      </c>
      <c r="BI181" s="59">
        <f ca="1">AVERAGE(OFFSET($BH$3,0,0,'Données projet'!$E$11+1,1))-AVERAGE(OFFSET($H$3,0,0,'Données projet'!$E$11+1,1))</f>
        <v>711.91538686535682</v>
      </c>
      <c r="BJ181" s="59">
        <f t="shared" si="146"/>
        <v>313.24593837351722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117.52645142705563</v>
      </c>
      <c r="BQ181" s="21">
        <f>EXP(-LN(2)/25)*BQ180+(1-EXP(-LN(2)/25))/(LN(2)/25)*Calculateur!BL181*Calculateur!BN181*VLOOKUP('Données projet'!$B$11,Paramètres!$A$1:$I$89,3,0)*0.475*44/12</f>
        <v>24.072069574792149</v>
      </c>
      <c r="BR181" s="21">
        <f>EXP(-LN(2)/2)*BR180+(1-EXP(-LN(2)/2))/(LN(2)/2)*BL181*BO181*VLOOKUP('Données projet'!$B$11,Paramètres!$A$1:$I$89,3,0)*0.475*44/12</f>
        <v>6.7777833005750256</v>
      </c>
      <c r="BS181" s="22">
        <f t="shared" si="169"/>
        <v>148.37630430242282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3.76000000000001</v>
      </c>
      <c r="BY181" s="12">
        <f>IF('Données projet'!$A$114&gt;35,BY180+BX181-CG180,IF(A181&lt;'Données projet'!$A$114,$BV$205^A181,IF(A181='Données projet'!$A$114,'Données projet'!$B$114,BY180+BX181-CG180)))</f>
        <v>264.04000000000082</v>
      </c>
      <c r="BZ181" s="13">
        <f>BY181*VLOOKUP('Données projet'!$B$12,Paramètres!$A$1:$I$89,3,0)*VLOOKUP('Données projet'!$B$12,Paramètres!$A$1:$I$89,5,0)</f>
        <v>238.90339200000074</v>
      </c>
      <c r="CA181" s="13">
        <f t="shared" si="170"/>
        <v>58.203527078995975</v>
      </c>
      <c r="CB181" s="20">
        <f t="shared" si="171"/>
        <v>517.46121739591933</v>
      </c>
      <c r="CC181" s="59">
        <f t="shared" si="119"/>
        <v>806.7265209073995</v>
      </c>
      <c r="CD181" s="59">
        <f ca="1">AVERAGE(OFFSET($CC$3,0,0,'Données projet'!$E$12+1,1))-AVERAGE(OFFSET($H$3,0,0,'Données projet'!$E$12+1,1))</f>
        <v>681.47578137804555</v>
      </c>
      <c r="CE181" s="59">
        <f t="shared" si="148"/>
        <v>300.88511065995885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111.74646201261029</v>
      </c>
      <c r="CL181" s="21">
        <f>EXP(-LN(2)/25)*CL180+(1-EXP(-LN(2)/25))/(LN(2)/25)*Calculateur!CG181*Calculateur!CI181*VLOOKUP('Données projet'!$B$12,Paramètres!$A$1:$I$89,3,0)*0.475*44/12</f>
        <v>22.88819730062205</v>
      </c>
      <c r="CM181" s="21">
        <f>EXP(-LN(2)/2)*CM180+(1-EXP(-LN(2)/2))/(LN(2)/2)*CG181*CJ181*VLOOKUP('Données projet'!$B$12,Paramètres!$A$1:$I$89,3,0)*0.475*44/12</f>
        <v>6.4444496956287116</v>
      </c>
      <c r="CN181" s="22">
        <f t="shared" si="172"/>
        <v>141.07910900886105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-8.5265128291212022E-14</v>
      </c>
      <c r="CU181" s="17">
        <f>CT181*VLOOKUP('Données projet'!$B$13,Paramètres!$A$1:$I$89,3,0)*VLOOKUP('Données projet'!$B$13,Paramètres!$A$1:$I$89,5,0)</f>
        <v>-6.9167072069831198E-14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186.54446846714993</v>
      </c>
      <c r="CZ181" s="59">
        <f t="shared" si="150"/>
        <v>154.43773051601286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</v>
      </c>
      <c r="DG181" s="21">
        <f>EXP(-LN(2)/25)*DG180+(1-EXP(-LN(2)/25))/(LN(2)/25)*Calculateur!DB181*Calculateur!DD181*VLOOKUP('Données projet'!$B$13,Paramètres!$A$1:$I$89,3,0)*0.475*44/12</f>
        <v>1.4103762166656117</v>
      </c>
      <c r="DH181" s="21">
        <f>EXP(-LN(2)/2)*DH180+(1-EXP(-LN(2)/2))/(LN(2)/2)*DB181*DE181*VLOOKUP('Données projet'!$B$13,Paramètres!$A$1:$I$89,3,0)*0.475*44/12</f>
        <v>1.4236472010924611E-12</v>
      </c>
      <c r="DI181" s="22">
        <f t="shared" si="175"/>
        <v>1.4103762166670355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8.1599999999999984</v>
      </c>
      <c r="DO181" s="12">
        <f>IF('Données projet'!$A$166&gt;35,DO180+DN181-DW180,IF(A181&lt;'Données projet'!$A$166,$DL$205^A181,IF(A181='Données projet'!$A$166,'Données projet'!$B$166,DO180+DN181-DW180)))</f>
        <v>497.04000000000025</v>
      </c>
      <c r="DP181" s="17">
        <f>DO181*VLOOKUP('Données projet'!$B$14,Paramètres!$A$1:$I$89,3,0)*VLOOKUP('Données projet'!$B$14,Paramètres!$A$1:$I$89,5,0)</f>
        <v>566.02915200000029</v>
      </c>
      <c r="DQ181" s="13">
        <f t="shared" si="176"/>
        <v>124.72698597016051</v>
      </c>
      <c r="DR181" s="20">
        <f t="shared" si="177"/>
        <v>1203.06694029803</v>
      </c>
      <c r="DS181" s="59">
        <f t="shared" si="125"/>
        <v>1492.3322438095101</v>
      </c>
      <c r="DT181" s="59">
        <f ca="1">AVERAGE(OFFSET($DS$3,0,0,'Données projet'!$E$14+1,1))-AVERAGE(OFFSET($H$3,0,0,'Données projet'!$E$14+1,1))</f>
        <v>651.35546372812314</v>
      </c>
      <c r="DU181" s="59">
        <f t="shared" si="152"/>
        <v>293.6561676213388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33.722261198787535</v>
      </c>
      <c r="EB181" s="21">
        <f>EXP(-LN(2)/25)*EB180+(1-EXP(-LN(2)/25))/(LN(2)/25)*Calculateur!DW181*Calculateur!DY181*VLOOKUP('Données projet'!$B$14,Paramètres!$A$1:$I$89,3,0)*0.475*44/12</f>
        <v>18.493088406629912</v>
      </c>
      <c r="EC181" s="21">
        <f>EXP(-LN(2)/2)*EC180+(1-EXP(-LN(2)/2))/(LN(2)/2)*DW181*DZ181*VLOOKUP('Données projet'!$B$14,Paramètres!$A$1:$I$89,3,0)*0.475*44/12</f>
        <v>6.9919060468300334E-2</v>
      </c>
      <c r="ED181" s="22">
        <f t="shared" si="178"/>
        <v>52.285268665885745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8.5265128291212022E-14</v>
      </c>
      <c r="EK181" s="17">
        <f>EJ181*VLOOKUP('Données projet'!$B$15,Paramètres!$A$1:$I$89,3,0)*VLOOKUP('Données projet'!$B$15,Paramètres!$A$1:$I$89,5,0)</f>
        <v>8.9119112089974823E-14</v>
      </c>
      <c r="EL181" s="13">
        <f t="shared" si="179"/>
        <v>1.3568952080113142E-12</v>
      </c>
      <c r="EM181" s="20">
        <f t="shared" si="180"/>
        <v>2.5184749408430782E-12</v>
      </c>
      <c r="EN181" s="59">
        <f t="shared" si="128"/>
        <v>289.26530351148267</v>
      </c>
      <c r="EO181" s="59">
        <f ca="1">AVERAGE(OFFSET($EN$3,0,0,'Données projet'!$E$15+1,1))-AVERAGE(OFFSET($H$3,0,0,'Données projet'!$E$15+1,1))</f>
        <v>290.69667785754848</v>
      </c>
      <c r="EP181" s="59">
        <f t="shared" si="154"/>
        <v>256.28124185489082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3.7978306621934133</v>
      </c>
      <c r="EW181" s="21">
        <f>EXP(-LN(2)/25)*EW180+(1-EXP(-LN(2)/25))/(LN(2)/25)*Calculateur!ER181*Calculateur!ET181*VLOOKUP('Données projet'!$B$15,Paramètres!$A$1:$I$89,3,0)*0.475*44/12</f>
        <v>5.2274402289452571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9.0252708911386712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3.76000000000001</v>
      </c>
      <c r="N182" s="13">
        <f>IF('Données projet'!$A$36&gt;35,N181+M182-V181,IF(A182&lt;'Données projet'!$A$36,$K$205^A182,IF(A182='Données projet'!$A$36,'Données projet'!$B$36,N181+M182-V181)))</f>
        <v>267.80000000000081</v>
      </c>
      <c r="O182" s="13">
        <f>N182*VLOOKUP('Données projet'!$B$9,Paramètres!$A$1:$I$89,3,0)*VLOOKUP('Données projet'!$B$9,Paramètres!$A$1:$I$89,5,0)</f>
        <v>271.54920000000084</v>
      </c>
      <c r="P182" s="13">
        <f t="shared" si="141"/>
        <v>65.177939068610073</v>
      </c>
      <c r="Q182" s="20">
        <f t="shared" si="162"/>
        <v>586.46643387783058</v>
      </c>
      <c r="R182" s="59">
        <f t="shared" si="109"/>
        <v>875.80230861196765</v>
      </c>
      <c r="S182" s="59">
        <f ca="1">AVERAGE(OFFSET($R$3,0,0,'Données projet'!$E$9+1,1))-AVERAGE(OFFSET($H$3,0,0,'Données projet'!$E$9+1,1))</f>
        <v>752.45542076695506</v>
      </c>
      <c r="T182" s="59">
        <f t="shared" si="142"/>
        <v>329.70629768420724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122.77735919525963</v>
      </c>
      <c r="AA182" s="21">
        <f>EXP(-LN(2)/25)*AA181+(1-EXP(-LN(2)/25))/(LN(2)/25)*Calculateur!V182*Calculateur!X182*VLOOKUP('Données projet'!$B$9,Paramètres!$A$1:$I$89,3,0)*0.475*44/12</f>
        <v>24.949149865808735</v>
      </c>
      <c r="AB182" s="21">
        <f>EXP(-LN(2)/2)*AB181+(1-EXP(-LN(2)/2))/(LN(2)/2)*V182*Y182*VLOOKUP('Données projet'!$B$9,Paramètres!$A$1:$I$89,3,0)*0.475*44/12</f>
        <v>5.106886469856069</v>
      </c>
      <c r="AC182" s="22">
        <f t="shared" si="163"/>
        <v>152.83339553092446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408.246209980743</v>
      </c>
      <c r="AO182" s="59">
        <f t="shared" si="144"/>
        <v>394.10236303013903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8.0350156496579004</v>
      </c>
      <c r="AV182" s="21">
        <f>EXP(-LN(2)/25)*AV181+(1-EXP(-LN(2)/25))/(LN(2)/25)*Calculateur!AQ182*Calculateur!AS182*VLOOKUP('Données projet'!$B$10,Paramètres!$A$1:$I$89,3,0)*0.475*44/12</f>
        <v>3.6212409447203524</v>
      </c>
      <c r="AW182" s="21">
        <f>EXP(-LN(2)/2)*AW181+(1-EXP(-LN(2)/2))/(LN(2)/2)*AQ182*AT182*VLOOKUP('Données projet'!$B$10,Paramètres!$A$1:$I$89,3,0)*0.475*44/12</f>
        <v>8.6092639346039807E-14</v>
      </c>
      <c r="AX182" s="21">
        <f t="shared" si="166"/>
        <v>11.656256594378338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3.76000000000001</v>
      </c>
      <c r="BD182" s="12">
        <f>IF('Données projet'!$A$88&gt;35,BD181+BC182-BL181,IF(A182&lt;'Données projet'!$A$88,$BA$205^A182,IF(A182='Données projet'!$A$88,'Données projet'!$B$88,BD181+BC182-BL181)))</f>
        <v>267.80000000000081</v>
      </c>
      <c r="BE182" s="13">
        <f>BD182*VLOOKUP('Données projet'!$B$11,Paramètres!$A$1:$I$89,3,0)*VLOOKUP('Données projet'!$B$11,Paramètres!$A$1:$I$89,5,0)</f>
        <v>254.83848000000077</v>
      </c>
      <c r="BF182" s="13">
        <f t="shared" si="167"/>
        <v>61.620869795145929</v>
      </c>
      <c r="BG182" s="20">
        <f t="shared" si="168"/>
        <v>551.16670089321383</v>
      </c>
      <c r="BH182" s="59">
        <f t="shared" si="116"/>
        <v>840.50257562735101</v>
      </c>
      <c r="BI182" s="59">
        <f ca="1">AVERAGE(OFFSET($BH$3,0,0,'Données projet'!$E$11+1,1))-AVERAGE(OFFSET($H$3,0,0,'Données projet'!$E$11+1,1))</f>
        <v>711.91538686535682</v>
      </c>
      <c r="BJ182" s="59">
        <f t="shared" si="146"/>
        <v>313.24593837351722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115.22182939862823</v>
      </c>
      <c r="BQ182" s="21">
        <f>EXP(-LN(2)/25)*BQ181+(1-EXP(-LN(2)/25))/(LN(2)/25)*Calculateur!BL182*Calculateur!BN182*VLOOKUP('Données projet'!$B$11,Paramètres!$A$1:$I$89,3,0)*0.475*44/12</f>
        <v>23.413817566374338</v>
      </c>
      <c r="BR182" s="21">
        <f>EXP(-LN(2)/2)*BR181+(1-EXP(-LN(2)/2))/(LN(2)/2)*BL182*BO182*VLOOKUP('Données projet'!$B$11,Paramètres!$A$1:$I$89,3,0)*0.475*44/12</f>
        <v>4.7926165332495412</v>
      </c>
      <c r="BS182" s="22">
        <f t="shared" si="169"/>
        <v>143.42826349825211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3.76000000000001</v>
      </c>
      <c r="BY182" s="12">
        <f>IF('Données projet'!$A$114&gt;35,BY181+BX182-CG181,IF(A182&lt;'Données projet'!$A$114,$BV$205^A182,IF(A182='Données projet'!$A$114,'Données projet'!$B$114,BY181+BX182-CG181)))</f>
        <v>267.80000000000081</v>
      </c>
      <c r="BZ182" s="13">
        <f>BY182*VLOOKUP('Données projet'!$B$12,Paramètres!$A$1:$I$89,3,0)*VLOOKUP('Données projet'!$B$12,Paramètres!$A$1:$I$89,5,0)</f>
        <v>242.30544000000074</v>
      </c>
      <c r="CA182" s="13">
        <f t="shared" si="170"/>
        <v>58.935280802002858</v>
      </c>
      <c r="CB182" s="20">
        <f t="shared" si="171"/>
        <v>524.66092206348958</v>
      </c>
      <c r="CC182" s="59">
        <f t="shared" si="119"/>
        <v>813.99679679762676</v>
      </c>
      <c r="CD182" s="59">
        <f ca="1">AVERAGE(OFFSET($CC$3,0,0,'Données projet'!$E$12+1,1))-AVERAGE(OFFSET($H$3,0,0,'Données projet'!$E$12+1,1))</f>
        <v>681.47578137804555</v>
      </c>
      <c r="CE182" s="59">
        <f t="shared" si="148"/>
        <v>300.88511065995885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109.55518205115473</v>
      </c>
      <c r="CL182" s="21">
        <f>EXP(-LN(2)/25)*CL181+(1-EXP(-LN(2)/25))/(LN(2)/25)*Calculateur!CG182*Calculateur!CI182*VLOOKUP('Données projet'!$B$12,Paramètres!$A$1:$I$89,3,0)*0.475*44/12</f>
        <v>22.262318341798554</v>
      </c>
      <c r="CM182" s="21">
        <f>EXP(-LN(2)/2)*CM181+(1-EXP(-LN(2)/2))/(LN(2)/2)*CG182*CJ182*VLOOKUP('Données projet'!$B$12,Paramètres!$A$1:$I$89,3,0)*0.475*44/12</f>
        <v>4.5569140807946447</v>
      </c>
      <c r="CN182" s="22">
        <f t="shared" si="172"/>
        <v>136.37441447374795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-8.5265128291212022E-14</v>
      </c>
      <c r="CU182" s="17">
        <f>CT182*VLOOKUP('Données projet'!$B$13,Paramètres!$A$1:$I$89,3,0)*VLOOKUP('Données projet'!$B$13,Paramètres!$A$1:$I$89,5,0)</f>
        <v>-6.9167072069831198E-14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186.54446846714993</v>
      </c>
      <c r="CZ182" s="59">
        <f t="shared" si="150"/>
        <v>154.43773051601286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</v>
      </c>
      <c r="DG182" s="21">
        <f>EXP(-LN(2)/25)*DG181+(1-EXP(-LN(2)/25))/(LN(2)/25)*Calculateur!DB182*Calculateur!DD182*VLOOKUP('Données projet'!$B$13,Paramètres!$A$1:$I$89,3,0)*0.475*44/12</f>
        <v>1.3718094048524287</v>
      </c>
      <c r="DH182" s="21">
        <f>EXP(-LN(2)/2)*DH181+(1-EXP(-LN(2)/2))/(LN(2)/2)*DB182*DE182*VLOOKUP('Données projet'!$B$13,Paramètres!$A$1:$I$89,3,0)*0.475*44/12</f>
        <v>1.0066705899097277E-12</v>
      </c>
      <c r="DI182" s="22">
        <f t="shared" si="175"/>
        <v>1.3718094048534355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>
        <f>VLOOKUP(A182,'Données projet'!$A$165:$I$185,2,0)</f>
        <v>505.2</v>
      </c>
      <c r="DM182" s="12">
        <f>VLOOKUP(A182,'Données projet'!$A$165:$I$185,9,0)</f>
        <v>8.1599999999999984</v>
      </c>
      <c r="DN182" s="12">
        <f t="array" ref="DN182">INDEX(DM:DM,MIN(IF(ISNUMBER(DM182:DM378),ROW(DM182:DM378),"")))</f>
        <v>8.1599999999999984</v>
      </c>
      <c r="DO182" s="12">
        <f>IF('Données projet'!$A$166&gt;35,DO181+DN182-DW181,IF(A182&lt;'Données projet'!$A$166,$DL$205^A182,IF(A182='Données projet'!$A$166,'Données projet'!$B$166,DO181+DN182-DW181)))</f>
        <v>505.20000000000027</v>
      </c>
      <c r="DP182" s="17">
        <f>DO182*VLOOKUP('Données projet'!$B$14,Paramètres!$A$1:$I$89,3,0)*VLOOKUP('Données projet'!$B$14,Paramètres!$A$1:$I$89,5,0)</f>
        <v>575.32176000000027</v>
      </c>
      <c r="DQ182" s="13">
        <f t="shared" si="176"/>
        <v>126.53458587825605</v>
      </c>
      <c r="DR182" s="20">
        <f t="shared" si="177"/>
        <v>1222.3998024046298</v>
      </c>
      <c r="DS182" s="59">
        <f t="shared" si="125"/>
        <v>1511.735677138767</v>
      </c>
      <c r="DT182" s="59">
        <f ca="1">AVERAGE(OFFSET($DS$3,0,0,'Données projet'!$E$14+1,1))-AVERAGE(OFFSET($H$3,0,0,'Données projet'!$E$14+1,1))</f>
        <v>651.35546372812314</v>
      </c>
      <c r="DU182" s="59">
        <f t="shared" si="152"/>
        <v>293.6561676213388</v>
      </c>
      <c r="DV182" s="15">
        <f>IF(ISNA(VLOOKUP(A182,'Données projet'!$A$165:$I$185,3,0)),0,VLOOKUP(A182,'Données projet'!$A$165:$I$185,3,0))</f>
        <v>13</v>
      </c>
      <c r="DW182" s="15">
        <f>IF(ISNA(VLOOKUP(A182,'Données projet'!$A$165:$I$185,4,0)),0,VLOOKUP(A182,'Données projet'!$A$165:$I$185,4,0))</f>
        <v>227.02999999999997</v>
      </c>
      <c r="DX182" s="16">
        <f>IF(ISNA(VLOOKUP(A182,'Données projet'!$A$165:$I$185,5,0)),0%,VLOOKUP(A182,'Données projet'!$A$165:$I$185,5,0)*VLOOKUP('Données projet'!$B$14,Paramètres!$A$1:$I$89,7,0))</f>
        <v>0.215</v>
      </c>
      <c r="DY182" s="16">
        <f>IF(ISNA(VLOOKUP(A182,'Données projet'!$A$165:$I$185,6,0)),0%,VLOOKUP(A182,'Données projet'!$A$165:$I$185,6,0)*VLOOKUP('Données projet'!$B$14,Paramètres!$A$1:$I$89,7,0))</f>
        <v>8.6000000000000007E-2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94.510194549680321</v>
      </c>
      <c r="EB182" s="21">
        <f>EXP(-LN(2)/25)*EB181+(1-EXP(-LN(2)/25))/(LN(2)/25)*Calculateur!DW182*Calculateur!DY182*VLOOKUP('Données projet'!$B$14,Paramètres!$A$1:$I$89,3,0)*0.475*44/12</f>
        <v>42.470296885709388</v>
      </c>
      <c r="EC182" s="21">
        <f>EXP(-LN(2)/2)*EC181+(1-EXP(-LN(2)/2))/(LN(2)/2)*DW182*DZ182*VLOOKUP('Données projet'!$B$14,Paramètres!$A$1:$I$89,3,0)*0.475*44/12</f>
        <v>4.944024179132743E-2</v>
      </c>
      <c r="ED182" s="22">
        <f t="shared" si="178"/>
        <v>137.02993167718103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8.5265128291212022E-14</v>
      </c>
      <c r="EK182" s="17">
        <f>EJ182*VLOOKUP('Données projet'!$B$15,Paramètres!$A$1:$I$89,3,0)*VLOOKUP('Données projet'!$B$15,Paramètres!$A$1:$I$89,5,0)</f>
        <v>8.9119112089974823E-14</v>
      </c>
      <c r="EL182" s="13">
        <f t="shared" si="179"/>
        <v>1.3568952080113142E-12</v>
      </c>
      <c r="EM182" s="20">
        <f t="shared" si="180"/>
        <v>2.5184749408430782E-12</v>
      </c>
      <c r="EN182" s="59">
        <f t="shared" si="128"/>
        <v>289.33587473413962</v>
      </c>
      <c r="EO182" s="59">
        <f ca="1">AVERAGE(OFFSET($EN$3,0,0,'Données projet'!$E$15+1,1))-AVERAGE(OFFSET($H$3,0,0,'Données projet'!$E$15+1,1))</f>
        <v>290.69667785754848</v>
      </c>
      <c r="EP182" s="59">
        <f t="shared" si="154"/>
        <v>256.28124185489082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3.723357519355774</v>
      </c>
      <c r="EW182" s="21">
        <f>EXP(-LN(2)/25)*EW181+(1-EXP(-LN(2)/25))/(LN(2)/25)*Calculateur!ER182*Calculateur!ET182*VLOOKUP('Données projet'!$B$15,Paramètres!$A$1:$I$89,3,0)*0.475*44/12</f>
        <v>5.0844956009856146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8.8078531203413881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>
        <f>VLOOKUP(A183,'Données projet'!$A$35:$I$55,2,0)</f>
        <v>271.56</v>
      </c>
      <c r="L183" s="12">
        <f>VLOOKUP(A183,'Données projet'!$A$35:$I$55,9,0)</f>
        <v>3.76000000000001</v>
      </c>
      <c r="M183" s="12">
        <f t="array" ref="M183">INDEX(L:L,MIN(IF(ISNUMBER(L183:L379),ROW(L183:L379),"")))</f>
        <v>3.76000000000001</v>
      </c>
      <c r="N183" s="13">
        <f>IF('Données projet'!$A$36&gt;35,N182+M183-V182,IF(A183&lt;'Données projet'!$A$36,$K$205^A183,IF(A183='Données projet'!$A$36,'Données projet'!$B$36,N182+M183-V182)))</f>
        <v>271.5600000000008</v>
      </c>
      <c r="O183" s="13">
        <f>N183*VLOOKUP('Données projet'!$B$9,Paramètres!$A$1:$I$89,3,0)*VLOOKUP('Données projet'!$B$9,Paramètres!$A$1:$I$89,5,0)</f>
        <v>275.36184000000083</v>
      </c>
      <c r="P183" s="13">
        <f t="shared" si="141"/>
        <v>65.985881501741488</v>
      </c>
      <c r="Q183" s="20">
        <f t="shared" si="162"/>
        <v>594.51394828220111</v>
      </c>
      <c r="R183" s="59">
        <f t="shared" si="109"/>
        <v>883.91916998605575</v>
      </c>
      <c r="S183" s="59">
        <f ca="1">AVERAGE(OFFSET($R$3,0,0,'Données projet'!$E$9+1,1))-AVERAGE(OFFSET($H$3,0,0,'Données projet'!$E$9+1,1))</f>
        <v>752.45542076695506</v>
      </c>
      <c r="T183" s="59">
        <f t="shared" si="142"/>
        <v>329.70629768420724</v>
      </c>
      <c r="U183" s="15">
        <f>IF(ISNA(VLOOKUP(A183,'Données projet'!$A$35:$I$55,3,0)),0,VLOOKUP(A183,'Données projet'!$A$35:$I$55,3,0))</f>
        <v>17</v>
      </c>
      <c r="V183" s="15">
        <f>IF(ISNA(VLOOKUP(A183,'Données projet'!$A$35:$I$55,4,0)),0,VLOOKUP(A183,'Données projet'!$A$35:$I$55,4,0))</f>
        <v>86.97</v>
      </c>
      <c r="W183" s="16">
        <f>IF(ISNA(VLOOKUP(A183,'Données projet'!$A$35:$I$55,5,0)),0%,VLOOKUP(A183,'Données projet'!$A$35:$I$55,5,0)*VLOOKUP('Données projet'!$B$9,Paramètres!$A$1:$I$89,7,0))</f>
        <v>0.19350000000000001</v>
      </c>
      <c r="X183" s="16">
        <f>IF(ISNA(VLOOKUP(A183,'Données projet'!$A$35:$I$55,6,0)),0%,VLOOKUP(A183,'Données projet'!$A$35:$I$55,6,0)*VLOOKUP('Données projet'!$B$9,Paramètres!$A$1:$I$89,7,0))</f>
        <v>2.1500000000000002E-2</v>
      </c>
      <c r="Y183" s="16">
        <f>IF(ISNA(VLOOKUP(A183,'Données projet'!$A$35:$I$55,7,0)),0%,VLOOKUP(A183,'Données projet'!$A$35:$I$55,7,0))</f>
        <v>0.05</v>
      </c>
      <c r="Z183" s="21">
        <f>EXP(-LN(2)/35)*Z182+(1-EXP(-LN(2)/35))/(LN(2)/35)*V183*W183*VLOOKUP('Données projet'!$B$9,Paramètres!$A$1:$I$89,3,0)*0.475*44/12</f>
        <v>139.23384465081122</v>
      </c>
      <c r="AA183" s="21">
        <f>EXP(-LN(2)/25)*AA182+(1-EXP(-LN(2)/25))/(LN(2)/25)*Calculateur!V183*Calculateur!X183*VLOOKUP('Données projet'!$B$9,Paramètres!$A$1:$I$89,3,0)*0.475*44/12</f>
        <v>26.35466955439481</v>
      </c>
      <c r="AB183" s="21">
        <f>EXP(-LN(2)/2)*AB182+(1-EXP(-LN(2)/2))/(LN(2)/2)*V183*Y183*VLOOKUP('Données projet'!$B$9,Paramètres!$A$1:$I$89,3,0)*0.475*44/12</f>
        <v>7.771481816780847</v>
      </c>
      <c r="AC183" s="22">
        <f t="shared" si="163"/>
        <v>173.35999602198686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408.246209980743</v>
      </c>
      <c r="AO183" s="59">
        <f t="shared" si="144"/>
        <v>394.10236303013903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7.8774538936437342</v>
      </c>
      <c r="AV183" s="21">
        <f>EXP(-LN(2)/25)*AV182+(1-EXP(-LN(2)/25))/(LN(2)/25)*Calculateur!AQ183*Calculateur!AS183*VLOOKUP('Données projet'!$B$10,Paramètres!$A$1:$I$89,3,0)*0.475*44/12</f>
        <v>3.5222179206541897</v>
      </c>
      <c r="AW183" s="21">
        <f>EXP(-LN(2)/2)*AW182+(1-EXP(-LN(2)/2))/(LN(2)/2)*AQ183*AT183*VLOOKUP('Données projet'!$B$10,Paramètres!$A$1:$I$89,3,0)*0.475*44/12</f>
        <v>6.087668909183252E-14</v>
      </c>
      <c r="AX183" s="21">
        <f t="shared" si="166"/>
        <v>11.399671814297985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>
        <f>VLOOKUP(A183,'Données projet'!$A$87:$I$107,2,0)</f>
        <v>271.56</v>
      </c>
      <c r="BB183" s="12">
        <f>VLOOKUP(A183,'Données projet'!$A$87:$I$107,9,0)</f>
        <v>3.76000000000001</v>
      </c>
      <c r="BC183" s="12">
        <f t="array" ref="BC183">INDEX(BB:BB,MIN(IF(ISNUMBER(BB183:BB379),ROW(BB183:BB379),"")))</f>
        <v>3.76000000000001</v>
      </c>
      <c r="BD183" s="12">
        <f>IF('Données projet'!$A$88&gt;35,BD182+BC183-BL182,IF(A183&lt;'Données projet'!$A$88,$BA$205^A183,IF(A183='Données projet'!$A$88,'Données projet'!$B$88,BD182+BC183-BL182)))</f>
        <v>271.5600000000008</v>
      </c>
      <c r="BE183" s="13">
        <f>BD183*VLOOKUP('Données projet'!$B$11,Paramètres!$A$1:$I$89,3,0)*VLOOKUP('Données projet'!$B$11,Paramètres!$A$1:$I$89,5,0)</f>
        <v>258.41649600000079</v>
      </c>
      <c r="BF183" s="13">
        <f t="shared" si="167"/>
        <v>62.384718977636233</v>
      </c>
      <c r="BG183" s="20">
        <f t="shared" si="168"/>
        <v>558.72878275271785</v>
      </c>
      <c r="BH183" s="59">
        <f t="shared" si="116"/>
        <v>848.13400445657248</v>
      </c>
      <c r="BI183" s="59">
        <f ca="1">AVERAGE(OFFSET($BH$3,0,0,'Données projet'!$E$11+1,1))-AVERAGE(OFFSET($H$3,0,0,'Données projet'!$E$11+1,1))</f>
        <v>711.91538686535682</v>
      </c>
      <c r="BJ183" s="59">
        <f t="shared" si="146"/>
        <v>313.24593837351722</v>
      </c>
      <c r="BK183" s="15">
        <f>IF(ISNA(VLOOKUP(A183,'Données projet'!$A$87:$I$107,3,0)),0,VLOOKUP(A183,'Données projet'!$A$87:$I$107,3,0))</f>
        <v>17</v>
      </c>
      <c r="BL183" s="15">
        <f>IF(ISNA(VLOOKUP(A183,'Données projet'!$A$87:$I$107,4,0)),0,VLOOKUP(A183,'Données projet'!$A$87:$I$107,4,0))</f>
        <v>86.97</v>
      </c>
      <c r="BM183" s="16">
        <f>IF(ISNA(VLOOKUP(A183,'Données projet'!$A$87:$I$107,5,0)),0%,VLOOKUP(A183,'Données projet'!$A$87:$I$107,5,0)*VLOOKUP('Données projet'!$B$11,Paramètres!$A$1:$I$89,7,0))</f>
        <v>0.19350000000000001</v>
      </c>
      <c r="BN183" s="16">
        <f>IF(ISNA(VLOOKUP(A183,'Données projet'!$A$87:$I$107,6,0)),0%,VLOOKUP(A183,'Données projet'!$A$87:$I$107,6,0)*VLOOKUP('Données projet'!$B$11,Paramètres!$A$1:$I$89,7,0))</f>
        <v>2.1500000000000002E-2</v>
      </c>
      <c r="BO183" s="16">
        <f>IF(ISNA(VLOOKUP(A183,'Données projet'!$A$87:$I$107,7,0)),0%,VLOOKUP(A183,'Données projet'!$A$87:$I$107,7,0))</f>
        <v>0.05</v>
      </c>
      <c r="BP183" s="21">
        <f>EXP(-LN(2)/35)*BP182+(1-EXP(-LN(2)/35))/(LN(2)/35)*BL183*BM183*VLOOKUP('Données projet'!$B$11,Paramètres!$A$1:$I$89,3,0)*0.475*44/12</f>
        <v>130.66560805691512</v>
      </c>
      <c r="BQ183" s="21">
        <f>EXP(-LN(2)/25)*BQ182+(1-EXP(-LN(2)/25))/(LN(2)/25)*Calculateur!BL183*Calculateur!BN183*VLOOKUP('Données projet'!$B$11,Paramètres!$A$1:$I$89,3,0)*0.475*44/12</f>
        <v>24.732843735662808</v>
      </c>
      <c r="BR183" s="21">
        <f>EXP(-LN(2)/2)*BR182+(1-EXP(-LN(2)/2))/(LN(2)/2)*BL183*BO183*VLOOKUP('Données projet'!$B$11,Paramètres!$A$1:$I$89,3,0)*0.475*44/12</f>
        <v>7.2932367819020261</v>
      </c>
      <c r="BS183" s="22">
        <f t="shared" si="169"/>
        <v>162.69168857447997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>
        <f>VLOOKUP(A183,'Données projet'!$A$113:$I$133,2,0)</f>
        <v>271.56</v>
      </c>
      <c r="BW183" s="12">
        <f>VLOOKUP(A183,'Données projet'!$A$113:$I$133,9,0)</f>
        <v>3.76000000000001</v>
      </c>
      <c r="BX183" s="12">
        <f t="array" ref="BX183">INDEX(BW:BW,MIN(IF(ISNUMBER(BW183:BW379),ROW(BW183:BW379),"")))</f>
        <v>3.76000000000001</v>
      </c>
      <c r="BY183" s="12">
        <f>IF('Données projet'!$A$114&gt;35,BY182+BX183-CG182,IF(A183&lt;'Données projet'!$A$114,$BV$205^A183,IF(A183='Données projet'!$A$114,'Données projet'!$B$114,BY182+BX183-CG182)))</f>
        <v>271.5600000000008</v>
      </c>
      <c r="BZ183" s="13">
        <f>BY183*VLOOKUP('Données projet'!$B$12,Paramètres!$A$1:$I$89,3,0)*VLOOKUP('Données projet'!$B$12,Paramètres!$A$1:$I$89,5,0)</f>
        <v>245.70748800000069</v>
      </c>
      <c r="CA183" s="13">
        <f t="shared" si="170"/>
        <v>59.665839559289225</v>
      </c>
      <c r="CB183" s="20">
        <f t="shared" si="171"/>
        <v>531.85854549909652</v>
      </c>
      <c r="CC183" s="59">
        <f t="shared" si="119"/>
        <v>821.26376720295116</v>
      </c>
      <c r="CD183" s="59">
        <f ca="1">AVERAGE(OFFSET($CC$3,0,0,'Données projet'!$E$12+1,1))-AVERAGE(OFFSET($H$3,0,0,'Données projet'!$E$12+1,1))</f>
        <v>681.47578137804555</v>
      </c>
      <c r="CE183" s="59">
        <f t="shared" si="148"/>
        <v>300.88511065995885</v>
      </c>
      <c r="CF183" s="15">
        <f>IF(ISNA(VLOOKUP(A183,'Données projet'!$A$113:$I$133,3,0)),0,VLOOKUP(A183,'Données projet'!$A$113:$I$133,3,0))</f>
        <v>17</v>
      </c>
      <c r="CG183" s="15">
        <f>IF(ISNA(VLOOKUP(A183,'Données projet'!$A$113:$I$133,4,0)),0,VLOOKUP(A183,'Données projet'!$A$113:$I$133,4,0))</f>
        <v>86.97</v>
      </c>
      <c r="CH183" s="16">
        <f>IF(ISNA(VLOOKUP(A183,'Données projet'!$A$113:$I$133,5,0)),0%,VLOOKUP(A183,'Données projet'!$A$113:$I$133,5,0)*VLOOKUP('Données projet'!$B$12,Paramètres!$A$1:$I$89,7,0))</f>
        <v>0.19350000000000001</v>
      </c>
      <c r="CI183" s="16">
        <f>IF(ISNA(VLOOKUP(A183,'Données projet'!$A$113:$I$133,6,0)),0%,VLOOKUP(A183,'Données projet'!$A$113:$I$133,6,0)*VLOOKUP('Données projet'!$B$12,Paramètres!$A$1:$I$89,7,0))</f>
        <v>2.1500000000000002E-2</v>
      </c>
      <c r="CJ183" s="16">
        <f>IF(ISNA(VLOOKUP(A183,'Données projet'!$A$113:$I$133,7,0)),0%,VLOOKUP(A183,'Données projet'!$A$113:$I$133,7,0))</f>
        <v>0.05</v>
      </c>
      <c r="CK183" s="21">
        <f>EXP(-LN(2)/35)*CK182+(1-EXP(-LN(2)/35))/(LN(2)/35)*CG183*CH183*VLOOKUP('Données projet'!$B$12,Paramètres!$A$1:$I$89,3,0)*0.475*44/12</f>
        <v>124.23943061149308</v>
      </c>
      <c r="CL183" s="21">
        <f>EXP(-LN(2)/25)*CL182+(1-EXP(-LN(2)/25))/(LN(2)/25)*Calculateur!CG183*Calculateur!CI183*VLOOKUP('Données projet'!$B$12,Paramètres!$A$1:$I$89,3,0)*0.475*44/12</f>
        <v>23.516474371613818</v>
      </c>
      <c r="CM183" s="21">
        <f>EXP(-LN(2)/2)*CM182+(1-EXP(-LN(2)/2))/(LN(2)/2)*CG183*CJ183*VLOOKUP('Données projet'!$B$12,Paramètres!$A$1:$I$89,3,0)*0.475*44/12</f>
        <v>6.9345530057429094</v>
      </c>
      <c r="CN183" s="22">
        <f t="shared" si="172"/>
        <v>154.6904579888498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-8.5265128291212022E-14</v>
      </c>
      <c r="CU183" s="17">
        <f>CT183*VLOOKUP('Données projet'!$B$13,Paramètres!$A$1:$I$89,3,0)*VLOOKUP('Données projet'!$B$13,Paramètres!$A$1:$I$89,5,0)</f>
        <v>-6.9167072069831198E-14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186.54446846714993</v>
      </c>
      <c r="CZ183" s="59">
        <f t="shared" si="150"/>
        <v>154.43773051601286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</v>
      </c>
      <c r="DG183" s="21">
        <f>EXP(-LN(2)/25)*DG182+(1-EXP(-LN(2)/25))/(LN(2)/25)*Calculateur!DB183*Calculateur!DD183*VLOOKUP('Données projet'!$B$13,Paramètres!$A$1:$I$89,3,0)*0.475*44/12</f>
        <v>1.3342972045364179</v>
      </c>
      <c r="DH183" s="21">
        <f>EXP(-LN(2)/2)*DH182+(1-EXP(-LN(2)/2))/(LN(2)/2)*DB183*DE183*VLOOKUP('Données projet'!$B$13,Paramètres!$A$1:$I$89,3,0)*0.475*44/12</f>
        <v>7.1182360054623056E-13</v>
      </c>
      <c r="DI183" s="22">
        <f t="shared" si="175"/>
        <v>1.3342972045371297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5.3133333333333326</v>
      </c>
      <c r="DO183" s="12">
        <f>IF('Données projet'!$A$166&gt;35,DO182+DN183-DW182,IF(A183&lt;'Données projet'!$A$166,$DL$205^A183,IF(A183='Données projet'!$A$166,'Données projet'!$B$166,DO182+DN183-DW182)))</f>
        <v>283.48333333333363</v>
      </c>
      <c r="DP183" s="17">
        <f>DO183*VLOOKUP('Données projet'!$B$14,Paramètres!$A$1:$I$89,3,0)*VLOOKUP('Données projet'!$B$14,Paramètres!$A$1:$I$89,5,0)</f>
        <v>322.83082000000036</v>
      </c>
      <c r="DQ183" s="13">
        <f t="shared" si="176"/>
        <v>75.942058557213841</v>
      </c>
      <c r="DR183" s="20">
        <f t="shared" si="177"/>
        <v>694.5294301538147</v>
      </c>
      <c r="DS183" s="59">
        <f t="shared" si="125"/>
        <v>983.93465185766934</v>
      </c>
      <c r="DT183" s="59">
        <f ca="1">AVERAGE(OFFSET($DS$3,0,0,'Données projet'!$E$14+1,1))-AVERAGE(OFFSET($H$3,0,0,'Données projet'!$E$14+1,1))</f>
        <v>651.35546372812314</v>
      </c>
      <c r="DU183" s="59">
        <f t="shared" si="152"/>
        <v>293.6561676213388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92.656907280087736</v>
      </c>
      <c r="EB183" s="21">
        <f>EXP(-LN(2)/25)*EB182+(1-EXP(-LN(2)/25))/(LN(2)/25)*Calculateur!DW183*Calculateur!DY183*VLOOKUP('Données projet'!$B$14,Paramètres!$A$1:$I$89,3,0)*0.475*44/12</f>
        <v>41.308944383953822</v>
      </c>
      <c r="EC183" s="21">
        <f>EXP(-LN(2)/2)*EC182+(1-EXP(-LN(2)/2))/(LN(2)/2)*DW183*DZ183*VLOOKUP('Données projet'!$B$14,Paramètres!$A$1:$I$89,3,0)*0.475*44/12</f>
        <v>3.4959530234150167E-2</v>
      </c>
      <c r="ED183" s="22">
        <f t="shared" si="178"/>
        <v>134.00081119427571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8.5265128291212022E-14</v>
      </c>
      <c r="EK183" s="17">
        <f>EJ183*VLOOKUP('Données projet'!$B$15,Paramètres!$A$1:$I$89,3,0)*VLOOKUP('Données projet'!$B$15,Paramètres!$A$1:$I$89,5,0)</f>
        <v>8.9119112089974823E-14</v>
      </c>
      <c r="EL183" s="13">
        <f t="shared" si="179"/>
        <v>1.3568952080113142E-12</v>
      </c>
      <c r="EM183" s="20">
        <f t="shared" si="180"/>
        <v>2.5184749408430782E-12</v>
      </c>
      <c r="EN183" s="59">
        <f t="shared" si="128"/>
        <v>289.40522170385714</v>
      </c>
      <c r="EO183" s="59">
        <f ca="1">AVERAGE(OFFSET($EN$3,0,0,'Données projet'!$E$15+1,1))-AVERAGE(OFFSET($H$3,0,0,'Données projet'!$E$15+1,1))</f>
        <v>290.69667785754848</v>
      </c>
      <c r="EP183" s="59">
        <f t="shared" si="154"/>
        <v>256.28124185489082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3.6503447494250492</v>
      </c>
      <c r="EW183" s="21">
        <f>EXP(-LN(2)/25)*EW182+(1-EXP(-LN(2)/25))/(LN(2)/25)*Calculateur!ER183*Calculateur!ET183*VLOOKUP('Données projet'!$B$15,Paramètres!$A$1:$I$89,3,0)*0.475*44/12</f>
        <v>4.9454598013946605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8.5958045508197092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2.2933333333333317</v>
      </c>
      <c r="N184" s="13">
        <f>IF('Données projet'!$A$36&gt;35,N183+M184-V183,IF(A184&lt;'Données projet'!$A$36,$K$205^A184,IF(A184='Données projet'!$A$36,'Données projet'!$B$36,N183+M184-V183)))</f>
        <v>186.88333333333415</v>
      </c>
      <c r="O184" s="13">
        <f>N184*VLOOKUP('Données projet'!$B$9,Paramètres!$A$1:$I$89,3,0)*VLOOKUP('Données projet'!$B$9,Paramètres!$A$1:$I$89,5,0)</f>
        <v>189.49970000000084</v>
      </c>
      <c r="P184" s="13">
        <f t="shared" si="141"/>
        <v>47.42932665712091</v>
      </c>
      <c r="Q184" s="20">
        <f t="shared" si="162"/>
        <v>412.651388094487</v>
      </c>
      <c r="R184" s="59">
        <f t="shared" si="109"/>
        <v>702.12475375317103</v>
      </c>
      <c r="S184" s="59">
        <f ca="1">AVERAGE(OFFSET($R$3,0,0,'Données projet'!$E$9+1,1))-AVERAGE(OFFSET($H$3,0,0,'Données projet'!$E$9+1,1))</f>
        <v>752.45542076695506</v>
      </c>
      <c r="T184" s="59">
        <f t="shared" si="142"/>
        <v>329.70629768420724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136.50355388146846</v>
      </c>
      <c r="AA184" s="21">
        <f>EXP(-LN(2)/25)*AA183+(1-EXP(-LN(2)/25))/(LN(2)/25)*Calculateur!V184*Calculateur!X184*VLOOKUP('Données projet'!$B$9,Paramètres!$A$1:$I$89,3,0)*0.475*44/12</f>
        <v>25.633999729498047</v>
      </c>
      <c r="AB184" s="21">
        <f>EXP(-LN(2)/2)*AB183+(1-EXP(-LN(2)/2))/(LN(2)/2)*V184*Y184*VLOOKUP('Données projet'!$B$9,Paramètres!$A$1:$I$89,3,0)*0.475*44/12</f>
        <v>5.4952674925136877</v>
      </c>
      <c r="AC184" s="22">
        <f t="shared" si="163"/>
        <v>167.63282110348018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408.246209980743</v>
      </c>
      <c r="AO184" s="59">
        <f t="shared" si="144"/>
        <v>394.10236303013903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7.7229818275618234</v>
      </c>
      <c r="AV184" s="21">
        <f>EXP(-LN(2)/25)*AV183+(1-EXP(-LN(2)/25))/(LN(2)/25)*Calculateur!AQ184*Calculateur!AS184*VLOOKUP('Données projet'!$B$10,Paramètres!$A$1:$I$89,3,0)*0.475*44/12</f>
        <v>3.4259026863885107</v>
      </c>
      <c r="AW184" s="21">
        <f>EXP(-LN(2)/2)*AW183+(1-EXP(-LN(2)/2))/(LN(2)/2)*AQ184*AT184*VLOOKUP('Données projet'!$B$10,Paramètres!$A$1:$I$89,3,0)*0.475*44/12</f>
        <v>4.3046319673019903E-14</v>
      </c>
      <c r="AX184" s="21">
        <f t="shared" si="166"/>
        <v>11.148884513950376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2.2933333333333317</v>
      </c>
      <c r="BD184" s="12">
        <f>IF('Données projet'!$A$88&gt;35,BD183+BC184-BL183,IF(A184&lt;'Données projet'!$A$88,$BA$205^A184,IF(A184='Données projet'!$A$88,'Données projet'!$B$88,BD183+BC184-BL183)))</f>
        <v>186.88333333333415</v>
      </c>
      <c r="BE184" s="13">
        <f>BD184*VLOOKUP('Données projet'!$B$11,Paramètres!$A$1:$I$89,3,0)*VLOOKUP('Données projet'!$B$11,Paramètres!$A$1:$I$89,5,0)</f>
        <v>177.83818000000079</v>
      </c>
      <c r="BF184" s="13">
        <f t="shared" si="167"/>
        <v>44.840883344491083</v>
      </c>
      <c r="BG184" s="20">
        <f t="shared" si="168"/>
        <v>387.83270199165668</v>
      </c>
      <c r="BH184" s="59">
        <f t="shared" si="116"/>
        <v>677.30606765034076</v>
      </c>
      <c r="BI184" s="59">
        <f ca="1">AVERAGE(OFFSET($BH$3,0,0,'Données projet'!$E$11+1,1))-AVERAGE(OFFSET($H$3,0,0,'Données projet'!$E$11+1,1))</f>
        <v>711.91538686535682</v>
      </c>
      <c r="BJ184" s="59">
        <f t="shared" si="146"/>
        <v>313.24593837351722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128.10333518107038</v>
      </c>
      <c r="BQ184" s="21">
        <f>EXP(-LN(2)/25)*BQ183+(1-EXP(-LN(2)/25))/(LN(2)/25)*Calculateur!BL184*Calculateur!BN184*VLOOKUP('Données projet'!$B$11,Paramètres!$A$1:$I$89,3,0)*0.475*44/12</f>
        <v>24.056522823067382</v>
      </c>
      <c r="BR184" s="21">
        <f>EXP(-LN(2)/2)*BR183+(1-EXP(-LN(2)/2))/(LN(2)/2)*BL184*BO184*VLOOKUP('Données projet'!$B$11,Paramètres!$A$1:$I$89,3,0)*0.475*44/12</f>
        <v>5.1570971852820762</v>
      </c>
      <c r="BS184" s="22">
        <f t="shared" si="169"/>
        <v>157.31695518941984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2.2933333333333317</v>
      </c>
      <c r="BY184" s="12">
        <f>IF('Données projet'!$A$114&gt;35,BY183+BX184-CG183,IF(A184&lt;'Données projet'!$A$114,$BV$205^A184,IF(A184='Données projet'!$A$114,'Données projet'!$B$114,BY183+BX184-CG183)))</f>
        <v>186.88333333333415</v>
      </c>
      <c r="BZ184" s="13">
        <f>BY184*VLOOKUP('Données projet'!$B$12,Paramètres!$A$1:$I$89,3,0)*VLOOKUP('Données projet'!$B$12,Paramètres!$A$1:$I$89,5,0)</f>
        <v>169.09204000000074</v>
      </c>
      <c r="CA184" s="13">
        <f t="shared" si="170"/>
        <v>42.886607412438856</v>
      </c>
      <c r="CB184" s="20">
        <f t="shared" si="171"/>
        <v>369.1961442433323</v>
      </c>
      <c r="CC184" s="59">
        <f t="shared" si="119"/>
        <v>658.66950990201644</v>
      </c>
      <c r="CD184" s="59">
        <f ca="1">AVERAGE(OFFSET($CC$3,0,0,'Données projet'!$E$12+1,1))-AVERAGE(OFFSET($H$3,0,0,'Données projet'!$E$12+1,1))</f>
        <v>681.47578137804555</v>
      </c>
      <c r="CE184" s="59">
        <f t="shared" si="148"/>
        <v>300.88511065995885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121.80317115577186</v>
      </c>
      <c r="CL184" s="21">
        <f>EXP(-LN(2)/25)*CL183+(1-EXP(-LN(2)/25))/(LN(2)/25)*Calculateur!CG184*Calculateur!CI184*VLOOKUP('Données projet'!$B$12,Paramètres!$A$1:$I$89,3,0)*0.475*44/12</f>
        <v>22.873415143244397</v>
      </c>
      <c r="CM184" s="21">
        <f>EXP(-LN(2)/2)*CM183+(1-EXP(-LN(2)/2))/(LN(2)/2)*CG184*CJ184*VLOOKUP('Données projet'!$B$12,Paramètres!$A$1:$I$89,3,0)*0.475*44/12</f>
        <v>4.9034694548583673</v>
      </c>
      <c r="CN184" s="22">
        <f t="shared" si="172"/>
        <v>149.58005575387463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-8.5265128291212022E-14</v>
      </c>
      <c r="CU184" s="17">
        <f>CT184*VLOOKUP('Données projet'!$B$13,Paramètres!$A$1:$I$89,3,0)*VLOOKUP('Données projet'!$B$13,Paramètres!$A$1:$I$89,5,0)</f>
        <v>-6.9167072069831198E-14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186.54446846714993</v>
      </c>
      <c r="CZ184" s="59">
        <f t="shared" si="150"/>
        <v>154.43773051601286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</v>
      </c>
      <c r="DG184" s="21">
        <f>EXP(-LN(2)/25)*DG183+(1-EXP(-LN(2)/25))/(LN(2)/25)*Calculateur!DB184*Calculateur!DD184*VLOOKUP('Données projet'!$B$13,Paramètres!$A$1:$I$89,3,0)*0.475*44/12</f>
        <v>1.297810777310729</v>
      </c>
      <c r="DH184" s="21">
        <f>EXP(-LN(2)/2)*DH183+(1-EXP(-LN(2)/2))/(LN(2)/2)*DB184*DE184*VLOOKUP('Données projet'!$B$13,Paramètres!$A$1:$I$89,3,0)*0.475*44/12</f>
        <v>5.0333529495486385E-13</v>
      </c>
      <c r="DI184" s="22">
        <f t="shared" si="175"/>
        <v>1.2978107773112324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5.3133333333333326</v>
      </c>
      <c r="DO184" s="12">
        <f>IF('Données projet'!$A$166&gt;35,DO183+DN184-DW183,IF(A184&lt;'Données projet'!$A$166,$DL$205^A184,IF(A184='Données projet'!$A$166,'Données projet'!$B$166,DO183+DN184-DW183)))</f>
        <v>288.79666666666697</v>
      </c>
      <c r="DP184" s="17">
        <f>DO184*VLOOKUP('Données projet'!$B$14,Paramètres!$A$1:$I$89,3,0)*VLOOKUP('Données projet'!$B$14,Paramètres!$A$1:$I$89,5,0)</f>
        <v>328.88164400000034</v>
      </c>
      <c r="DQ184" s="13">
        <f t="shared" si="176"/>
        <v>77.198397650012737</v>
      </c>
      <c r="DR184" s="20">
        <f t="shared" si="177"/>
        <v>707.25607254043928</v>
      </c>
      <c r="DS184" s="59">
        <f t="shared" si="125"/>
        <v>996.72943819912336</v>
      </c>
      <c r="DT184" s="59">
        <f ca="1">AVERAGE(OFFSET($DS$3,0,0,'Données projet'!$E$14+1,1))-AVERAGE(OFFSET($H$3,0,0,'Données projet'!$E$14+1,1))</f>
        <v>651.35546372812314</v>
      </c>
      <c r="DU184" s="59">
        <f t="shared" si="152"/>
        <v>293.6561676213388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90.839961843458255</v>
      </c>
      <c r="EB184" s="21">
        <f>EXP(-LN(2)/25)*EB183+(1-EXP(-LN(2)/25))/(LN(2)/25)*Calculateur!DW184*Calculateur!DY184*VLOOKUP('Données projet'!$B$14,Paramètres!$A$1:$I$89,3,0)*0.475*44/12</f>
        <v>40.179349127431635</v>
      </c>
      <c r="EC184" s="21">
        <f>EXP(-LN(2)/2)*EC183+(1-EXP(-LN(2)/2))/(LN(2)/2)*DW184*DZ184*VLOOKUP('Données projet'!$B$14,Paramètres!$A$1:$I$89,3,0)*0.475*44/12</f>
        <v>2.4720120895663715E-2</v>
      </c>
      <c r="ED184" s="22">
        <f t="shared" si="178"/>
        <v>131.04403109178554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8.5265128291212022E-14</v>
      </c>
      <c r="EK184" s="17">
        <f>EJ184*VLOOKUP('Données projet'!$B$15,Paramètres!$A$1:$I$89,3,0)*VLOOKUP('Données projet'!$B$15,Paramètres!$A$1:$I$89,5,0)</f>
        <v>8.9119112089974823E-14</v>
      </c>
      <c r="EL184" s="13">
        <f t="shared" si="179"/>
        <v>1.3568952080113142E-12</v>
      </c>
      <c r="EM184" s="20">
        <f t="shared" si="180"/>
        <v>2.5184749408430782E-12</v>
      </c>
      <c r="EN184" s="59">
        <f t="shared" si="128"/>
        <v>289.47336565868659</v>
      </c>
      <c r="EO184" s="59">
        <f ca="1">AVERAGE(OFFSET($EN$3,0,0,'Données projet'!$E$15+1,1))-AVERAGE(OFFSET($H$3,0,0,'Données projet'!$E$15+1,1))</f>
        <v>290.69667785754848</v>
      </c>
      <c r="EP184" s="59">
        <f t="shared" si="154"/>
        <v>256.28124185489082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3.5787637153792735</v>
      </c>
      <c r="EW184" s="21">
        <f>EXP(-LN(2)/25)*EW183+(1-EXP(-LN(2)/25))/(LN(2)/25)*Calculateur!ER184*Calculateur!ET184*VLOOKUP('Données projet'!$B$15,Paramètres!$A$1:$I$89,3,0)*0.475*44/12</f>
        <v>4.8102259430550953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8.3889896584343688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2.2933333333333317</v>
      </c>
      <c r="N185" s="13">
        <f>IF('Données projet'!$A$36&gt;35,N184+M185-V184,IF(A185&lt;'Données projet'!$A$36,$K$205^A185,IF(A185='Données projet'!$A$36,'Données projet'!$B$36,N184+M185-V184)))</f>
        <v>189.17666666666747</v>
      </c>
      <c r="O185" s="13">
        <f>N185*VLOOKUP('Données projet'!$B$9,Paramètres!$A$1:$I$89,3,0)*VLOOKUP('Données projet'!$B$9,Paramètres!$A$1:$I$89,5,0)</f>
        <v>191.82514000000083</v>
      </c>
      <c r="P185" s="13">
        <f t="shared" si="141"/>
        <v>47.943240602417134</v>
      </c>
      <c r="Q185" s="20">
        <f t="shared" si="162"/>
        <v>417.59659621587792</v>
      </c>
      <c r="R185" s="59">
        <f t="shared" si="109"/>
        <v>707.13692368412239</v>
      </c>
      <c r="S185" s="59">
        <f ca="1">AVERAGE(OFFSET($R$3,0,0,'Données projet'!$E$9+1,1))-AVERAGE(OFFSET($H$3,0,0,'Données projet'!$E$9+1,1))</f>
        <v>752.45542076695506</v>
      </c>
      <c r="T185" s="59">
        <f t="shared" si="142"/>
        <v>329.70629768420724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133.82680244879958</v>
      </c>
      <c r="AA185" s="21">
        <f>EXP(-LN(2)/25)*AA184+(1-EXP(-LN(2)/25))/(LN(2)/25)*Calculateur!V185*Calculateur!X185*VLOOKUP('Données projet'!$B$9,Paramètres!$A$1:$I$89,3,0)*0.475*44/12</f>
        <v>24.933036658861464</v>
      </c>
      <c r="AB185" s="21">
        <f>EXP(-LN(2)/2)*AB184+(1-EXP(-LN(2)/2))/(LN(2)/2)*V185*Y185*VLOOKUP('Données projet'!$B$9,Paramètres!$A$1:$I$89,3,0)*0.475*44/12</f>
        <v>3.885740908390424</v>
      </c>
      <c r="AC185" s="22">
        <f t="shared" si="163"/>
        <v>162.64558001605147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408.246209980743</v>
      </c>
      <c r="AO185" s="59">
        <f t="shared" si="144"/>
        <v>394.10236303013903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7.5715388644771222</v>
      </c>
      <c r="AV185" s="21">
        <f>EXP(-LN(2)/25)*AV184+(1-EXP(-LN(2)/25))/(LN(2)/25)*Calculateur!AQ185*Calculateur!AS185*VLOOKUP('Données projet'!$B$10,Paramètres!$A$1:$I$89,3,0)*0.475*44/12</f>
        <v>3.3322211972688245</v>
      </c>
      <c r="AW185" s="21">
        <f>EXP(-LN(2)/2)*AW184+(1-EXP(-LN(2)/2))/(LN(2)/2)*AQ185*AT185*VLOOKUP('Données projet'!$B$10,Paramètres!$A$1:$I$89,3,0)*0.475*44/12</f>
        <v>3.043834454591626E-14</v>
      </c>
      <c r="AX185" s="21">
        <f t="shared" si="166"/>
        <v>10.903760061745977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2.2933333333333317</v>
      </c>
      <c r="BD185" s="12">
        <f>IF('Données projet'!$A$88&gt;35,BD184+BC185-BL184,IF(A185&lt;'Données projet'!$A$88,$BA$205^A185,IF(A185='Données projet'!$A$88,'Données projet'!$B$88,BD184+BC185-BL184)))</f>
        <v>189.17666666666747</v>
      </c>
      <c r="BE185" s="13">
        <f>BD185*VLOOKUP('Données projet'!$B$11,Paramètres!$A$1:$I$89,3,0)*VLOOKUP('Données projet'!$B$11,Paramètres!$A$1:$I$89,5,0)</f>
        <v>180.02051600000075</v>
      </c>
      <c r="BF185" s="13">
        <f t="shared" si="167"/>
        <v>45.326750568302394</v>
      </c>
      <c r="BG185" s="20">
        <f t="shared" si="168"/>
        <v>392.47982260646131</v>
      </c>
      <c r="BH185" s="59">
        <f t="shared" si="116"/>
        <v>682.02015007470573</v>
      </c>
      <c r="BI185" s="59">
        <f ca="1">AVERAGE(OFFSET($BH$3,0,0,'Données projet'!$E$11+1,1))-AVERAGE(OFFSET($H$3,0,0,'Données projet'!$E$11+1,1))</f>
        <v>711.91538686535682</v>
      </c>
      <c r="BJ185" s="59">
        <f t="shared" si="146"/>
        <v>313.24593837351722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125.59130691348882</v>
      </c>
      <c r="BQ185" s="21">
        <f>EXP(-LN(2)/25)*BQ184+(1-EXP(-LN(2)/25))/(LN(2)/25)*Calculateur!BL185*Calculateur!BN185*VLOOKUP('Données projet'!$B$11,Paramètres!$A$1:$I$89,3,0)*0.475*44/12</f>
        <v>23.398695941393051</v>
      </c>
      <c r="BR185" s="21">
        <f>EXP(-LN(2)/2)*BR184+(1-EXP(-LN(2)/2))/(LN(2)/2)*BL185*BO185*VLOOKUP('Données projet'!$B$11,Paramètres!$A$1:$I$89,3,0)*0.475*44/12</f>
        <v>3.6466183909510135</v>
      </c>
      <c r="BS185" s="22">
        <f t="shared" si="169"/>
        <v>152.63662124583288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2.2933333333333317</v>
      </c>
      <c r="BY185" s="12">
        <f>IF('Données projet'!$A$114&gt;35,BY184+BX185-CG184,IF(A185&lt;'Données projet'!$A$114,$BV$205^A185,IF(A185='Données projet'!$A$114,'Données projet'!$B$114,BY184+BX185-CG184)))</f>
        <v>189.17666666666747</v>
      </c>
      <c r="BZ185" s="13">
        <f>BY185*VLOOKUP('Données projet'!$B$12,Paramètres!$A$1:$I$89,3,0)*VLOOKUP('Données projet'!$B$12,Paramètres!$A$1:$I$89,5,0)</f>
        <v>171.16704800000073</v>
      </c>
      <c r="CA185" s="13">
        <f t="shared" si="170"/>
        <v>43.351299348190551</v>
      </c>
      <c r="CB185" s="20">
        <f t="shared" si="171"/>
        <v>373.61945496476648</v>
      </c>
      <c r="CC185" s="59">
        <f t="shared" si="119"/>
        <v>663.15978243301083</v>
      </c>
      <c r="CD185" s="59">
        <f ca="1">AVERAGE(OFFSET($CC$3,0,0,'Données projet'!$E$12+1,1))-AVERAGE(OFFSET($H$3,0,0,'Données projet'!$E$12+1,1))</f>
        <v>681.47578137804555</v>
      </c>
      <c r="CE185" s="59">
        <f t="shared" si="148"/>
        <v>300.88511065995885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119.4146852620058</v>
      </c>
      <c r="CL185" s="21">
        <f>EXP(-LN(2)/25)*CL184+(1-EXP(-LN(2)/25))/(LN(2)/25)*Calculateur!CG185*Calculateur!CI185*VLOOKUP('Données projet'!$B$12,Paramètres!$A$1:$I$89,3,0)*0.475*44/12</f>
        <v>22.247940403291754</v>
      </c>
      <c r="CM185" s="21">
        <f>EXP(-LN(2)/2)*CM184+(1-EXP(-LN(2)/2))/(LN(2)/2)*CG185*CJ185*VLOOKUP('Données projet'!$B$12,Paramètres!$A$1:$I$89,3,0)*0.475*44/12</f>
        <v>3.4672765028714552</v>
      </c>
      <c r="CN185" s="22">
        <f t="shared" si="172"/>
        <v>145.129902168169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-8.5265128291212022E-14</v>
      </c>
      <c r="CU185" s="17">
        <f>CT185*VLOOKUP('Données projet'!$B$13,Paramètres!$A$1:$I$89,3,0)*VLOOKUP('Données projet'!$B$13,Paramètres!$A$1:$I$89,5,0)</f>
        <v>-6.9167072069831198E-14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186.54446846714993</v>
      </c>
      <c r="CZ185" s="59">
        <f t="shared" si="150"/>
        <v>154.43773051601286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</v>
      </c>
      <c r="DG185" s="21">
        <f>EXP(-LN(2)/25)*DG184+(1-EXP(-LN(2)/25))/(LN(2)/25)*Calculateur!DB185*Calculateur!DD185*VLOOKUP('Données projet'!$B$13,Paramètres!$A$1:$I$89,3,0)*0.475*44/12</f>
        <v>1.2623220733562646</v>
      </c>
      <c r="DH185" s="21">
        <f>EXP(-LN(2)/2)*DH184+(1-EXP(-LN(2)/2))/(LN(2)/2)*DB185*DE185*VLOOKUP('Données projet'!$B$13,Paramètres!$A$1:$I$89,3,0)*0.475*44/12</f>
        <v>3.5591180027311528E-13</v>
      </c>
      <c r="DI185" s="22">
        <f t="shared" si="175"/>
        <v>1.2623220733566205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>
        <f>VLOOKUP(A185,'Données projet'!$A$165:$I$185,2,0)</f>
        <v>294.11</v>
      </c>
      <c r="DM185" s="12">
        <f>VLOOKUP(A185,'Données projet'!$A$165:$I$185,9,0)</f>
        <v>5.3133333333333326</v>
      </c>
      <c r="DN185" s="12">
        <f t="array" ref="DN185">INDEX(DM:DM,MIN(IF(ISNUMBER(DM185:DM381),ROW(DM185:DM381),"")))</f>
        <v>5.3133333333333326</v>
      </c>
      <c r="DO185" s="12">
        <f>IF('Données projet'!$A$166&gt;35,DO184+DN185-DW184,IF(A185&lt;'Données projet'!$A$166,$DL$205^A185,IF(A185='Données projet'!$A$166,'Données projet'!$B$166,DO184+DN185-DW184)))</f>
        <v>294.1100000000003</v>
      </c>
      <c r="DP185" s="17">
        <f>DO185*VLOOKUP('Données projet'!$B$14,Paramètres!$A$1:$I$89,3,0)*VLOOKUP('Données projet'!$B$14,Paramètres!$A$1:$I$89,5,0)</f>
        <v>334.93246800000037</v>
      </c>
      <c r="DQ185" s="13">
        <f t="shared" si="176"/>
        <v>78.452048950583446</v>
      </c>
      <c r="DR185" s="20">
        <f t="shared" si="177"/>
        <v>719.97803368893346</v>
      </c>
      <c r="DS185" s="59">
        <f t="shared" si="125"/>
        <v>1009.5183611571779</v>
      </c>
      <c r="DT185" s="59">
        <f ca="1">AVERAGE(OFFSET($DS$3,0,0,'Données projet'!$E$14+1,1))-AVERAGE(OFFSET($H$3,0,0,'Données projet'!$E$14+1,1))</f>
        <v>651.35546372812314</v>
      </c>
      <c r="DU185" s="59">
        <f t="shared" si="152"/>
        <v>293.6561676213388</v>
      </c>
      <c r="DV185" s="15">
        <f>IF(ISNA(VLOOKUP(A185,'Données projet'!$A$165:$I$185,3,0)),0,VLOOKUP(A185,'Données projet'!$A$165:$I$185,3,0))</f>
        <v>14</v>
      </c>
      <c r="DW185" s="15">
        <f>IF(ISNA(VLOOKUP(A185,'Données projet'!$A$165:$I$185,4,0)),0,VLOOKUP(A185,'Données projet'!$A$165:$I$185,4,0))</f>
        <v>101.59</v>
      </c>
      <c r="DX185" s="16">
        <f>IF(ISNA(VLOOKUP(A185,'Données projet'!$A$165:$I$185,5,0)),0%,VLOOKUP(A185,'Données projet'!$A$165:$I$185,5,0)*VLOOKUP('Données projet'!$B$14,Paramètres!$A$1:$I$89,7,0))</f>
        <v>0.215</v>
      </c>
      <c r="DY185" s="16">
        <f>IF(ISNA(VLOOKUP(A185,'Données projet'!$A$165:$I$185,6,0)),0%,VLOOKUP(A185,'Données projet'!$A$165:$I$185,6,0)*VLOOKUP('Données projet'!$B$14,Paramètres!$A$1:$I$89,7,0))</f>
        <v>8.6000000000000007E-2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116.55556173525275</v>
      </c>
      <c r="EB185" s="21">
        <f>EXP(-LN(2)/25)*EB184+(1-EXP(-LN(2)/25))/(LN(2)/25)*Calculateur!DW185*Calculateur!DY185*VLOOKUP('Données projet'!$B$14,Paramètres!$A$1:$I$89,3,0)*0.475*44/12</f>
        <v>50.036102832866909</v>
      </c>
      <c r="EC185" s="21">
        <f>EXP(-LN(2)/2)*EC184+(1-EXP(-LN(2)/2))/(LN(2)/2)*DW185*DZ185*VLOOKUP('Données projet'!$B$14,Paramètres!$A$1:$I$89,3,0)*0.475*44/12</f>
        <v>1.7479765117075084E-2</v>
      </c>
      <c r="ED185" s="22">
        <f t="shared" si="178"/>
        <v>166.60914433323674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8.5265128291212022E-14</v>
      </c>
      <c r="EK185" s="17">
        <f>EJ185*VLOOKUP('Données projet'!$B$15,Paramètres!$A$1:$I$89,3,0)*VLOOKUP('Données projet'!$B$15,Paramètres!$A$1:$I$89,5,0)</f>
        <v>8.9119112089974823E-14</v>
      </c>
      <c r="EL185" s="13">
        <f t="shared" si="179"/>
        <v>1.3568952080113142E-12</v>
      </c>
      <c r="EM185" s="20">
        <f t="shared" si="180"/>
        <v>2.5184749408430782E-12</v>
      </c>
      <c r="EN185" s="59">
        <f t="shared" si="128"/>
        <v>289.54032746824691</v>
      </c>
      <c r="EO185" s="59">
        <f ca="1">AVERAGE(OFFSET($EN$3,0,0,'Données projet'!$E$15+1,1))-AVERAGE(OFFSET($H$3,0,0,'Données projet'!$E$15+1,1))</f>
        <v>290.69667785754848</v>
      </c>
      <c r="EP185" s="59">
        <f t="shared" si="154"/>
        <v>256.28124185489082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3.5085863417510157</v>
      </c>
      <c r="EW185" s="21">
        <f>EXP(-LN(2)/25)*EW184+(1-EXP(-LN(2)/25))/(LN(2)/25)*Calculateur!ER185*Calculateur!ET185*VLOOKUP('Données projet'!$B$15,Paramètres!$A$1:$I$89,3,0)*0.475*44/12</f>
        <v>4.678690061683465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8.1872764034344812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>
        <f>VLOOKUP(A186,'Données projet'!$A$35:$I$55,2,0)</f>
        <v>191.47</v>
      </c>
      <c r="L186" s="12">
        <f>VLOOKUP(A186,'Données projet'!$A$35:$I$55,9,0)</f>
        <v>2.2933333333333317</v>
      </c>
      <c r="M186" s="12">
        <f t="array" ref="M186">INDEX(L:L,MIN(IF(ISNUMBER(L186:L382),ROW(L186:L382),"")))</f>
        <v>2.2933333333333317</v>
      </c>
      <c r="N186" s="13">
        <f>IF('Données projet'!$A$36&gt;35,N185+M186-V185,IF(A186&lt;'Données projet'!$A$36,$K$205^A186,IF(A186='Données projet'!$A$36,'Données projet'!$B$36,N185+M186-V185)))</f>
        <v>191.47000000000079</v>
      </c>
      <c r="O186" s="13">
        <f>N186*VLOOKUP('Données projet'!$B$9,Paramètres!$A$1:$I$89,3,0)*VLOOKUP('Données projet'!$B$9,Paramètres!$A$1:$I$89,5,0)</f>
        <v>194.15058000000082</v>
      </c>
      <c r="P186" s="13">
        <f t="shared" si="141"/>
        <v>48.456429865053252</v>
      </c>
      <c r="Q186" s="20">
        <f t="shared" si="162"/>
        <v>422.54054218163583</v>
      </c>
      <c r="R186" s="59">
        <f t="shared" si="109"/>
        <v>712.14666982174879</v>
      </c>
      <c r="S186" s="59">
        <f ca="1">AVERAGE(OFFSET($R$3,0,0,'Données projet'!$E$9+1,1))-AVERAGE(OFFSET($H$3,0,0,'Données projet'!$E$9+1,1))</f>
        <v>752.45542076695506</v>
      </c>
      <c r="T186" s="59">
        <f t="shared" si="142"/>
        <v>329.70629768420724</v>
      </c>
      <c r="U186" s="15">
        <f>IF(ISNA(VLOOKUP(A186,'Données projet'!$A$35:$I$55,3,0)),0,VLOOKUP(A186,'Données projet'!$A$35:$I$55,3,0))</f>
        <v>18</v>
      </c>
      <c r="V186" s="15">
        <f>IF(ISNA(VLOOKUP(A186,'Données projet'!$A$35:$I$55,4,0)),0,VLOOKUP(A186,'Données projet'!$A$35:$I$55,4,0))</f>
        <v>191.47</v>
      </c>
      <c r="W186" s="16">
        <f>IF(ISNA(VLOOKUP(A186,'Données projet'!$A$35:$I$55,5,0)),0%,VLOOKUP(A186,'Données projet'!$A$35:$I$55,5,0)*VLOOKUP('Données projet'!$B$9,Paramètres!$A$1:$I$89,7,0))</f>
        <v>0.19350000000000001</v>
      </c>
      <c r="X186" s="16">
        <f>IF(ISNA(VLOOKUP(A186,'Données projet'!$A$35:$I$55,6,0)),0%,VLOOKUP(A186,'Données projet'!$A$35:$I$55,6,0)*VLOOKUP('Données projet'!$B$9,Paramètres!$A$1:$I$89,7,0))</f>
        <v>2.1500000000000002E-2</v>
      </c>
      <c r="Y186" s="16">
        <f>IF(ISNA(VLOOKUP(A186,'Données projet'!$A$35:$I$55,7,0)),0%,VLOOKUP(A186,'Données projet'!$A$35:$I$55,7,0))</f>
        <v>0.05</v>
      </c>
      <c r="Z186" s="21">
        <f>EXP(-LN(2)/35)*Z185+(1-EXP(-LN(2)/35))/(LN(2)/35)*V186*W186*VLOOKUP('Données projet'!$B$9,Paramètres!$A$1:$I$89,3,0)*0.475*44/12</f>
        <v>172.73300340106223</v>
      </c>
      <c r="AA186" s="21">
        <f>EXP(-LN(2)/25)*AA185+(1-EXP(-LN(2)/25))/(LN(2)/25)*Calculateur!V186*Calculateur!X186*VLOOKUP('Données projet'!$B$9,Paramètres!$A$1:$I$89,3,0)*0.475*44/12</f>
        <v>28.847568311933841</v>
      </c>
      <c r="AB186" s="21">
        <f>EXP(-LN(2)/2)*AB185+(1-EXP(-LN(2)/2))/(LN(2)/2)*V186*Y186*VLOOKUP('Données projet'!$B$9,Paramètres!$A$1:$I$89,3,0)*0.475*44/12</f>
        <v>11.906948632069174</v>
      </c>
      <c r="AC186" s="22">
        <f t="shared" si="163"/>
        <v>213.48752034506524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408.246209980743</v>
      </c>
      <c r="AO186" s="59">
        <f t="shared" si="144"/>
        <v>394.10236303013903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7.4230656055274258</v>
      </c>
      <c r="AV186" s="21">
        <f>EXP(-LN(2)/25)*AV185+(1-EXP(-LN(2)/25))/(LN(2)/25)*Calculateur!AQ186*Calculateur!AS186*VLOOKUP('Données projet'!$B$10,Paramètres!$A$1:$I$89,3,0)*0.475*44/12</f>
        <v>3.2411014333956114</v>
      </c>
      <c r="AW186" s="21">
        <f>EXP(-LN(2)/2)*AW185+(1-EXP(-LN(2)/2))/(LN(2)/2)*AQ186*AT186*VLOOKUP('Données projet'!$B$10,Paramètres!$A$1:$I$89,3,0)*0.475*44/12</f>
        <v>2.1523159836509952E-14</v>
      </c>
      <c r="AX186" s="21">
        <f t="shared" si="166"/>
        <v>10.664167038923058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>
        <f>VLOOKUP(A186,'Données projet'!$A$87:$I$107,2,0)</f>
        <v>191.47</v>
      </c>
      <c r="BB186" s="12">
        <f>VLOOKUP(A186,'Données projet'!$A$87:$I$107,9,0)</f>
        <v>2.2933333333333317</v>
      </c>
      <c r="BC186" s="12">
        <f t="array" ref="BC186">INDEX(BB:BB,MIN(IF(ISNUMBER(BB186:BB382),ROW(BB186:BB382),"")))</f>
        <v>2.2933333333333317</v>
      </c>
      <c r="BD186" s="12">
        <f>IF('Données projet'!$A$88&gt;35,BD185+BC186-BL185,IF(A186&lt;'Données projet'!$A$88,$BA$205^A186,IF(A186='Données projet'!$A$88,'Données projet'!$B$88,BD185+BC186-BL185)))</f>
        <v>191.47000000000079</v>
      </c>
      <c r="BE186" s="13">
        <f>BD186*VLOOKUP('Données projet'!$B$11,Paramètres!$A$1:$I$89,3,0)*VLOOKUP('Données projet'!$B$11,Paramètres!$A$1:$I$89,5,0)</f>
        <v>182.20285200000077</v>
      </c>
      <c r="BF186" s="13">
        <f t="shared" si="167"/>
        <v>45.811932658823523</v>
      </c>
      <c r="BG186" s="20">
        <f t="shared" si="168"/>
        <v>397.12574994745228</v>
      </c>
      <c r="BH186" s="59">
        <f t="shared" si="116"/>
        <v>686.73187758756524</v>
      </c>
      <c r="BI186" s="59">
        <f ca="1">AVERAGE(OFFSET($BH$3,0,0,'Données projet'!$E$11+1,1))-AVERAGE(OFFSET($H$3,0,0,'Données projet'!$E$11+1,1))</f>
        <v>711.91538686535682</v>
      </c>
      <c r="BJ186" s="59">
        <f t="shared" si="146"/>
        <v>313.24593837351722</v>
      </c>
      <c r="BK186" s="15">
        <f>IF(ISNA(VLOOKUP(A186,'Données projet'!$A$87:$I$107,3,0)),0,VLOOKUP(A186,'Données projet'!$A$87:$I$107,3,0))</f>
        <v>18</v>
      </c>
      <c r="BL186" s="15">
        <f>IF(ISNA(VLOOKUP(A186,'Données projet'!$A$87:$I$107,4,0)),0,VLOOKUP(A186,'Données projet'!$A$87:$I$107,4,0))</f>
        <v>191.47</v>
      </c>
      <c r="BM186" s="16">
        <f>IF(ISNA(VLOOKUP(A186,'Données projet'!$A$87:$I$107,5,0)),0%,VLOOKUP(A186,'Données projet'!$A$87:$I$107,5,0)*VLOOKUP('Données projet'!$B$11,Paramètres!$A$1:$I$89,7,0))</f>
        <v>0.19350000000000001</v>
      </c>
      <c r="BN186" s="16">
        <f>IF(ISNA(VLOOKUP(A186,'Données projet'!$A$87:$I$107,6,0)),0%,VLOOKUP(A186,'Données projet'!$A$87:$I$107,6,0)*VLOOKUP('Données projet'!$B$11,Paramètres!$A$1:$I$89,7,0))</f>
        <v>2.1500000000000002E-2</v>
      </c>
      <c r="BO186" s="16">
        <f>IF(ISNA(VLOOKUP(A186,'Données projet'!$A$87:$I$107,7,0)),0%,VLOOKUP(A186,'Données projet'!$A$87:$I$107,7,0))</f>
        <v>0.05</v>
      </c>
      <c r="BP186" s="21">
        <f>EXP(-LN(2)/35)*BP185+(1-EXP(-LN(2)/35))/(LN(2)/35)*BL186*BM186*VLOOKUP('Données projet'!$B$11,Paramètres!$A$1:$I$89,3,0)*0.475*44/12</f>
        <v>162.10328011484302</v>
      </c>
      <c r="BQ186" s="21">
        <f>EXP(-LN(2)/25)*BQ185+(1-EXP(-LN(2)/25))/(LN(2)/25)*Calculateur!BL186*Calculateur!BN186*VLOOKUP('Données projet'!$B$11,Paramètres!$A$1:$I$89,3,0)*0.475*44/12</f>
        <v>27.072333338891738</v>
      </c>
      <c r="BR186" s="21">
        <f>EXP(-LN(2)/2)*BR185+(1-EXP(-LN(2)/2))/(LN(2)/2)*BL186*BO186*VLOOKUP('Données projet'!$B$11,Paramètres!$A$1:$I$89,3,0)*0.475*44/12</f>
        <v>11.174213331634148</v>
      </c>
      <c r="BS186" s="22">
        <f t="shared" si="169"/>
        <v>200.34982678536889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>
        <f>VLOOKUP(A186,'Données projet'!$A$113:$I$133,2,0)</f>
        <v>191.47</v>
      </c>
      <c r="BW186" s="12">
        <f>VLOOKUP(A186,'Données projet'!$A$113:$I$133,9,0)</f>
        <v>2.2933333333333317</v>
      </c>
      <c r="BX186" s="12">
        <f t="array" ref="BX186">INDEX(BW:BW,MIN(IF(ISNUMBER(BW186:BW382),ROW(BW186:BW382),"")))</f>
        <v>2.2933333333333317</v>
      </c>
      <c r="BY186" s="12">
        <f>IF('Données projet'!$A$114&gt;35,BY185+BX186-CG185,IF(A186&lt;'Données projet'!$A$114,$BV$205^A186,IF(A186='Données projet'!$A$114,'Données projet'!$B$114,BY185+BX186-CG185)))</f>
        <v>191.47000000000079</v>
      </c>
      <c r="BZ186" s="13">
        <f>BY186*VLOOKUP('Données projet'!$B$12,Paramètres!$A$1:$I$89,3,0)*VLOOKUP('Données projet'!$B$12,Paramètres!$A$1:$I$89,5,0)</f>
        <v>173.2420560000007</v>
      </c>
      <c r="CA186" s="13">
        <f t="shared" si="170"/>
        <v>43.815336010445158</v>
      </c>
      <c r="CB186" s="20">
        <f t="shared" si="171"/>
        <v>378.04162441819318</v>
      </c>
      <c r="CC186" s="59">
        <f t="shared" si="119"/>
        <v>667.6477520583062</v>
      </c>
      <c r="CD186" s="59">
        <f ca="1">AVERAGE(OFFSET($CC$3,0,0,'Données projet'!$E$12+1,1))-AVERAGE(OFFSET($H$3,0,0,'Données projet'!$E$12+1,1))</f>
        <v>681.47578137804555</v>
      </c>
      <c r="CE186" s="59">
        <f t="shared" si="148"/>
        <v>300.88511065995885</v>
      </c>
      <c r="CF186" s="15">
        <f>IF(ISNA(VLOOKUP(A186,'Données projet'!$A$113:$I$133,3,0)),0,VLOOKUP(A186,'Données projet'!$A$113:$I$133,3,0))</f>
        <v>18</v>
      </c>
      <c r="CG186" s="15">
        <f>IF(ISNA(VLOOKUP(A186,'Données projet'!$A$113:$I$133,4,0)),0,VLOOKUP(A186,'Données projet'!$A$113:$I$133,4,0))</f>
        <v>191.47</v>
      </c>
      <c r="CH186" s="16">
        <f>IF(ISNA(VLOOKUP(A186,'Données projet'!$A$113:$I$133,5,0)),0%,VLOOKUP(A186,'Données projet'!$A$113:$I$133,5,0)*VLOOKUP('Données projet'!$B$12,Paramètres!$A$1:$I$89,7,0))</f>
        <v>0.19350000000000001</v>
      </c>
      <c r="CI186" s="16">
        <f>IF(ISNA(VLOOKUP(A186,'Données projet'!$A$113:$I$133,6,0)),0%,VLOOKUP(A186,'Données projet'!$A$113:$I$133,6,0)*VLOOKUP('Données projet'!$B$12,Paramètres!$A$1:$I$89,7,0))</f>
        <v>2.1500000000000002E-2</v>
      </c>
      <c r="CJ186" s="16">
        <f>IF(ISNA(VLOOKUP(A186,'Données projet'!$A$113:$I$133,7,0)),0%,VLOOKUP(A186,'Données projet'!$A$113:$I$133,7,0))</f>
        <v>0.05</v>
      </c>
      <c r="CK186" s="21">
        <f>EXP(-LN(2)/35)*CK185+(1-EXP(-LN(2)/35))/(LN(2)/35)*CG186*CH186*VLOOKUP('Données projet'!$B$12,Paramètres!$A$1:$I$89,3,0)*0.475*44/12</f>
        <v>154.13098765017864</v>
      </c>
      <c r="CL186" s="21">
        <f>EXP(-LN(2)/25)*CL185+(1-EXP(-LN(2)/25))/(LN(2)/25)*Calculateur!CG186*Calculateur!CI186*VLOOKUP('Données projet'!$B$12,Paramètres!$A$1:$I$89,3,0)*0.475*44/12</f>
        <v>25.740907109110182</v>
      </c>
      <c r="CM186" s="21">
        <f>EXP(-LN(2)/2)*CM185+(1-EXP(-LN(2)/2))/(LN(2)/2)*CG186*CJ186*VLOOKUP('Données projet'!$B$12,Paramètres!$A$1:$I$89,3,0)*0.475*44/12</f>
        <v>10.624661856307879</v>
      </c>
      <c r="CN186" s="22">
        <f t="shared" si="172"/>
        <v>190.49655661559669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-8.5265128291212022E-14</v>
      </c>
      <c r="CU186" s="17">
        <f>CT186*VLOOKUP('Données projet'!$B$13,Paramètres!$A$1:$I$89,3,0)*VLOOKUP('Données projet'!$B$13,Paramètres!$A$1:$I$89,5,0)</f>
        <v>-6.9167072069831198E-14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186.54446846714993</v>
      </c>
      <c r="CZ186" s="59">
        <f t="shared" si="150"/>
        <v>154.43773051601286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</v>
      </c>
      <c r="DG186" s="21">
        <f>EXP(-LN(2)/25)*DG185+(1-EXP(-LN(2)/25))/(LN(2)/25)*Calculateur!DB186*Calculateur!DD186*VLOOKUP('Données projet'!$B$13,Paramètres!$A$1:$I$89,3,0)*0.475*44/12</f>
        <v>1.2278038098777047</v>
      </c>
      <c r="DH186" s="21">
        <f>EXP(-LN(2)/2)*DH185+(1-EXP(-LN(2)/2))/(LN(2)/2)*DB186*DE186*VLOOKUP('Données projet'!$B$13,Paramètres!$A$1:$I$89,3,0)*0.475*44/12</f>
        <v>2.5166764747743193E-13</v>
      </c>
      <c r="DI186" s="22">
        <f t="shared" si="175"/>
        <v>1.2278038098779562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3.1866666666666674</v>
      </c>
      <c r="DO186" s="12">
        <f>IF('Données projet'!$A$166&gt;35,DO185+DN186-DW185,IF(A186&lt;'Données projet'!$A$166,$DL$205^A186,IF(A186='Données projet'!$A$166,'Données projet'!$B$166,DO185+DN186-DW185)))</f>
        <v>195.70666666666696</v>
      </c>
      <c r="DP186" s="17">
        <f>DO186*VLOOKUP('Données projet'!$B$14,Paramètres!$A$1:$I$89,3,0)*VLOOKUP('Données projet'!$B$14,Paramètres!$A$1:$I$89,5,0)</f>
        <v>222.87075200000032</v>
      </c>
      <c r="DQ186" s="13">
        <f t="shared" si="176"/>
        <v>54.738357918597899</v>
      </c>
      <c r="DR186" s="20">
        <f t="shared" si="177"/>
        <v>483.50253310822518</v>
      </c>
      <c r="DS186" s="59">
        <f t="shared" si="125"/>
        <v>773.10866074833814</v>
      </c>
      <c r="DT186" s="59">
        <f ca="1">AVERAGE(OFFSET($DS$3,0,0,'Données projet'!$E$14+1,1))-AVERAGE(OFFSET($H$3,0,0,'Données projet'!$E$14+1,1))</f>
        <v>651.35546372812314</v>
      </c>
      <c r="DU186" s="59">
        <f t="shared" si="152"/>
        <v>293.6561676213388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114.26997826149737</v>
      </c>
      <c r="EB186" s="21">
        <f>EXP(-LN(2)/25)*EB185+(1-EXP(-LN(2)/25))/(LN(2)/25)*Calculateur!DW186*Calculateur!DY186*VLOOKUP('Données projet'!$B$14,Paramètres!$A$1:$I$89,3,0)*0.475*44/12</f>
        <v>48.667862969617872</v>
      </c>
      <c r="EC186" s="21">
        <f>EXP(-LN(2)/2)*EC185+(1-EXP(-LN(2)/2))/(LN(2)/2)*DW186*DZ186*VLOOKUP('Données projet'!$B$14,Paramètres!$A$1:$I$89,3,0)*0.475*44/12</f>
        <v>1.2360060447831858E-2</v>
      </c>
      <c r="ED186" s="22">
        <f t="shared" si="178"/>
        <v>162.95020129156308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8.5265128291212022E-14</v>
      </c>
      <c r="EK186" s="17">
        <f>EJ186*VLOOKUP('Données projet'!$B$15,Paramètres!$A$1:$I$89,3,0)*VLOOKUP('Données projet'!$B$15,Paramètres!$A$1:$I$89,5,0)</f>
        <v>8.9119112089974823E-14</v>
      </c>
      <c r="EL186" s="13">
        <f t="shared" si="179"/>
        <v>1.3568952080113142E-12</v>
      </c>
      <c r="EM186" s="20">
        <f t="shared" si="180"/>
        <v>2.5184749408430782E-12</v>
      </c>
      <c r="EN186" s="59">
        <f t="shared" si="128"/>
        <v>289.60612764011546</v>
      </c>
      <c r="EO186" s="59">
        <f ca="1">AVERAGE(OFFSET($EN$3,0,0,'Données projet'!$E$15+1,1))-AVERAGE(OFFSET($H$3,0,0,'Données projet'!$E$15+1,1))</f>
        <v>290.69667785754848</v>
      </c>
      <c r="EP186" s="59">
        <f t="shared" si="154"/>
        <v>256.28124185489082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3.4397851036156366</v>
      </c>
      <c r="EW186" s="21">
        <f>EXP(-LN(2)/25)*EW185+(1-EXP(-LN(2)/25))/(LN(2)/25)*Calculateur!ER186*Calculateur!ET186*VLOOKUP('Données projet'!$B$15,Paramètres!$A$1:$I$89,3,0)*0.475*44/12</f>
        <v>4.5507510359051135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7.9905361395207501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7.9580786405131221E-13</v>
      </c>
      <c r="O187" s="13">
        <f>N187*VLOOKUP('Données projet'!$B$9,Paramètres!$A$1:$I$89,3,0)*VLOOKUP('Données projet'!$B$9,Paramètres!$A$1:$I$89,5,0)</f>
        <v>8.0694917414803056E-13</v>
      </c>
      <c r="P187" s="13">
        <f t="shared" si="141"/>
        <v>9.5069530861628001E-12</v>
      </c>
      <c r="Q187" s="20">
        <f t="shared" si="162"/>
        <v>1.7963379770041364E-11</v>
      </c>
      <c r="R187" s="59">
        <f t="shared" si="109"/>
        <v>289.6707863261247</v>
      </c>
      <c r="S187" s="59">
        <f ca="1">AVERAGE(OFFSET($R$3,0,0,'Données projet'!$E$9+1,1))-AVERAGE(OFFSET($H$3,0,0,'Données projet'!$E$9+1,1))</f>
        <v>752.45542076695506</v>
      </c>
      <c r="T187" s="59">
        <f t="shared" si="142"/>
        <v>329.70629768420724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169.34581456109638</v>
      </c>
      <c r="AA187" s="21">
        <f>EXP(-LN(2)/25)*AA186+(1-EXP(-LN(2)/25))/(LN(2)/25)*Calculateur!V187*Calculateur!X187*VLOOKUP('Données projet'!$B$9,Paramètres!$A$1:$I$89,3,0)*0.475*44/12</f>
        <v>28.058730039416325</v>
      </c>
      <c r="AB187" s="21">
        <f>EXP(-LN(2)/2)*AB186+(1-EXP(-LN(2)/2))/(LN(2)/2)*V187*Y187*VLOOKUP('Données projet'!$B$9,Paramètres!$A$1:$I$89,3,0)*0.475*44/12</f>
        <v>8.4194841209759996</v>
      </c>
      <c r="AC187" s="22">
        <f t="shared" si="163"/>
        <v>205.8240287214887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408.246209980743</v>
      </c>
      <c r="AO187" s="59">
        <f t="shared" si="144"/>
        <v>394.10236303013903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7.2775038166259867</v>
      </c>
      <c r="AV187" s="21">
        <f>EXP(-LN(2)/25)*AV186+(1-EXP(-LN(2)/25))/(LN(2)/25)*Calculateur!AQ187*Calculateur!AS187*VLOOKUP('Données projet'!$B$10,Paramètres!$A$1:$I$89,3,0)*0.475*44/12</f>
        <v>3.1524733442572916</v>
      </c>
      <c r="AW187" s="21">
        <f>EXP(-LN(2)/2)*AW186+(1-EXP(-LN(2)/2))/(LN(2)/2)*AQ187*AT187*VLOOKUP('Données projet'!$B$10,Paramètres!$A$1:$I$89,3,0)*0.475*44/12</f>
        <v>1.521917227295813E-14</v>
      </c>
      <c r="AX187" s="21">
        <f t="shared" si="166"/>
        <v>10.429977160883295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7.9580786405131221E-13</v>
      </c>
      <c r="BE187" s="13">
        <f>BD187*VLOOKUP('Données projet'!$B$11,Paramètres!$A$1:$I$89,3,0)*VLOOKUP('Données projet'!$B$11,Paramètres!$A$1:$I$89,5,0)</f>
        <v>7.572907634312286E-13</v>
      </c>
      <c r="BF187" s="13">
        <f t="shared" si="167"/>
        <v>8.9881135648416407E-12</v>
      </c>
      <c r="BG187" s="20">
        <f t="shared" si="168"/>
        <v>1.6973245871741914E-11</v>
      </c>
      <c r="BH187" s="59">
        <f t="shared" si="116"/>
        <v>289.67078632612373</v>
      </c>
      <c r="BI187" s="59">
        <f ca="1">AVERAGE(OFFSET($BH$3,0,0,'Données projet'!$E$11+1,1))-AVERAGE(OFFSET($H$3,0,0,'Données projet'!$E$11+1,1))</f>
        <v>711.91538686535682</v>
      </c>
      <c r="BJ187" s="59">
        <f t="shared" si="146"/>
        <v>313.24593837351722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158.92453366502889</v>
      </c>
      <c r="BQ187" s="21">
        <f>EXP(-LN(2)/25)*BQ186+(1-EXP(-LN(2)/25))/(LN(2)/25)*Calculateur!BL187*Calculateur!BN187*VLOOKUP('Données projet'!$B$11,Paramètres!$A$1:$I$89,3,0)*0.475*44/12</f>
        <v>26.332038960067607</v>
      </c>
      <c r="BR187" s="21">
        <f>EXP(-LN(2)/2)*BR186+(1-EXP(-LN(2)/2))/(LN(2)/2)*BL187*BO187*VLOOKUP('Données projet'!$B$11,Paramètres!$A$1:$I$89,3,0)*0.475*44/12</f>
        <v>7.9013620212236297</v>
      </c>
      <c r="BS187" s="22">
        <f t="shared" si="169"/>
        <v>193.15793464632014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7.9580786405131221E-13</v>
      </c>
      <c r="BZ187" s="13">
        <f>BY187*VLOOKUP('Données projet'!$B$12,Paramètres!$A$1:$I$89,3,0)*VLOOKUP('Données projet'!$B$12,Paramètres!$A$1:$I$89,5,0)</f>
        <v>7.2004695539362725E-13</v>
      </c>
      <c r="CA187" s="13">
        <f t="shared" si="170"/>
        <v>8.5963894794935589E-12</v>
      </c>
      <c r="CB187" s="20">
        <f t="shared" si="171"/>
        <v>1.6226126790761848E-11</v>
      </c>
      <c r="CC187" s="59">
        <f t="shared" si="119"/>
        <v>289.67078632612294</v>
      </c>
      <c r="CD187" s="59">
        <f ca="1">AVERAGE(OFFSET($CC$3,0,0,'Données projet'!$E$12+1,1))-AVERAGE(OFFSET($H$3,0,0,'Données projet'!$E$12+1,1))</f>
        <v>681.47578137804555</v>
      </c>
      <c r="CE187" s="59">
        <f t="shared" si="148"/>
        <v>300.88511065995885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151.10857299297834</v>
      </c>
      <c r="CL187" s="21">
        <f>EXP(-LN(2)/25)*CL186+(1-EXP(-LN(2)/25))/(LN(2)/25)*Calculateur!CG187*Calculateur!CI187*VLOOKUP('Données projet'!$B$12,Paramètres!$A$1:$I$89,3,0)*0.475*44/12</f>
        <v>25.037020650556091</v>
      </c>
      <c r="CM187" s="21">
        <f>EXP(-LN(2)/2)*CM186+(1-EXP(-LN(2)/2))/(LN(2)/2)*CG187*CJ187*VLOOKUP('Données projet'!$B$12,Paramètres!$A$1:$I$89,3,0)*0.475*44/12</f>
        <v>7.5127704464093537</v>
      </c>
      <c r="CN187" s="22">
        <f t="shared" si="172"/>
        <v>183.65836408994377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-8.5265128291212022E-14</v>
      </c>
      <c r="CU187" s="17">
        <f>CT187*VLOOKUP('Données projet'!$B$13,Paramètres!$A$1:$I$89,3,0)*VLOOKUP('Données projet'!$B$13,Paramètres!$A$1:$I$89,5,0)</f>
        <v>-6.9167072069831198E-14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186.54446846714993</v>
      </c>
      <c r="CZ187" s="59">
        <f t="shared" si="150"/>
        <v>154.43773051601286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</v>
      </c>
      <c r="DG187" s="21">
        <f>EXP(-LN(2)/25)*DG186+(1-EXP(-LN(2)/25))/(LN(2)/25)*Calculateur!DB187*Calculateur!DD187*VLOOKUP('Données projet'!$B$13,Paramètres!$A$1:$I$89,3,0)*0.475*44/12</f>
        <v>1.1942294501292026</v>
      </c>
      <c r="DH187" s="21">
        <f>EXP(-LN(2)/2)*DH186+(1-EXP(-LN(2)/2))/(LN(2)/2)*DB187*DE187*VLOOKUP('Données projet'!$B$13,Paramètres!$A$1:$I$89,3,0)*0.475*44/12</f>
        <v>1.7795590013655764E-13</v>
      </c>
      <c r="DI187" s="22">
        <f t="shared" si="175"/>
        <v>1.1942294501293804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3.1866666666666674</v>
      </c>
      <c r="DO187" s="12">
        <f>IF('Données projet'!$A$166&gt;35,DO186+DN187-DW186,IF(A187&lt;'Données projet'!$A$166,$DL$205^A187,IF(A187='Données projet'!$A$166,'Données projet'!$B$166,DO186+DN187-DW186)))</f>
        <v>198.89333333333363</v>
      </c>
      <c r="DP187" s="17">
        <f>DO187*VLOOKUP('Données projet'!$B$14,Paramètres!$A$1:$I$89,3,0)*VLOOKUP('Données projet'!$B$14,Paramètres!$A$1:$I$89,5,0)</f>
        <v>226.49972800000035</v>
      </c>
      <c r="DQ187" s="13">
        <f t="shared" si="176"/>
        <v>55.525166711436064</v>
      </c>
      <c r="DR187" s="20">
        <f t="shared" si="177"/>
        <v>491.1933582890851</v>
      </c>
      <c r="DS187" s="59">
        <f t="shared" si="125"/>
        <v>780.86414461519189</v>
      </c>
      <c r="DT187" s="59">
        <f ca="1">AVERAGE(OFFSET($DS$3,0,0,'Données projet'!$E$14+1,1))-AVERAGE(OFFSET($H$3,0,0,'Données projet'!$E$14+1,1))</f>
        <v>651.35546372812314</v>
      </c>
      <c r="DU187" s="59">
        <f t="shared" si="152"/>
        <v>293.6561676213388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112.02921368559406</v>
      </c>
      <c r="EB187" s="21">
        <f>EXP(-LN(2)/25)*EB186+(1-EXP(-LN(2)/25))/(LN(2)/25)*Calculateur!DW187*Calculateur!DY187*VLOOKUP('Données projet'!$B$14,Paramètres!$A$1:$I$89,3,0)*0.475*44/12</f>
        <v>47.337037697381987</v>
      </c>
      <c r="EC187" s="21">
        <f>EXP(-LN(2)/2)*EC186+(1-EXP(-LN(2)/2))/(LN(2)/2)*DW187*DZ187*VLOOKUP('Données projet'!$B$14,Paramètres!$A$1:$I$89,3,0)*0.475*44/12</f>
        <v>8.7398825585375418E-3</v>
      </c>
      <c r="ED187" s="22">
        <f t="shared" si="178"/>
        <v>159.37499126553456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8.5265128291212022E-14</v>
      </c>
      <c r="EK187" s="17">
        <f>EJ187*VLOOKUP('Données projet'!$B$15,Paramètres!$A$1:$I$89,3,0)*VLOOKUP('Données projet'!$B$15,Paramètres!$A$1:$I$89,5,0)</f>
        <v>8.9119112089974823E-14</v>
      </c>
      <c r="EL187" s="13">
        <f t="shared" si="179"/>
        <v>1.3568952080113142E-12</v>
      </c>
      <c r="EM187" s="20">
        <f t="shared" si="180"/>
        <v>2.5184749408430782E-12</v>
      </c>
      <c r="EN187" s="59">
        <f t="shared" si="128"/>
        <v>289.67078632610924</v>
      </c>
      <c r="EO187" s="59">
        <f ca="1">AVERAGE(OFFSET($EN$3,0,0,'Données projet'!$E$15+1,1))-AVERAGE(OFFSET($H$3,0,0,'Données projet'!$E$15+1,1))</f>
        <v>290.69667785754848</v>
      </c>
      <c r="EP187" s="59">
        <f t="shared" si="154"/>
        <v>256.28124185489082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3.3723330157954807</v>
      </c>
      <c r="EW187" s="21">
        <f>EXP(-LN(2)/25)*EW186+(1-EXP(-LN(2)/25))/(LN(2)/25)*Calculateur!ER187*Calculateur!ET187*VLOOKUP('Données projet'!$B$15,Paramètres!$A$1:$I$89,3,0)*0.475*44/12</f>
        <v>4.4263105095146917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7.7986435253101725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7.9580786405131221E-13</v>
      </c>
      <c r="O188" s="13">
        <f>N188*VLOOKUP('Données projet'!$B$9,Paramètres!$A$1:$I$89,3,0)*VLOOKUP('Données projet'!$B$9,Paramètres!$A$1:$I$89,5,0)</f>
        <v>8.0694917414803056E-13</v>
      </c>
      <c r="P188" s="13">
        <f t="shared" si="141"/>
        <v>9.5069530861628001E-12</v>
      </c>
      <c r="Q188" s="20">
        <f t="shared" si="162"/>
        <v>1.7963379770041364E-11</v>
      </c>
      <c r="R188" s="59">
        <f t="shared" si="109"/>
        <v>289.7343233284717</v>
      </c>
      <c r="S188" s="59">
        <f ca="1">AVERAGE(OFFSET($R$3,0,0,'Données projet'!$E$9+1,1))-AVERAGE(OFFSET($H$3,0,0,'Données projet'!$E$9+1,1))</f>
        <v>752.45542076695506</v>
      </c>
      <c r="T188" s="59">
        <f t="shared" si="142"/>
        <v>329.70629768420724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166.02504642830104</v>
      </c>
      <c r="AA188" s="21">
        <f>EXP(-LN(2)/25)*AA187+(1-EXP(-LN(2)/25))/(LN(2)/25)*Calculateur!V188*Calculateur!X188*VLOOKUP('Données projet'!$B$9,Paramètres!$A$1:$I$89,3,0)*0.475*44/12</f>
        <v>27.291462590944001</v>
      </c>
      <c r="AB188" s="21">
        <f>EXP(-LN(2)/2)*AB187+(1-EXP(-LN(2)/2))/(LN(2)/2)*V188*Y188*VLOOKUP('Données projet'!$B$9,Paramètres!$A$1:$I$89,3,0)*0.475*44/12</f>
        <v>5.9534743160345878</v>
      </c>
      <c r="AC188" s="22">
        <f t="shared" si="163"/>
        <v>199.26998333527965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408.246209980743</v>
      </c>
      <c r="AO188" s="59">
        <f t="shared" si="144"/>
        <v>394.10236303013903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7.1347964056209801</v>
      </c>
      <c r="AV188" s="21">
        <f>EXP(-LN(2)/25)*AV187+(1-EXP(-LN(2)/25))/(LN(2)/25)*Calculateur!AQ188*Calculateur!AS188*VLOOKUP('Données projet'!$B$10,Paramètres!$A$1:$I$89,3,0)*0.475*44/12</f>
        <v>3.066268794877208</v>
      </c>
      <c r="AW188" s="21">
        <f>EXP(-LN(2)/2)*AW187+(1-EXP(-LN(2)/2))/(LN(2)/2)*AQ188*AT188*VLOOKUP('Données projet'!$B$10,Paramètres!$A$1:$I$89,3,0)*0.475*44/12</f>
        <v>1.0761579918254976E-14</v>
      </c>
      <c r="AX188" s="21">
        <f t="shared" si="166"/>
        <v>10.201065200498199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7.9580786405131221E-13</v>
      </c>
      <c r="BE188" s="13">
        <f>BD188*VLOOKUP('Données projet'!$B$11,Paramètres!$A$1:$I$89,3,0)*VLOOKUP('Données projet'!$B$11,Paramètres!$A$1:$I$89,5,0)</f>
        <v>7.572907634312286E-13</v>
      </c>
      <c r="BF188" s="13">
        <f t="shared" si="167"/>
        <v>8.9881135648416407E-12</v>
      </c>
      <c r="BG188" s="20">
        <f t="shared" si="168"/>
        <v>1.6973245871741914E-11</v>
      </c>
      <c r="BH188" s="59">
        <f t="shared" si="116"/>
        <v>289.73432332847074</v>
      </c>
      <c r="BI188" s="59">
        <f ca="1">AVERAGE(OFFSET($BH$3,0,0,'Données projet'!$E$11+1,1))-AVERAGE(OFFSET($H$3,0,0,'Données projet'!$E$11+1,1))</f>
        <v>711.91538686535682</v>
      </c>
      <c r="BJ188" s="59">
        <f t="shared" si="146"/>
        <v>313.24593837351722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155.80812049425174</v>
      </c>
      <c r="BQ188" s="21">
        <f>EXP(-LN(2)/25)*BQ187+(1-EXP(-LN(2)/25))/(LN(2)/25)*Calculateur!BL188*Calculateur!BN188*VLOOKUP('Données projet'!$B$11,Paramètres!$A$1:$I$89,3,0)*0.475*44/12</f>
        <v>25.611987969962811</v>
      </c>
      <c r="BR188" s="21">
        <f>EXP(-LN(2)/2)*BR187+(1-EXP(-LN(2)/2))/(LN(2)/2)*BL188*BO188*VLOOKUP('Données projet'!$B$11,Paramètres!$A$1:$I$89,3,0)*0.475*44/12</f>
        <v>5.5871066658170747</v>
      </c>
      <c r="BS188" s="22">
        <f t="shared" si="169"/>
        <v>187.00721513003162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7.9580786405131221E-13</v>
      </c>
      <c r="BZ188" s="13">
        <f>BY188*VLOOKUP('Données projet'!$B$12,Paramètres!$A$1:$I$89,3,0)*VLOOKUP('Données projet'!$B$12,Paramètres!$A$1:$I$89,5,0)</f>
        <v>7.2004695539362725E-13</v>
      </c>
      <c r="CA188" s="13">
        <f t="shared" si="170"/>
        <v>8.5963894794935589E-12</v>
      </c>
      <c r="CB188" s="20">
        <f t="shared" si="171"/>
        <v>1.6226126790761848E-11</v>
      </c>
      <c r="CC188" s="59">
        <f t="shared" si="119"/>
        <v>289.73432332846994</v>
      </c>
      <c r="CD188" s="59">
        <f ca="1">AVERAGE(OFFSET($CC$3,0,0,'Données projet'!$E$12+1,1))-AVERAGE(OFFSET($H$3,0,0,'Données projet'!$E$12+1,1))</f>
        <v>681.47578137804555</v>
      </c>
      <c r="CE188" s="59">
        <f t="shared" si="148"/>
        <v>300.88511065995885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148.14542604371482</v>
      </c>
      <c r="CL188" s="21">
        <f>EXP(-LN(2)/25)*CL187+(1-EXP(-LN(2)/25))/(LN(2)/25)*Calculateur!CG188*Calculateur!CI188*VLOOKUP('Données projet'!$B$12,Paramètres!$A$1:$I$89,3,0)*0.475*44/12</f>
        <v>24.352382004226943</v>
      </c>
      <c r="CM188" s="21">
        <f>EXP(-LN(2)/2)*CM187+(1-EXP(-LN(2)/2))/(LN(2)/2)*CG188*CJ188*VLOOKUP('Données projet'!$B$12,Paramètres!$A$1:$I$89,3,0)*0.475*44/12</f>
        <v>5.3123309281539406</v>
      </c>
      <c r="CN188" s="22">
        <f t="shared" si="172"/>
        <v>177.81013897609569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-8.5265128291212022E-14</v>
      </c>
      <c r="CU188" s="17">
        <f>CT188*VLOOKUP('Données projet'!$B$13,Paramètres!$A$1:$I$89,3,0)*VLOOKUP('Données projet'!$B$13,Paramètres!$A$1:$I$89,5,0)</f>
        <v>-6.9167072069831198E-14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186.54446846714993</v>
      </c>
      <c r="CZ188" s="59">
        <f t="shared" si="150"/>
        <v>154.43773051601286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</v>
      </c>
      <c r="DG188" s="21">
        <f>EXP(-LN(2)/25)*DG187+(1-EXP(-LN(2)/25))/(LN(2)/25)*Calculateur!DB188*Calculateur!DD188*VLOOKUP('Données projet'!$B$13,Paramètres!$A$1:$I$89,3,0)*0.475*44/12</f>
        <v>1.1615731830136222</v>
      </c>
      <c r="DH188" s="21">
        <f>EXP(-LN(2)/2)*DH187+(1-EXP(-LN(2)/2))/(LN(2)/2)*DB188*DE188*VLOOKUP('Données projet'!$B$13,Paramètres!$A$1:$I$89,3,0)*0.475*44/12</f>
        <v>1.2583382373871596E-13</v>
      </c>
      <c r="DI188" s="22">
        <f t="shared" si="175"/>
        <v>1.1615731830137481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>
        <f>VLOOKUP(A188,'Données projet'!$A$165:$I$185,2,0)</f>
        <v>202.08</v>
      </c>
      <c r="DM188" s="12">
        <f>VLOOKUP(A188,'Données projet'!$A$165:$I$185,9,0)</f>
        <v>3.1866666666666674</v>
      </c>
      <c r="DN188" s="12">
        <f t="array" ref="DN188">INDEX(DM:DM,MIN(IF(ISNUMBER(DM188:DM384),ROW(DM188:DM384),"")))</f>
        <v>3.1866666666666674</v>
      </c>
      <c r="DO188" s="12">
        <f>IF('Données projet'!$A$166&gt;35,DO187+DN188-DW187,IF(A188&lt;'Données projet'!$A$166,$DL$205^A188,IF(A188='Données projet'!$A$166,'Données projet'!$B$166,DO187+DN188-DW187)))</f>
        <v>202.0800000000003</v>
      </c>
      <c r="DP188" s="17">
        <f>DO188*VLOOKUP('Données projet'!$B$14,Paramètres!$A$1:$I$89,3,0)*VLOOKUP('Données projet'!$B$14,Paramètres!$A$1:$I$89,5,0)</f>
        <v>230.12870400000034</v>
      </c>
      <c r="DQ188" s="13">
        <f t="shared" si="176"/>
        <v>56.310509438909122</v>
      </c>
      <c r="DR188" s="20">
        <f t="shared" si="177"/>
        <v>498.88163007276734</v>
      </c>
      <c r="DS188" s="59">
        <f t="shared" si="125"/>
        <v>788.61595340122108</v>
      </c>
      <c r="DT188" s="59">
        <f ca="1">AVERAGE(OFFSET($DS$3,0,0,'Données projet'!$E$14+1,1))-AVERAGE(OFFSET($H$3,0,0,'Données projet'!$E$14+1,1))</f>
        <v>651.35546372812314</v>
      </c>
      <c r="DU188" s="59">
        <f t="shared" si="152"/>
        <v>293.6561676213388</v>
      </c>
      <c r="DV188" s="15">
        <f>IF(ISNA(VLOOKUP(A188,'Données projet'!$A$165:$I$185,3,0)),0,VLOOKUP(A188,'Données projet'!$A$165:$I$185,3,0))</f>
        <v>15</v>
      </c>
      <c r="DW188" s="15">
        <f>IF(ISNA(VLOOKUP(A188,'Données projet'!$A$165:$I$185,4,0)),0,VLOOKUP(A188,'Données projet'!$A$165:$I$185,4,0))</f>
        <v>71.04000000000002</v>
      </c>
      <c r="DX188" s="16">
        <f>IF(ISNA(VLOOKUP(A188,'Données projet'!$A$165:$I$185,5,0)),0%,VLOOKUP(A188,'Données projet'!$A$165:$I$185,5,0)*VLOOKUP('Données projet'!$B$14,Paramètres!$A$1:$I$89,7,0))</f>
        <v>0.215</v>
      </c>
      <c r="DY188" s="16">
        <f>IF(ISNA(VLOOKUP(A188,'Données projet'!$A$165:$I$185,6,0)),0%,VLOOKUP(A188,'Données projet'!$A$165:$I$185,6,0)*VLOOKUP('Données projet'!$B$14,Paramètres!$A$1:$I$89,7,0))</f>
        <v>8.6000000000000007E-2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129.06047184469747</v>
      </c>
      <c r="EB188" s="21">
        <f>EXP(-LN(2)/25)*EB187+(1-EXP(-LN(2)/25))/(LN(2)/25)*Calculateur!DW188*Calculateur!DY188*VLOOKUP('Données projet'!$B$14,Paramètres!$A$1:$I$89,3,0)*0.475*44/12</f>
        <v>53.70355368032358</v>
      </c>
      <c r="EC188" s="21">
        <f>EXP(-LN(2)/2)*EC187+(1-EXP(-LN(2)/2))/(LN(2)/2)*DW188*DZ188*VLOOKUP('Données projet'!$B$14,Paramètres!$A$1:$I$89,3,0)*0.475*44/12</f>
        <v>6.1800302239159288E-3</v>
      </c>
      <c r="ED188" s="22">
        <f t="shared" si="178"/>
        <v>182.77020555524496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8.5265128291212022E-14</v>
      </c>
      <c r="EK188" s="17">
        <f>EJ188*VLOOKUP('Données projet'!$B$15,Paramètres!$A$1:$I$89,3,0)*VLOOKUP('Données projet'!$B$15,Paramètres!$A$1:$I$89,5,0)</f>
        <v>8.9119112089974823E-14</v>
      </c>
      <c r="EL188" s="13">
        <f t="shared" si="179"/>
        <v>1.3568952080113142E-12</v>
      </c>
      <c r="EM188" s="20">
        <f t="shared" si="180"/>
        <v>2.5184749408430782E-12</v>
      </c>
      <c r="EN188" s="59">
        <f t="shared" si="128"/>
        <v>289.73432332845624</v>
      </c>
      <c r="EO188" s="59">
        <f ca="1">AVERAGE(OFFSET($EN$3,0,0,'Données projet'!$E$15+1,1))-AVERAGE(OFFSET($H$3,0,0,'Données projet'!$E$15+1,1))</f>
        <v>290.69667785754848</v>
      </c>
      <c r="EP188" s="59">
        <f t="shared" si="154"/>
        <v>256.28124185489082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3.3062036222757669</v>
      </c>
      <c r="EW188" s="21">
        <f>EXP(-LN(2)/25)*EW187+(1-EXP(-LN(2)/25))/(LN(2)/25)*Calculateur!ER188*Calculateur!ET188*VLOOKUP('Données projet'!$B$15,Paramètres!$A$1:$I$89,3,0)*0.475*44/12</f>
        <v>4.3052728158624589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7.6114764381382258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7.9580786405131221E-13</v>
      </c>
      <c r="O189" s="13">
        <f>N189*VLOOKUP('Données projet'!$B$9,Paramètres!$A$1:$I$89,3,0)*VLOOKUP('Données projet'!$B$9,Paramètres!$A$1:$I$89,5,0)</f>
        <v>8.0694917414803056E-13</v>
      </c>
      <c r="P189" s="13">
        <f t="shared" si="141"/>
        <v>9.5069530861628001E-12</v>
      </c>
      <c r="Q189" s="20">
        <f t="shared" si="162"/>
        <v>1.7963379770041364E-11</v>
      </c>
      <c r="R189" s="59">
        <f t="shared" si="109"/>
        <v>289.79675810587537</v>
      </c>
      <c r="S189" s="59">
        <f ca="1">AVERAGE(OFFSET($R$3,0,0,'Données projet'!$E$9+1,1))-AVERAGE(OFFSET($H$3,0,0,'Données projet'!$E$9+1,1))</f>
        <v>752.45542076695506</v>
      </c>
      <c r="T189" s="59">
        <f t="shared" si="142"/>
        <v>329.70629768420724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162.76939653312127</v>
      </c>
      <c r="AA189" s="21">
        <f>EXP(-LN(2)/25)*AA188+(1-EXP(-LN(2)/25))/(LN(2)/25)*Calculateur!V189*Calculateur!X189*VLOOKUP('Données projet'!$B$9,Paramètres!$A$1:$I$89,3,0)*0.475*44/12</f>
        <v>26.545176111198995</v>
      </c>
      <c r="AB189" s="21">
        <f>EXP(-LN(2)/2)*AB188+(1-EXP(-LN(2)/2))/(LN(2)/2)*V189*Y189*VLOOKUP('Données projet'!$B$9,Paramètres!$A$1:$I$89,3,0)*0.475*44/12</f>
        <v>4.2097420604879998</v>
      </c>
      <c r="AC189" s="22">
        <f t="shared" si="163"/>
        <v>193.52431470480826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408.246209980743</v>
      </c>
      <c r="AO189" s="59">
        <f t="shared" si="144"/>
        <v>394.10236303013903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6.994887399902856</v>
      </c>
      <c r="AV189" s="21">
        <f>EXP(-LN(2)/25)*AV188+(1-EXP(-LN(2)/25))/(LN(2)/25)*Calculateur!AQ189*Calculateur!AS189*VLOOKUP('Données projet'!$B$10,Paramètres!$A$1:$I$89,3,0)*0.475*44/12</f>
        <v>2.982421513433223</v>
      </c>
      <c r="AW189" s="21">
        <f>EXP(-LN(2)/2)*AW188+(1-EXP(-LN(2)/2))/(LN(2)/2)*AQ189*AT189*VLOOKUP('Données projet'!$B$10,Paramètres!$A$1:$I$89,3,0)*0.475*44/12</f>
        <v>7.6095861364790651E-15</v>
      </c>
      <c r="AX189" s="21">
        <f t="shared" si="166"/>
        <v>9.9773089133360866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7.9580786405131221E-13</v>
      </c>
      <c r="BE189" s="13">
        <f>BD189*VLOOKUP('Données projet'!$B$11,Paramètres!$A$1:$I$89,3,0)*VLOOKUP('Données projet'!$B$11,Paramètres!$A$1:$I$89,5,0)</f>
        <v>7.572907634312286E-13</v>
      </c>
      <c r="BF189" s="13">
        <f t="shared" si="167"/>
        <v>8.9881135648416407E-12</v>
      </c>
      <c r="BG189" s="20">
        <f t="shared" si="168"/>
        <v>1.6973245871741914E-11</v>
      </c>
      <c r="BH189" s="59">
        <f t="shared" si="116"/>
        <v>289.7967581058744</v>
      </c>
      <c r="BI189" s="59">
        <f ca="1">AVERAGE(OFFSET($BH$3,0,0,'Données projet'!$E$11+1,1))-AVERAGE(OFFSET($H$3,0,0,'Données projet'!$E$11+1,1))</f>
        <v>711.91538686535682</v>
      </c>
      <c r="BJ189" s="59">
        <f t="shared" si="146"/>
        <v>313.24593837351722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152.75281828492919</v>
      </c>
      <c r="BQ189" s="21">
        <f>EXP(-LN(2)/25)*BQ188+(1-EXP(-LN(2)/25))/(LN(2)/25)*Calculateur!BL189*Calculateur!BN189*VLOOKUP('Données projet'!$B$11,Paramètres!$A$1:$I$89,3,0)*0.475*44/12</f>
        <v>24.911626812048269</v>
      </c>
      <c r="BR189" s="21">
        <f>EXP(-LN(2)/2)*BR188+(1-EXP(-LN(2)/2))/(LN(2)/2)*BL189*BO189*VLOOKUP('Données projet'!$B$11,Paramètres!$A$1:$I$89,3,0)*0.475*44/12</f>
        <v>3.9506810106118158</v>
      </c>
      <c r="BS189" s="22">
        <f t="shared" si="169"/>
        <v>181.61512610758928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7.9580786405131221E-13</v>
      </c>
      <c r="BZ189" s="13">
        <f>BY189*VLOOKUP('Données projet'!$B$12,Paramètres!$A$1:$I$89,3,0)*VLOOKUP('Données projet'!$B$12,Paramètres!$A$1:$I$89,5,0)</f>
        <v>7.2004695539362725E-13</v>
      </c>
      <c r="CA189" s="13">
        <f t="shared" si="170"/>
        <v>8.5963894794935589E-12</v>
      </c>
      <c r="CB189" s="20">
        <f t="shared" si="171"/>
        <v>1.6226126790761848E-11</v>
      </c>
      <c r="CC189" s="59">
        <f t="shared" si="119"/>
        <v>289.79675810587361</v>
      </c>
      <c r="CD189" s="59">
        <f ca="1">AVERAGE(OFFSET($CC$3,0,0,'Données projet'!$E$12+1,1))-AVERAGE(OFFSET($H$3,0,0,'Données projet'!$E$12+1,1))</f>
        <v>681.47578137804555</v>
      </c>
      <c r="CE189" s="59">
        <f t="shared" si="148"/>
        <v>300.88511065995885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145.24038459878517</v>
      </c>
      <c r="CL189" s="21">
        <f>EXP(-LN(2)/25)*CL188+(1-EXP(-LN(2)/25))/(LN(2)/25)*Calculateur!CG189*Calculateur!CI189*VLOOKUP('Données projet'!$B$12,Paramètres!$A$1:$I$89,3,0)*0.475*44/12</f>
        <v>23.686464837685246</v>
      </c>
      <c r="CM189" s="21">
        <f>EXP(-LN(2)/2)*CM188+(1-EXP(-LN(2)/2))/(LN(2)/2)*CG189*CJ189*VLOOKUP('Données projet'!$B$12,Paramètres!$A$1:$I$89,3,0)*0.475*44/12</f>
        <v>3.7563852232046777</v>
      </c>
      <c r="CN189" s="22">
        <f t="shared" si="172"/>
        <v>172.68323465967509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-8.5265128291212022E-14</v>
      </c>
      <c r="CU189" s="17">
        <f>CT189*VLOOKUP('Données projet'!$B$13,Paramètres!$A$1:$I$89,3,0)*VLOOKUP('Données projet'!$B$13,Paramètres!$A$1:$I$89,5,0)</f>
        <v>-6.9167072069831198E-14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186.54446846714993</v>
      </c>
      <c r="CZ189" s="59">
        <f t="shared" si="150"/>
        <v>154.43773051601286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</v>
      </c>
      <c r="DG189" s="21">
        <f>EXP(-LN(2)/25)*DG188+(1-EXP(-LN(2)/25))/(LN(2)/25)*Calculateur!DB189*Calculateur!DD189*VLOOKUP('Données projet'!$B$13,Paramètres!$A$1:$I$89,3,0)*0.475*44/12</f>
        <v>1.1298099032396358</v>
      </c>
      <c r="DH189" s="21">
        <f>EXP(-LN(2)/2)*DH188+(1-EXP(-LN(2)/2))/(LN(2)/2)*DB189*DE189*VLOOKUP('Données projet'!$B$13,Paramètres!$A$1:$I$89,3,0)*0.475*44/12</f>
        <v>8.897795006827882E-14</v>
      </c>
      <c r="DI189" s="22">
        <f t="shared" si="175"/>
        <v>1.1298099032397249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1.9966666666666697</v>
      </c>
      <c r="DO189" s="12">
        <f>IF('Données projet'!$A$166&gt;35,DO188+DN189-DW188,IF(A189&lt;'Données projet'!$A$166,$DL$205^A189,IF(A189='Données projet'!$A$166,'Données projet'!$B$166,DO188+DN189-DW188)))</f>
        <v>133.03666666666695</v>
      </c>
      <c r="DP189" s="17">
        <f>DO189*VLOOKUP('Données projet'!$B$14,Paramètres!$A$1:$I$89,3,0)*VLOOKUP('Données projet'!$B$14,Paramètres!$A$1:$I$89,5,0)</f>
        <v>151.5021560000003</v>
      </c>
      <c r="DQ189" s="13">
        <f t="shared" si="176"/>
        <v>38.919757736599465</v>
      </c>
      <c r="DR189" s="20">
        <f t="shared" si="177"/>
        <v>331.65149975791127</v>
      </c>
      <c r="DS189" s="59">
        <f t="shared" si="125"/>
        <v>621.44825786376873</v>
      </c>
      <c r="DT189" s="59">
        <f ca="1">AVERAGE(OFFSET($DS$3,0,0,'Données projet'!$E$14+1,1))-AVERAGE(OFFSET($H$3,0,0,'Données projet'!$E$14+1,1))</f>
        <v>651.35546372812314</v>
      </c>
      <c r="DU189" s="59">
        <f t="shared" si="152"/>
        <v>293.6561676213388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126.52967471093791</v>
      </c>
      <c r="EB189" s="21">
        <f>EXP(-LN(2)/25)*EB188+(1-EXP(-LN(2)/25))/(LN(2)/25)*Calculateur!DW189*Calculateur!DY189*VLOOKUP('Données projet'!$B$14,Paramètres!$A$1:$I$89,3,0)*0.475*44/12</f>
        <v>52.235027180787988</v>
      </c>
      <c r="EC189" s="21">
        <f>EXP(-LN(2)/2)*EC188+(1-EXP(-LN(2)/2))/(LN(2)/2)*DW189*DZ189*VLOOKUP('Données projet'!$B$14,Paramètres!$A$1:$I$89,3,0)*0.475*44/12</f>
        <v>4.3699412792687709E-3</v>
      </c>
      <c r="ED189" s="22">
        <f t="shared" si="178"/>
        <v>178.76907183300517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8.5265128291212022E-14</v>
      </c>
      <c r="EK189" s="17">
        <f>EJ189*VLOOKUP('Données projet'!$B$15,Paramètres!$A$1:$I$89,3,0)*VLOOKUP('Données projet'!$B$15,Paramètres!$A$1:$I$89,5,0)</f>
        <v>8.9119112089974823E-14</v>
      </c>
      <c r="EL189" s="13">
        <f t="shared" si="179"/>
        <v>1.3568952080113142E-12</v>
      </c>
      <c r="EM189" s="20">
        <f t="shared" si="180"/>
        <v>2.5184749408430782E-12</v>
      </c>
      <c r="EN189" s="59">
        <f t="shared" si="128"/>
        <v>289.79675810585991</v>
      </c>
      <c r="EO189" s="59">
        <f ca="1">AVERAGE(OFFSET($EN$3,0,0,'Données projet'!$E$15+1,1))-AVERAGE(OFFSET($H$3,0,0,'Données projet'!$E$15+1,1))</f>
        <v>290.69667785754848</v>
      </c>
      <c r="EP189" s="59">
        <f t="shared" si="154"/>
        <v>256.28124185489082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3.2413709858280275</v>
      </c>
      <c r="EW189" s="21">
        <f>EXP(-LN(2)/25)*EW188+(1-EXP(-LN(2)/25))/(LN(2)/25)*Calculateur!ER189*Calculateur!ET189*VLOOKUP('Données projet'!$B$15,Paramètres!$A$1:$I$89,3,0)*0.475*44/12</f>
        <v>4.1875449043082424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7.4289158901362704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7.9580786405131221E-13</v>
      </c>
      <c r="O190" s="13">
        <f>N190*VLOOKUP('Données projet'!$B$9,Paramètres!$A$1:$I$89,3,0)*VLOOKUP('Données projet'!$B$9,Paramètres!$A$1:$I$89,5,0)</f>
        <v>8.0694917414803056E-13</v>
      </c>
      <c r="P190" s="13">
        <f t="shared" si="141"/>
        <v>9.5069530861628001E-12</v>
      </c>
      <c r="Q190" s="20">
        <f t="shared" si="162"/>
        <v>1.7963379770041364E-11</v>
      </c>
      <c r="R190" s="59">
        <f t="shared" si="109"/>
        <v>289.85810977947438</v>
      </c>
      <c r="S190" s="59">
        <f ca="1">AVERAGE(OFFSET($R$3,0,0,'Données projet'!$E$9+1,1))-AVERAGE(OFFSET($H$3,0,0,'Données projet'!$E$9+1,1))</f>
        <v>752.45542076695506</v>
      </c>
      <c r="T190" s="59">
        <f t="shared" si="142"/>
        <v>329.70629768420724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159.57758794663562</v>
      </c>
      <c r="AA190" s="21">
        <f>EXP(-LN(2)/25)*AA189+(1-EXP(-LN(2)/25))/(LN(2)/25)*Calculateur!V190*Calculateur!X190*VLOOKUP('Données projet'!$B$9,Paramètres!$A$1:$I$89,3,0)*0.475*44/12</f>
        <v>25.819296874488117</v>
      </c>
      <c r="AB190" s="21">
        <f>EXP(-LN(2)/2)*AB189+(1-EXP(-LN(2)/2))/(LN(2)/2)*V190*Y190*VLOOKUP('Données projet'!$B$9,Paramètres!$A$1:$I$89,3,0)*0.475*44/12</f>
        <v>2.9767371580172939</v>
      </c>
      <c r="AC190" s="22">
        <f t="shared" si="163"/>
        <v>188.37362197914103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408.246209980743</v>
      </c>
      <c r="AO190" s="59">
        <f t="shared" si="144"/>
        <v>394.10236303013903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6.8577219244507974</v>
      </c>
      <c r="AV190" s="21">
        <f>EXP(-LN(2)/25)*AV189+(1-EXP(-LN(2)/25))/(LN(2)/25)*Calculateur!AQ190*Calculateur!AS190*VLOOKUP('Données projet'!$B$10,Paramètres!$A$1:$I$89,3,0)*0.475*44/12</f>
        <v>2.9008670403096604</v>
      </c>
      <c r="AW190" s="21">
        <f>EXP(-LN(2)/2)*AW189+(1-EXP(-LN(2)/2))/(LN(2)/2)*AQ190*AT190*VLOOKUP('Données projet'!$B$10,Paramètres!$A$1:$I$89,3,0)*0.475*44/12</f>
        <v>5.3807899591274879E-15</v>
      </c>
      <c r="AX190" s="21">
        <f t="shared" si="166"/>
        <v>9.7585889647604631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7.9580786405131221E-13</v>
      </c>
      <c r="BE190" s="13">
        <f>BD190*VLOOKUP('Données projet'!$B$11,Paramètres!$A$1:$I$89,3,0)*VLOOKUP('Données projet'!$B$11,Paramètres!$A$1:$I$89,5,0)</f>
        <v>7.572907634312286E-13</v>
      </c>
      <c r="BF190" s="13">
        <f t="shared" si="167"/>
        <v>8.9881135648416407E-12</v>
      </c>
      <c r="BG190" s="20">
        <f t="shared" si="168"/>
        <v>1.6973245871741914E-11</v>
      </c>
      <c r="BH190" s="59">
        <f t="shared" si="116"/>
        <v>289.85810977947341</v>
      </c>
      <c r="BI190" s="59">
        <f ca="1">AVERAGE(OFFSET($BH$3,0,0,'Données projet'!$E$11+1,1))-AVERAGE(OFFSET($H$3,0,0,'Données projet'!$E$11+1,1))</f>
        <v>711.91538686535682</v>
      </c>
      <c r="BJ190" s="59">
        <f t="shared" si="146"/>
        <v>313.24593837351722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149.75742868838111</v>
      </c>
      <c r="BQ190" s="21">
        <f>EXP(-LN(2)/25)*BQ189+(1-EXP(-LN(2)/25))/(LN(2)/25)*Calculateur!BL190*Calculateur!BN190*VLOOKUP('Données projet'!$B$11,Paramètres!$A$1:$I$89,3,0)*0.475*44/12</f>
        <v>24.23041706682729</v>
      </c>
      <c r="BR190" s="21">
        <f>EXP(-LN(2)/2)*BR189+(1-EXP(-LN(2)/2))/(LN(2)/2)*BL190*BO190*VLOOKUP('Données projet'!$B$11,Paramètres!$A$1:$I$89,3,0)*0.475*44/12</f>
        <v>2.7935533329085378</v>
      </c>
      <c r="BS190" s="22">
        <f t="shared" si="169"/>
        <v>176.78139908811696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7.9580786405131221E-13</v>
      </c>
      <c r="BZ190" s="13">
        <f>BY190*VLOOKUP('Données projet'!$B$12,Paramètres!$A$1:$I$89,3,0)*VLOOKUP('Données projet'!$B$12,Paramètres!$A$1:$I$89,5,0)</f>
        <v>7.2004695539362725E-13</v>
      </c>
      <c r="CA190" s="13">
        <f t="shared" si="170"/>
        <v>8.5963894794935589E-12</v>
      </c>
      <c r="CB190" s="20">
        <f t="shared" si="171"/>
        <v>1.6226126790761848E-11</v>
      </c>
      <c r="CC190" s="59">
        <f t="shared" si="119"/>
        <v>289.85810977947261</v>
      </c>
      <c r="CD190" s="59">
        <f ca="1">AVERAGE(OFFSET($CC$3,0,0,'Données projet'!$E$12+1,1))-AVERAGE(OFFSET($H$3,0,0,'Données projet'!$E$12+1,1))</f>
        <v>681.47578137804555</v>
      </c>
      <c r="CE190" s="59">
        <f t="shared" si="148"/>
        <v>300.88511065995885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142.39230924469027</v>
      </c>
      <c r="CL190" s="21">
        <f>EXP(-LN(2)/25)*CL189+(1-EXP(-LN(2)/25))/(LN(2)/25)*Calculateur!CG190*Calculateur!CI190*VLOOKUP('Données projet'!$B$12,Paramètres!$A$1:$I$89,3,0)*0.475*44/12</f>
        <v>23.038757211081695</v>
      </c>
      <c r="CM190" s="21">
        <f>EXP(-LN(2)/2)*CM189+(1-EXP(-LN(2)/2))/(LN(2)/2)*CG190*CJ190*VLOOKUP('Données projet'!$B$12,Paramètres!$A$1:$I$89,3,0)*0.475*44/12</f>
        <v>2.6561654640769707</v>
      </c>
      <c r="CN190" s="22">
        <f t="shared" si="172"/>
        <v>168.08723191984893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-8.5265128291212022E-14</v>
      </c>
      <c r="CU190" s="17">
        <f>CT190*VLOOKUP('Données projet'!$B$13,Paramètres!$A$1:$I$89,3,0)*VLOOKUP('Données projet'!$B$13,Paramètres!$A$1:$I$89,5,0)</f>
        <v>-6.9167072069831198E-14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186.54446846714993</v>
      </c>
      <c r="CZ190" s="59">
        <f t="shared" si="150"/>
        <v>154.43773051601286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</v>
      </c>
      <c r="DG190" s="21">
        <f>EXP(-LN(2)/25)*DG189+(1-EXP(-LN(2)/25))/(LN(2)/25)*Calculateur!DB190*Calculateur!DD190*VLOOKUP('Données projet'!$B$13,Paramètres!$A$1:$I$89,3,0)*0.475*44/12</f>
        <v>1.0989151920214273</v>
      </c>
      <c r="DH190" s="21">
        <f>EXP(-LN(2)/2)*DH189+(1-EXP(-LN(2)/2))/(LN(2)/2)*DB190*DE190*VLOOKUP('Données projet'!$B$13,Paramètres!$A$1:$I$89,3,0)*0.475*44/12</f>
        <v>6.2916911869357981E-14</v>
      </c>
      <c r="DI190" s="22">
        <f t="shared" si="175"/>
        <v>1.0989151920214901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1.9966666666666697</v>
      </c>
      <c r="DO190" s="12">
        <f>IF('Données projet'!$A$166&gt;35,DO189+DN190-DW189,IF(A190&lt;'Données projet'!$A$166,$DL$205^A190,IF(A190='Données projet'!$A$166,'Données projet'!$B$166,DO189+DN190-DW189)))</f>
        <v>135.03333333333362</v>
      </c>
      <c r="DP190" s="17">
        <f>DO190*VLOOKUP('Données projet'!$B$14,Paramètres!$A$1:$I$89,3,0)*VLOOKUP('Données projet'!$B$14,Paramètres!$A$1:$I$89,5,0)</f>
        <v>153.77596000000034</v>
      </c>
      <c r="DQ190" s="13">
        <f t="shared" si="176"/>
        <v>39.435440523491614</v>
      </c>
      <c r="DR190" s="20">
        <f t="shared" si="177"/>
        <v>336.5098559117485</v>
      </c>
      <c r="DS190" s="59">
        <f t="shared" si="125"/>
        <v>626.36796569120497</v>
      </c>
      <c r="DT190" s="59">
        <f ca="1">AVERAGE(OFFSET($DS$3,0,0,'Données projet'!$E$14+1,1))-AVERAGE(OFFSET($H$3,0,0,'Données projet'!$E$14+1,1))</f>
        <v>651.35546372812314</v>
      </c>
      <c r="DU190" s="59">
        <f t="shared" si="152"/>
        <v>293.6561676213388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124.04850496533754</v>
      </c>
      <c r="EB190" s="21">
        <f>EXP(-LN(2)/25)*EB189+(1-EXP(-LN(2)/25))/(LN(2)/25)*Calculateur!DW190*Calculateur!DY190*VLOOKUP('Données projet'!$B$14,Paramètres!$A$1:$I$89,3,0)*0.475*44/12</f>
        <v>50.806657615608643</v>
      </c>
      <c r="EC190" s="21">
        <f>EXP(-LN(2)/2)*EC189+(1-EXP(-LN(2)/2))/(LN(2)/2)*DW190*DZ190*VLOOKUP('Données projet'!$B$14,Paramètres!$A$1:$I$89,3,0)*0.475*44/12</f>
        <v>3.0900151119579644E-3</v>
      </c>
      <c r="ED190" s="22">
        <f t="shared" si="178"/>
        <v>174.85825259605812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8.5265128291212022E-14</v>
      </c>
      <c r="EK190" s="17">
        <f>EJ190*VLOOKUP('Données projet'!$B$15,Paramètres!$A$1:$I$89,3,0)*VLOOKUP('Données projet'!$B$15,Paramètres!$A$1:$I$89,5,0)</f>
        <v>8.9119112089974823E-14</v>
      </c>
      <c r="EL190" s="13">
        <f t="shared" si="179"/>
        <v>1.3568952080113142E-12</v>
      </c>
      <c r="EM190" s="20">
        <f t="shared" si="180"/>
        <v>2.5184749408430782E-12</v>
      </c>
      <c r="EN190" s="59">
        <f t="shared" si="128"/>
        <v>289.85810977945891</v>
      </c>
      <c r="EO190" s="59">
        <f ca="1">AVERAGE(OFFSET($EN$3,0,0,'Données projet'!$E$15+1,1))-AVERAGE(OFFSET($H$3,0,0,'Données projet'!$E$15+1,1))</f>
        <v>290.69667785754848</v>
      </c>
      <c r="EP190" s="59">
        <f t="shared" si="154"/>
        <v>256.28124185489082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3.1778096778370246</v>
      </c>
      <c r="EW190" s="21">
        <f>EXP(-LN(2)/25)*EW189+(1-EXP(-LN(2)/25))/(LN(2)/25)*Calculateur!ER190*Calculateur!ET190*VLOOKUP('Données projet'!$B$15,Paramètres!$A$1:$I$89,3,0)*0.475*44/12</f>
        <v>4.0730362686865176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7.2508459465235422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7.9580786405131221E-13</v>
      </c>
      <c r="O191" s="13">
        <f>N191*VLOOKUP('Données projet'!$B$9,Paramètres!$A$1:$I$89,3,0)*VLOOKUP('Données projet'!$B$9,Paramètres!$A$1:$I$89,5,0)</f>
        <v>8.0694917414803056E-13</v>
      </c>
      <c r="P191" s="13">
        <f t="shared" si="141"/>
        <v>9.5069530861628001E-12</v>
      </c>
      <c r="Q191" s="20">
        <f t="shared" si="162"/>
        <v>1.7963379770041364E-11</v>
      </c>
      <c r="R191" s="59">
        <f t="shared" si="109"/>
        <v>289.9183971386982</v>
      </c>
      <c r="S191" s="59">
        <f ca="1">AVERAGE(OFFSET($R$3,0,0,'Données projet'!$E$9+1,1))-AVERAGE(OFFSET($H$3,0,0,'Données projet'!$E$9+1,1))</f>
        <v>752.45542076695506</v>
      </c>
      <c r="T191" s="59">
        <f t="shared" si="142"/>
        <v>329.70629768420724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156.44836877971994</v>
      </c>
      <c r="AA191" s="21">
        <f>EXP(-LN(2)/25)*AA190+(1-EXP(-LN(2)/25))/(LN(2)/25)*Calculateur!V191*Calculateur!X191*VLOOKUP('Données projet'!$B$9,Paramètres!$A$1:$I$89,3,0)*0.475*44/12</f>
        <v>25.113266843677426</v>
      </c>
      <c r="AB191" s="21">
        <f>EXP(-LN(2)/2)*AB190+(1-EXP(-LN(2)/2))/(LN(2)/2)*V191*Y191*VLOOKUP('Données projet'!$B$9,Paramètres!$A$1:$I$89,3,0)*0.475*44/12</f>
        <v>2.1048710302439999</v>
      </c>
      <c r="AC191" s="22">
        <f t="shared" si="163"/>
        <v>183.66650665364136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408.246209980743</v>
      </c>
      <c r="AO191" s="59">
        <f t="shared" si="144"/>
        <v>394.10236303013903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6.7232461803096744</v>
      </c>
      <c r="AV191" s="21">
        <f>EXP(-LN(2)/25)*AV190+(1-EXP(-LN(2)/25))/(LN(2)/25)*Calculateur!AQ191*Calculateur!AS191*VLOOKUP('Données projet'!$B$10,Paramètres!$A$1:$I$89,3,0)*0.475*44/12</f>
        <v>2.8215426785424249</v>
      </c>
      <c r="AW191" s="21">
        <f>EXP(-LN(2)/2)*AW190+(1-EXP(-LN(2)/2))/(LN(2)/2)*AQ191*AT191*VLOOKUP('Données projet'!$B$10,Paramètres!$A$1:$I$89,3,0)*0.475*44/12</f>
        <v>3.8047930682395325E-15</v>
      </c>
      <c r="AX191" s="21">
        <f t="shared" si="166"/>
        <v>9.5447888588521028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7.9580786405131221E-13</v>
      </c>
      <c r="BE191" s="13">
        <f>BD191*VLOOKUP('Données projet'!$B$11,Paramètres!$A$1:$I$89,3,0)*VLOOKUP('Données projet'!$B$11,Paramètres!$A$1:$I$89,5,0)</f>
        <v>7.572907634312286E-13</v>
      </c>
      <c r="BF191" s="13">
        <f t="shared" si="167"/>
        <v>8.9881135648416407E-12</v>
      </c>
      <c r="BG191" s="20">
        <f t="shared" si="168"/>
        <v>1.6973245871741914E-11</v>
      </c>
      <c r="BH191" s="59">
        <f t="shared" si="116"/>
        <v>289.91839713869723</v>
      </c>
      <c r="BI191" s="59">
        <f ca="1">AVERAGE(OFFSET($BH$3,0,0,'Données projet'!$E$11+1,1))-AVERAGE(OFFSET($H$3,0,0,'Données projet'!$E$11+1,1))</f>
        <v>711.91538686535682</v>
      </c>
      <c r="BJ191" s="59">
        <f t="shared" si="146"/>
        <v>313.24593837351722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146.82077685481408</v>
      </c>
      <c r="BQ191" s="21">
        <f>EXP(-LN(2)/25)*BQ190+(1-EXP(-LN(2)/25))/(LN(2)/25)*Calculateur!BL191*Calculateur!BN191*VLOOKUP('Données projet'!$B$11,Paramètres!$A$1:$I$89,3,0)*0.475*44/12</f>
        <v>23.567835037912644</v>
      </c>
      <c r="BR191" s="21">
        <f>EXP(-LN(2)/2)*BR190+(1-EXP(-LN(2)/2))/(LN(2)/2)*BL191*BO191*VLOOKUP('Données projet'!$B$11,Paramètres!$A$1:$I$89,3,0)*0.475*44/12</f>
        <v>1.9753405053059081</v>
      </c>
      <c r="BS191" s="22">
        <f t="shared" si="169"/>
        <v>172.36395239803261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7.9580786405131221E-13</v>
      </c>
      <c r="BZ191" s="13">
        <f>BY191*VLOOKUP('Données projet'!$B$12,Paramètres!$A$1:$I$89,3,0)*VLOOKUP('Données projet'!$B$12,Paramètres!$A$1:$I$89,5,0)</f>
        <v>7.2004695539362725E-13</v>
      </c>
      <c r="CA191" s="13">
        <f t="shared" si="170"/>
        <v>8.5963894794935589E-12</v>
      </c>
      <c r="CB191" s="20">
        <f t="shared" si="171"/>
        <v>1.6226126790761848E-11</v>
      </c>
      <c r="CC191" s="59">
        <f t="shared" si="119"/>
        <v>289.91839713869643</v>
      </c>
      <c r="CD191" s="59">
        <f ca="1">AVERAGE(OFFSET($CC$3,0,0,'Données projet'!$E$12+1,1))-AVERAGE(OFFSET($H$3,0,0,'Données projet'!$E$12+1,1))</f>
        <v>681.47578137804555</v>
      </c>
      <c r="CE191" s="59">
        <f t="shared" si="148"/>
        <v>300.88511065995885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139.60008291113473</v>
      </c>
      <c r="CL191" s="21">
        <f>EXP(-LN(2)/25)*CL190+(1-EXP(-LN(2)/25))/(LN(2)/25)*Calculateur!CG191*Calculateur!CI191*VLOOKUP('Données projet'!$B$12,Paramètres!$A$1:$I$89,3,0)*0.475*44/12</f>
        <v>22.408761183589078</v>
      </c>
      <c r="CM191" s="21">
        <f>EXP(-LN(2)/2)*CM190+(1-EXP(-LN(2)/2))/(LN(2)/2)*CG191*CJ191*VLOOKUP('Données projet'!$B$12,Paramètres!$A$1:$I$89,3,0)*0.475*44/12</f>
        <v>1.8781926116023391</v>
      </c>
      <c r="CN191" s="22">
        <f t="shared" si="172"/>
        <v>163.88703670632617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-8.5265128291212022E-14</v>
      </c>
      <c r="CU191" s="17">
        <f>CT191*VLOOKUP('Données projet'!$B$13,Paramètres!$A$1:$I$89,3,0)*VLOOKUP('Données projet'!$B$13,Paramètres!$A$1:$I$89,5,0)</f>
        <v>-6.9167072069831198E-14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186.54446846714993</v>
      </c>
      <c r="CZ191" s="59">
        <f t="shared" si="150"/>
        <v>154.43773051601286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</v>
      </c>
      <c r="DG191" s="21">
        <f>EXP(-LN(2)/25)*DG190+(1-EXP(-LN(2)/25))/(LN(2)/25)*Calculateur!DB191*Calculateur!DD191*VLOOKUP('Données projet'!$B$13,Paramètres!$A$1:$I$89,3,0)*0.475*44/12</f>
        <v>1.0688652983061631</v>
      </c>
      <c r="DH191" s="21">
        <f>EXP(-LN(2)/2)*DH190+(1-EXP(-LN(2)/2))/(LN(2)/2)*DB191*DE191*VLOOKUP('Données projet'!$B$13,Paramètres!$A$1:$I$89,3,0)*0.475*44/12</f>
        <v>4.448897503413941E-14</v>
      </c>
      <c r="DI191" s="22">
        <f t="shared" si="175"/>
        <v>1.0688652983062075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>
        <f>VLOOKUP(A191,'Données projet'!$A$165:$I$185,2,0)</f>
        <v>137.03</v>
      </c>
      <c r="DM191" s="12">
        <f>VLOOKUP(A191,'Données projet'!$A$165:$I$185,9,0)</f>
        <v>1.9966666666666697</v>
      </c>
      <c r="DN191" s="12">
        <f t="array" ref="DN191">INDEX(DM:DM,MIN(IF(ISNUMBER(DM191:DM387),ROW(DM191:DM387),"")))</f>
        <v>1.9966666666666697</v>
      </c>
      <c r="DO191" s="12">
        <f>IF('Données projet'!$A$166&gt;35,DO190+DN191-DW190,IF(A191&lt;'Données projet'!$A$166,$DL$205^A191,IF(A191='Données projet'!$A$166,'Données projet'!$B$166,DO190+DN191-DW190)))</f>
        <v>137.03000000000029</v>
      </c>
      <c r="DP191" s="17">
        <f>DO191*VLOOKUP('Données projet'!$B$14,Paramètres!$A$1:$I$89,3,0)*VLOOKUP('Données projet'!$B$14,Paramètres!$A$1:$I$89,5,0)</f>
        <v>156.04976400000032</v>
      </c>
      <c r="DQ191" s="13">
        <f t="shared" si="176"/>
        <v>39.950236474535977</v>
      </c>
      <c r="DR191" s="20">
        <f t="shared" si="177"/>
        <v>341.36666749315071</v>
      </c>
      <c r="DS191" s="59">
        <f t="shared" si="125"/>
        <v>631.28506463183089</v>
      </c>
      <c r="DT191" s="59">
        <f ca="1">AVERAGE(OFFSET($DS$3,0,0,'Données projet'!$E$14+1,1))-AVERAGE(OFFSET($H$3,0,0,'Données projet'!$E$14+1,1))</f>
        <v>651.35546372812314</v>
      </c>
      <c r="DU191" s="59">
        <f t="shared" si="152"/>
        <v>293.6561676213388</v>
      </c>
      <c r="DV191" s="15">
        <f>IF(ISNA(VLOOKUP(A191,'Données projet'!$A$165:$I$185,3,0)),0,VLOOKUP(A191,'Données projet'!$A$165:$I$185,3,0))</f>
        <v>16</v>
      </c>
      <c r="DW191" s="15">
        <f>IF(ISNA(VLOOKUP(A191,'Données projet'!$A$165:$I$185,4,0)),0,VLOOKUP(A191,'Données projet'!$A$165:$I$185,4,0))</f>
        <v>137.03</v>
      </c>
      <c r="DX191" s="16">
        <f>IF(ISNA(VLOOKUP(A191,'Données projet'!$A$165:$I$185,5,0)),0%,VLOOKUP(A191,'Données projet'!$A$165:$I$185,5,0)*VLOOKUP('Données projet'!$B$14,Paramètres!$A$1:$I$89,7,0))</f>
        <v>0.215</v>
      </c>
      <c r="DY191" s="16">
        <f>IF(ISNA(VLOOKUP(A191,'Données projet'!$A$165:$I$185,6,0)),0%,VLOOKUP(A191,'Données projet'!$A$165:$I$185,6,0)*VLOOKUP('Données projet'!$B$14,Paramètres!$A$1:$I$89,7,0))</f>
        <v>8.6000000000000007E-2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158.70529368963236</v>
      </c>
      <c r="EB191" s="21">
        <f>EXP(-LN(2)/25)*EB190+(1-EXP(-LN(2)/25))/(LN(2)/25)*Calculateur!DW191*Calculateur!DY191*VLOOKUP('Données projet'!$B$14,Paramètres!$A$1:$I$89,3,0)*0.475*44/12</f>
        <v>64.194654699945602</v>
      </c>
      <c r="EC191" s="21">
        <f>EXP(-LN(2)/2)*EC190+(1-EXP(-LN(2)/2))/(LN(2)/2)*DW191*DZ191*VLOOKUP('Données projet'!$B$14,Paramètres!$A$1:$I$89,3,0)*0.475*44/12</f>
        <v>2.1849706396343854E-3</v>
      </c>
      <c r="ED191" s="22">
        <f t="shared" si="178"/>
        <v>222.90213336021759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8.5265128291212022E-14</v>
      </c>
      <c r="EK191" s="17">
        <f>EJ191*VLOOKUP('Données projet'!$B$15,Paramètres!$A$1:$I$89,3,0)*VLOOKUP('Données projet'!$B$15,Paramètres!$A$1:$I$89,5,0)</f>
        <v>8.9119112089974823E-14</v>
      </c>
      <c r="EL191" s="13">
        <f t="shared" si="179"/>
        <v>1.3568952080113142E-12</v>
      </c>
      <c r="EM191" s="20">
        <f t="shared" si="180"/>
        <v>2.5184749408430782E-12</v>
      </c>
      <c r="EN191" s="59">
        <f t="shared" si="128"/>
        <v>289.91839713868274</v>
      </c>
      <c r="EO191" s="59">
        <f ca="1">AVERAGE(OFFSET($EN$3,0,0,'Données projet'!$E$15+1,1))-AVERAGE(OFFSET($H$3,0,0,'Données projet'!$E$15+1,1))</f>
        <v>290.69667785754848</v>
      </c>
      <c r="EP191" s="59">
        <f t="shared" si="154"/>
        <v>256.28124185489082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3.1154947683271557</v>
      </c>
      <c r="EW191" s="21">
        <f>EXP(-LN(2)/25)*EW190+(1-EXP(-LN(2)/25))/(LN(2)/25)*Calculateur!ER191*Calculateur!ET191*VLOOKUP('Données projet'!$B$15,Paramètres!$A$1:$I$89,3,0)*0.475*44/12</f>
        <v>3.9616588777276163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7.0771536460547715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7.9580786405131221E-13</v>
      </c>
      <c r="O192" s="13">
        <f>N192*VLOOKUP('Données projet'!$B$9,Paramètres!$A$1:$I$89,3,0)*VLOOKUP('Données projet'!$B$9,Paramètres!$A$1:$I$89,5,0)</f>
        <v>8.0694917414803056E-13</v>
      </c>
      <c r="P192" s="13">
        <f t="shared" si="141"/>
        <v>9.5069530861628001E-12</v>
      </c>
      <c r="Q192" s="20">
        <f t="shared" si="162"/>
        <v>1.7963379770041364E-11</v>
      </c>
      <c r="R192" s="59">
        <f t="shared" si="109"/>
        <v>289.97763864702182</v>
      </c>
      <c r="S192" s="59">
        <f ca="1">AVERAGE(OFFSET($R$3,0,0,'Données projet'!$E$9+1,1))-AVERAGE(OFFSET($H$3,0,0,'Données projet'!$E$9+1,1))</f>
        <v>752.45542076695506</v>
      </c>
      <c r="T192" s="59">
        <f t="shared" si="142"/>
        <v>329.70629768420724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153.38051169203226</v>
      </c>
      <c r="AA192" s="21">
        <f>EXP(-LN(2)/25)*AA191+(1-EXP(-LN(2)/25))/(LN(2)/25)*Calculateur!V192*Calculateur!X192*VLOOKUP('Données projet'!$B$9,Paramètres!$A$1:$I$89,3,0)*0.475*44/12</f>
        <v>24.426543241187762</v>
      </c>
      <c r="AB192" s="21">
        <f>EXP(-LN(2)/2)*AB191+(1-EXP(-LN(2)/2))/(LN(2)/2)*V192*Y192*VLOOKUP('Données projet'!$B$9,Paramètres!$A$1:$I$89,3,0)*0.475*44/12</f>
        <v>1.4883685790086469</v>
      </c>
      <c r="AC192" s="22">
        <f t="shared" si="163"/>
        <v>179.29542351222867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408.246209980743</v>
      </c>
      <c r="AO192" s="59">
        <f t="shared" si="144"/>
        <v>394.10236303013903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6.5914074234890538</v>
      </c>
      <c r="AV192" s="21">
        <f>EXP(-LN(2)/25)*AV191+(1-EXP(-LN(2)/25))/(LN(2)/25)*Calculateur!AQ192*Calculateur!AS192*VLOOKUP('Données projet'!$B$10,Paramètres!$A$1:$I$89,3,0)*0.475*44/12</f>
        <v>2.7443874456192017</v>
      </c>
      <c r="AW192" s="21">
        <f>EXP(-LN(2)/2)*AW191+(1-EXP(-LN(2)/2))/(LN(2)/2)*AQ192*AT192*VLOOKUP('Données projet'!$B$10,Paramètres!$A$1:$I$89,3,0)*0.475*44/12</f>
        <v>2.690394979563744E-15</v>
      </c>
      <c r="AX192" s="21">
        <f t="shared" si="166"/>
        <v>9.3357948691082591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7.9580786405131221E-13</v>
      </c>
      <c r="BE192" s="13">
        <f>BD192*VLOOKUP('Données projet'!$B$11,Paramètres!$A$1:$I$89,3,0)*VLOOKUP('Données projet'!$B$11,Paramètres!$A$1:$I$89,5,0)</f>
        <v>7.572907634312286E-13</v>
      </c>
      <c r="BF192" s="13">
        <f t="shared" si="167"/>
        <v>8.9881135648416407E-12</v>
      </c>
      <c r="BG192" s="20">
        <f t="shared" si="168"/>
        <v>1.6973245871741914E-11</v>
      </c>
      <c r="BH192" s="59">
        <f t="shared" si="116"/>
        <v>289.97763864702085</v>
      </c>
      <c r="BI192" s="59">
        <f ca="1">AVERAGE(OFFSET($BH$3,0,0,'Données projet'!$E$11+1,1))-AVERAGE(OFFSET($H$3,0,0,'Données projet'!$E$11+1,1))</f>
        <v>711.91538686535682</v>
      </c>
      <c r="BJ192" s="59">
        <f t="shared" si="146"/>
        <v>313.24593837351722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143.94171097252254</v>
      </c>
      <c r="BQ192" s="21">
        <f>EXP(-LN(2)/25)*BQ191+(1-EXP(-LN(2)/25))/(LN(2)/25)*Calculateur!BL192*Calculateur!BN192*VLOOKUP('Données projet'!$B$11,Paramètres!$A$1:$I$89,3,0)*0.475*44/12</f>
        <v>22.923371349422343</v>
      </c>
      <c r="BR192" s="21">
        <f>EXP(-LN(2)/2)*BR191+(1-EXP(-LN(2)/2))/(LN(2)/2)*BL192*BO192*VLOOKUP('Données projet'!$B$11,Paramètres!$A$1:$I$89,3,0)*0.475*44/12</f>
        <v>1.3967766664542691</v>
      </c>
      <c r="BS192" s="22">
        <f t="shared" si="169"/>
        <v>168.26185898839915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7.9580786405131221E-13</v>
      </c>
      <c r="BZ192" s="13">
        <f>BY192*VLOOKUP('Données projet'!$B$12,Paramètres!$A$1:$I$89,3,0)*VLOOKUP('Données projet'!$B$12,Paramètres!$A$1:$I$89,5,0)</f>
        <v>7.2004695539362725E-13</v>
      </c>
      <c r="CA192" s="13">
        <f t="shared" si="170"/>
        <v>8.5963894794935589E-12</v>
      </c>
      <c r="CB192" s="20">
        <f t="shared" si="171"/>
        <v>1.6226126790761848E-11</v>
      </c>
      <c r="CC192" s="59">
        <f t="shared" si="119"/>
        <v>289.97763864702006</v>
      </c>
      <c r="CD192" s="59">
        <f ca="1">AVERAGE(OFFSET($CC$3,0,0,'Données projet'!$E$12+1,1))-AVERAGE(OFFSET($H$3,0,0,'Données projet'!$E$12+1,1))</f>
        <v>681.47578137804555</v>
      </c>
      <c r="CE192" s="59">
        <f t="shared" si="148"/>
        <v>300.88511065995885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136.86261043289034</v>
      </c>
      <c r="CL192" s="21">
        <f>EXP(-LN(2)/25)*CL191+(1-EXP(-LN(2)/25))/(LN(2)/25)*Calculateur!CG192*Calculateur!CI192*VLOOKUP('Données projet'!$B$12,Paramètres!$A$1:$I$89,3,0)*0.475*44/12</f>
        <v>21.7959924305983</v>
      </c>
      <c r="CM192" s="21">
        <f>EXP(-LN(2)/2)*CM191+(1-EXP(-LN(2)/2))/(LN(2)/2)*CG192*CJ192*VLOOKUP('Données projet'!$B$12,Paramètres!$A$1:$I$89,3,0)*0.475*44/12</f>
        <v>1.3280827320384856</v>
      </c>
      <c r="CN192" s="22">
        <f t="shared" si="172"/>
        <v>159.98668559552712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-8.5265128291212022E-14</v>
      </c>
      <c r="CU192" s="17">
        <f>CT192*VLOOKUP('Données projet'!$B$13,Paramètres!$A$1:$I$89,3,0)*VLOOKUP('Données projet'!$B$13,Paramètres!$A$1:$I$89,5,0)</f>
        <v>-6.9167072069831198E-14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186.54446846714993</v>
      </c>
      <c r="CZ192" s="59">
        <f t="shared" si="150"/>
        <v>154.43773051601286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</v>
      </c>
      <c r="DG192" s="21">
        <f>EXP(-LN(2)/25)*DG191+(1-EXP(-LN(2)/25))/(LN(2)/25)*Calculateur!DB192*Calculateur!DD192*VLOOKUP('Données projet'!$B$13,Paramètres!$A$1:$I$89,3,0)*0.475*44/12</f>
        <v>1.0396371205147978</v>
      </c>
      <c r="DH192" s="21">
        <f>EXP(-LN(2)/2)*DH191+(1-EXP(-LN(2)/2))/(LN(2)/2)*DB192*DE192*VLOOKUP('Données projet'!$B$13,Paramètres!$A$1:$I$89,3,0)*0.475*44/12</f>
        <v>3.1458455934678991E-14</v>
      </c>
      <c r="DI192" s="22">
        <f t="shared" si="175"/>
        <v>1.0396371205148294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2.8421709430404007E-13</v>
      </c>
      <c r="DP192" s="17">
        <f>DO192*VLOOKUP('Données projet'!$B$14,Paramètres!$A$1:$I$89,3,0)*VLOOKUP('Données projet'!$B$14,Paramètres!$A$1:$I$89,5,0)</f>
        <v>3.2366642699344083E-13</v>
      </c>
      <c r="DQ192" s="13">
        <f t="shared" si="176"/>
        <v>4.2410593646923188E-12</v>
      </c>
      <c r="DR192" s="20">
        <f t="shared" si="177"/>
        <v>7.9502307538526985E-12</v>
      </c>
      <c r="DS192" s="59">
        <f t="shared" si="125"/>
        <v>289.97763864701182</v>
      </c>
      <c r="DT192" s="59">
        <f ca="1">AVERAGE(OFFSET($DS$3,0,0,'Données projet'!$E$14+1,1))-AVERAGE(OFFSET($H$3,0,0,'Données projet'!$E$14+1,1))</f>
        <v>651.35546372812314</v>
      </c>
      <c r="DU192" s="59">
        <f t="shared" si="152"/>
        <v>293.6561676213388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155.59317968104955</v>
      </c>
      <c r="EB192" s="21">
        <f>EXP(-LN(2)/25)*EB191+(1-EXP(-LN(2)/25))/(LN(2)/25)*Calculateur!DW192*Calculateur!DY192*VLOOKUP('Données projet'!$B$14,Paramètres!$A$1:$I$89,3,0)*0.475*44/12</f>
        <v>62.439248491325415</v>
      </c>
      <c r="EC192" s="21">
        <f>EXP(-LN(2)/2)*EC191+(1-EXP(-LN(2)/2))/(LN(2)/2)*DW192*DZ192*VLOOKUP('Données projet'!$B$14,Paramètres!$A$1:$I$89,3,0)*0.475*44/12</f>
        <v>1.5450075559789822E-3</v>
      </c>
      <c r="ED192" s="22">
        <f t="shared" si="178"/>
        <v>218.03397317993097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8.5265128291212022E-14</v>
      </c>
      <c r="EK192" s="17">
        <f>EJ192*VLOOKUP('Données projet'!$B$15,Paramètres!$A$1:$I$89,3,0)*VLOOKUP('Données projet'!$B$15,Paramètres!$A$1:$I$89,5,0)</f>
        <v>8.9119112089974823E-14</v>
      </c>
      <c r="EL192" s="13">
        <f t="shared" si="179"/>
        <v>1.3568952080113142E-12</v>
      </c>
      <c r="EM192" s="20">
        <f t="shared" si="180"/>
        <v>2.5184749408430782E-12</v>
      </c>
      <c r="EN192" s="59">
        <f t="shared" si="128"/>
        <v>289.97763864700636</v>
      </c>
      <c r="EO192" s="59">
        <f ca="1">AVERAGE(OFFSET($EN$3,0,0,'Données projet'!$E$15+1,1))-AVERAGE(OFFSET($H$3,0,0,'Données projet'!$E$15+1,1))</f>
        <v>290.69667785754848</v>
      </c>
      <c r="EP192" s="59">
        <f t="shared" si="154"/>
        <v>256.28124185489082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3.0544018161844333</v>
      </c>
      <c r="EW192" s="21">
        <f>EXP(-LN(2)/25)*EW191+(1-EXP(-LN(2)/25))/(LN(2)/25)*Calculateur!ER192*Calculateur!ET192*VLOOKUP('Données projet'!$B$15,Paramètres!$A$1:$I$89,3,0)*0.475*44/12</f>
        <v>3.8533271073815687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6.907728923566002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7.9580786405131221E-13</v>
      </c>
      <c r="O193" s="13">
        <f>N193*VLOOKUP('Données projet'!$B$9,Paramètres!$A$1:$I$89,3,0)*VLOOKUP('Données projet'!$B$9,Paramètres!$A$1:$I$89,5,0)</f>
        <v>8.0694917414803056E-13</v>
      </c>
      <c r="P193" s="13">
        <f t="shared" si="141"/>
        <v>9.5069530861628001E-12</v>
      </c>
      <c r="Q193" s="20">
        <f t="shared" si="162"/>
        <v>1.7963379770041364E-11</v>
      </c>
      <c r="R193" s="59">
        <f t="shared" si="109"/>
        <v>290.03585244762024</v>
      </c>
      <c r="S193" s="59">
        <f ca="1">AVERAGE(OFFSET($R$3,0,0,'Données projet'!$E$9+1,1))-AVERAGE(OFFSET($H$3,0,0,'Données projet'!$E$9+1,1))</f>
        <v>752.45542076695506</v>
      </c>
      <c r="T193" s="59">
        <f t="shared" si="142"/>
        <v>329.70629768420724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150.37281341062607</v>
      </c>
      <c r="AA193" s="21">
        <f>EXP(-LN(2)/25)*AA192+(1-EXP(-LN(2)/25))/(LN(2)/25)*Calculateur!V193*Calculateur!X193*VLOOKUP('Données projet'!$B$9,Paramètres!$A$1:$I$89,3,0)*0.475*44/12</f>
        <v>23.758598131721403</v>
      </c>
      <c r="AB193" s="21">
        <f>EXP(-LN(2)/2)*AB192+(1-EXP(-LN(2)/2))/(LN(2)/2)*V193*Y193*VLOOKUP('Données projet'!$B$9,Paramètres!$A$1:$I$89,3,0)*0.475*44/12</f>
        <v>1.052435515122</v>
      </c>
      <c r="AC193" s="22">
        <f t="shared" si="163"/>
        <v>175.18384705746948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408.246209980743</v>
      </c>
      <c r="AO193" s="59">
        <f t="shared" si="144"/>
        <v>394.10236303013903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6.4621539442759843</v>
      </c>
      <c r="AV193" s="21">
        <f>EXP(-LN(2)/25)*AV192+(1-EXP(-LN(2)/25))/(LN(2)/25)*Calculateur!AQ193*Calculateur!AS193*VLOOKUP('Données projet'!$B$10,Paramètres!$A$1:$I$89,3,0)*0.475*44/12</f>
        <v>2.6693420265976813</v>
      </c>
      <c r="AW193" s="21">
        <f>EXP(-LN(2)/2)*AW192+(1-EXP(-LN(2)/2))/(LN(2)/2)*AQ193*AT193*VLOOKUP('Données projet'!$B$10,Paramètres!$A$1:$I$89,3,0)*0.475*44/12</f>
        <v>1.9023965341197663E-15</v>
      </c>
      <c r="AX193" s="21">
        <f t="shared" si="166"/>
        <v>9.1314959708736669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7.9580786405131221E-13</v>
      </c>
      <c r="BE193" s="13">
        <f>BD193*VLOOKUP('Données projet'!$B$11,Paramètres!$A$1:$I$89,3,0)*VLOOKUP('Données projet'!$B$11,Paramètres!$A$1:$I$89,5,0)</f>
        <v>7.572907634312286E-13</v>
      </c>
      <c r="BF193" s="13">
        <f t="shared" si="167"/>
        <v>8.9881135648416407E-12</v>
      </c>
      <c r="BG193" s="20">
        <f t="shared" si="168"/>
        <v>1.6973245871741914E-11</v>
      </c>
      <c r="BH193" s="59">
        <f t="shared" si="116"/>
        <v>290.03585244761928</v>
      </c>
      <c r="BI193" s="59">
        <f ca="1">AVERAGE(OFFSET($BH$3,0,0,'Données projet'!$E$11+1,1))-AVERAGE(OFFSET($H$3,0,0,'Données projet'!$E$11+1,1))</f>
        <v>711.91538686535682</v>
      </c>
      <c r="BJ193" s="59">
        <f t="shared" si="146"/>
        <v>313.24593837351722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141.11910181612595</v>
      </c>
      <c r="BQ193" s="21">
        <f>EXP(-LN(2)/25)*BQ192+(1-EXP(-LN(2)/25))/(LN(2)/25)*Calculateur!BL193*Calculateur!BN193*VLOOKUP('Données projet'!$B$11,Paramètres!$A$1:$I$89,3,0)*0.475*44/12</f>
        <v>22.296530554384681</v>
      </c>
      <c r="BR193" s="21">
        <f>EXP(-LN(2)/2)*BR192+(1-EXP(-LN(2)/2))/(LN(2)/2)*BL193*BO193*VLOOKUP('Données projet'!$B$11,Paramètres!$A$1:$I$89,3,0)*0.475*44/12</f>
        <v>0.98767025265295427</v>
      </c>
      <c r="BS193" s="22">
        <f t="shared" si="169"/>
        <v>164.40330262316357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7.9580786405131221E-13</v>
      </c>
      <c r="BZ193" s="13">
        <f>BY193*VLOOKUP('Données projet'!$B$12,Paramètres!$A$1:$I$89,3,0)*VLOOKUP('Données projet'!$B$12,Paramètres!$A$1:$I$89,5,0)</f>
        <v>7.2004695539362725E-13</v>
      </c>
      <c r="CA193" s="13">
        <f t="shared" si="170"/>
        <v>8.5963894794935589E-12</v>
      </c>
      <c r="CB193" s="20">
        <f t="shared" si="171"/>
        <v>1.6226126790761848E-11</v>
      </c>
      <c r="CC193" s="59">
        <f t="shared" si="119"/>
        <v>290.03585244761848</v>
      </c>
      <c r="CD193" s="59">
        <f ca="1">AVERAGE(OFFSET($CC$3,0,0,'Données projet'!$E$12+1,1))-AVERAGE(OFFSET($H$3,0,0,'Données projet'!$E$12+1,1))</f>
        <v>681.47578137804555</v>
      </c>
      <c r="CE193" s="59">
        <f t="shared" si="148"/>
        <v>300.88511065995885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134.17881812025095</v>
      </c>
      <c r="CL193" s="21">
        <f>EXP(-LN(2)/25)*CL192+(1-EXP(-LN(2)/25))/(LN(2)/25)*Calculateur!CG193*Calculateur!CI193*VLOOKUP('Données projet'!$B$12,Paramètres!$A$1:$I$89,3,0)*0.475*44/12</f>
        <v>21.199979871382162</v>
      </c>
      <c r="CM193" s="21">
        <f>EXP(-LN(2)/2)*CM192+(1-EXP(-LN(2)/2))/(LN(2)/2)*CG193*CJ193*VLOOKUP('Données projet'!$B$12,Paramètres!$A$1:$I$89,3,0)*0.475*44/12</f>
        <v>0.93909630580116976</v>
      </c>
      <c r="CN193" s="22">
        <f t="shared" si="172"/>
        <v>156.31789429743429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-8.5265128291212022E-14</v>
      </c>
      <c r="CU193" s="17">
        <f>CT193*VLOOKUP('Données projet'!$B$13,Paramètres!$A$1:$I$89,3,0)*VLOOKUP('Données projet'!$B$13,Paramètres!$A$1:$I$89,5,0)</f>
        <v>-6.9167072069831198E-14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186.54446846714993</v>
      </c>
      <c r="CZ193" s="59">
        <f t="shared" si="150"/>
        <v>154.43773051601286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</v>
      </c>
      <c r="DG193" s="21">
        <f>EXP(-LN(2)/25)*DG192+(1-EXP(-LN(2)/25))/(LN(2)/25)*Calculateur!DB193*Calculateur!DD193*VLOOKUP('Données projet'!$B$13,Paramètres!$A$1:$I$89,3,0)*0.475*44/12</f>
        <v>1.0112081887821807</v>
      </c>
      <c r="DH193" s="21">
        <f>EXP(-LN(2)/2)*DH192+(1-EXP(-LN(2)/2))/(LN(2)/2)*DB193*DE193*VLOOKUP('Données projet'!$B$13,Paramètres!$A$1:$I$89,3,0)*0.475*44/12</f>
        <v>2.2244487517069705E-14</v>
      </c>
      <c r="DI193" s="22">
        <f t="shared" si="175"/>
        <v>1.0112081887822029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2.8421709430404007E-13</v>
      </c>
      <c r="DP193" s="17">
        <f>DO193*VLOOKUP('Données projet'!$B$14,Paramètres!$A$1:$I$89,3,0)*VLOOKUP('Données projet'!$B$14,Paramètres!$A$1:$I$89,5,0)</f>
        <v>3.2366642699344083E-13</v>
      </c>
      <c r="DQ193" s="13">
        <f t="shared" si="176"/>
        <v>4.2410593646923188E-12</v>
      </c>
      <c r="DR193" s="20">
        <f t="shared" si="177"/>
        <v>7.9502307538526985E-12</v>
      </c>
      <c r="DS193" s="59">
        <f t="shared" si="125"/>
        <v>290.03585244761024</v>
      </c>
      <c r="DT193" s="59">
        <f ca="1">AVERAGE(OFFSET($DS$3,0,0,'Données projet'!$E$14+1,1))-AVERAGE(OFFSET($H$3,0,0,'Données projet'!$E$14+1,1))</f>
        <v>651.35546372812314</v>
      </c>
      <c r="DU193" s="59">
        <f t="shared" si="152"/>
        <v>293.6561676213388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152.54209232997295</v>
      </c>
      <c r="EB193" s="21">
        <f>EXP(-LN(2)/25)*EB192+(1-EXP(-LN(2)/25))/(LN(2)/25)*Calculateur!DW193*Calculateur!DY193*VLOOKUP('Données projet'!$B$14,Paramètres!$A$1:$I$89,3,0)*0.475*44/12</f>
        <v>60.731843957792748</v>
      </c>
      <c r="EC193" s="21">
        <f>EXP(-LN(2)/2)*EC192+(1-EXP(-LN(2)/2))/(LN(2)/2)*DW193*DZ193*VLOOKUP('Données projet'!$B$14,Paramètres!$A$1:$I$89,3,0)*0.475*44/12</f>
        <v>1.0924853198171927E-3</v>
      </c>
      <c r="ED193" s="22">
        <f t="shared" si="178"/>
        <v>213.27502877308552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8.5265128291212022E-14</v>
      </c>
      <c r="EK193" s="17">
        <f>EJ193*VLOOKUP('Données projet'!$B$15,Paramètres!$A$1:$I$89,3,0)*VLOOKUP('Données projet'!$B$15,Paramètres!$A$1:$I$89,5,0)</f>
        <v>8.9119112089974823E-14</v>
      </c>
      <c r="EL193" s="13">
        <f t="shared" si="179"/>
        <v>1.3568952080113142E-12</v>
      </c>
      <c r="EM193" s="20">
        <f t="shared" si="180"/>
        <v>2.5184749408430782E-12</v>
      </c>
      <c r="EN193" s="59">
        <f t="shared" si="128"/>
        <v>290.03585244760478</v>
      </c>
      <c r="EO193" s="59">
        <f ca="1">AVERAGE(OFFSET($EN$3,0,0,'Données projet'!$E$15+1,1))-AVERAGE(OFFSET($H$3,0,0,'Données projet'!$E$15+1,1))</f>
        <v>290.69667785754848</v>
      </c>
      <c r="EP193" s="59">
        <f t="shared" si="154"/>
        <v>256.28124185489082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2.9945068595702082</v>
      </c>
      <c r="EW193" s="21">
        <f>EXP(-LN(2)/25)*EW192+(1-EXP(-LN(2)/25))/(LN(2)/25)*Calculateur!ER193*Calculateur!ET193*VLOOKUP('Données projet'!$B$15,Paramètres!$A$1:$I$89,3,0)*0.475*44/12</f>
        <v>3.7479576749925538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6.7424645345627621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7.9580786405131221E-13</v>
      </c>
      <c r="O194" s="13">
        <f>N194*VLOOKUP('Données projet'!$B$9,Paramètres!$A$1:$I$89,3,0)*VLOOKUP('Données projet'!$B$9,Paramètres!$A$1:$I$89,5,0)</f>
        <v>8.0694917414803056E-13</v>
      </c>
      <c r="P194" s="13">
        <f t="shared" si="141"/>
        <v>9.5069530861628001E-12</v>
      </c>
      <c r="Q194" s="20">
        <f t="shared" si="162"/>
        <v>1.7963379770041364E-11</v>
      </c>
      <c r="R194" s="59">
        <f t="shared" si="109"/>
        <v>290.09305636892481</v>
      </c>
      <c r="S194" s="59">
        <f ca="1">AVERAGE(OFFSET($R$3,0,0,'Données projet'!$E$9+1,1))-AVERAGE(OFFSET($H$3,0,0,'Données projet'!$E$9+1,1))</f>
        <v>752.45542076695506</v>
      </c>
      <c r="T194" s="59">
        <f t="shared" si="142"/>
        <v>329.70629768420724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147.42409425800344</v>
      </c>
      <c r="AA194" s="21">
        <f>EXP(-LN(2)/25)*AA193+(1-EXP(-LN(2)/25))/(LN(2)/25)*Calculateur!V194*Calculateur!X194*VLOOKUP('Données projet'!$B$9,Paramètres!$A$1:$I$89,3,0)*0.475*44/12</f>
        <v>23.108918016399105</v>
      </c>
      <c r="AB194" s="21">
        <f>EXP(-LN(2)/2)*AB193+(1-EXP(-LN(2)/2))/(LN(2)/2)*V194*Y194*VLOOKUP('Données projet'!$B$9,Paramètres!$A$1:$I$89,3,0)*0.475*44/12</f>
        <v>0.74418428950432347</v>
      </c>
      <c r="AC194" s="22">
        <f t="shared" si="163"/>
        <v>171.27719656390687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408.246209980743</v>
      </c>
      <c r="AO194" s="59">
        <f t="shared" si="144"/>
        <v>394.10236303013903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6.3354350469534451</v>
      </c>
      <c r="AV194" s="21">
        <f>EXP(-LN(2)/25)*AV193+(1-EXP(-LN(2)/25))/(LN(2)/25)*Calculateur!AQ194*Calculateur!AS194*VLOOKUP('Données projet'!$B$10,Paramètres!$A$1:$I$89,3,0)*0.475*44/12</f>
        <v>2.5963487285057711</v>
      </c>
      <c r="AW194" s="21">
        <f>EXP(-LN(2)/2)*AW193+(1-EXP(-LN(2)/2))/(LN(2)/2)*AQ194*AT194*VLOOKUP('Données projet'!$B$10,Paramètres!$A$1:$I$89,3,0)*0.475*44/12</f>
        <v>1.345197489781872E-15</v>
      </c>
      <c r="AX194" s="21">
        <f t="shared" si="166"/>
        <v>8.931783775459218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7.9580786405131221E-13</v>
      </c>
      <c r="BE194" s="13">
        <f>BD194*VLOOKUP('Données projet'!$B$11,Paramètres!$A$1:$I$89,3,0)*VLOOKUP('Données projet'!$B$11,Paramètres!$A$1:$I$89,5,0)</f>
        <v>7.572907634312286E-13</v>
      </c>
      <c r="BF194" s="13">
        <f t="shared" si="167"/>
        <v>8.9881135648416407E-12</v>
      </c>
      <c r="BG194" s="20">
        <f t="shared" si="168"/>
        <v>1.6973245871741914E-11</v>
      </c>
      <c r="BH194" s="59">
        <f t="shared" si="116"/>
        <v>290.09305636892384</v>
      </c>
      <c r="BI194" s="59">
        <f ca="1">AVERAGE(OFFSET($BH$3,0,0,'Données projet'!$E$11+1,1))-AVERAGE(OFFSET($H$3,0,0,'Données projet'!$E$11+1,1))</f>
        <v>711.91538686535682</v>
      </c>
      <c r="BJ194" s="59">
        <f t="shared" si="146"/>
        <v>313.24593837351722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138.35184230366471</v>
      </c>
      <c r="BQ194" s="21">
        <f>EXP(-LN(2)/25)*BQ193+(1-EXP(-LN(2)/25))/(LN(2)/25)*Calculateur!BL194*Calculateur!BN194*VLOOKUP('Données projet'!$B$11,Paramètres!$A$1:$I$89,3,0)*0.475*44/12</f>
        <v>21.686830753851449</v>
      </c>
      <c r="BR194" s="21">
        <f>EXP(-LN(2)/2)*BR193+(1-EXP(-LN(2)/2))/(LN(2)/2)*BL194*BO194*VLOOKUP('Données projet'!$B$11,Paramètres!$A$1:$I$89,3,0)*0.475*44/12</f>
        <v>0.69838833322713467</v>
      </c>
      <c r="BS194" s="22">
        <f t="shared" si="169"/>
        <v>160.73706139074329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7.9580786405131221E-13</v>
      </c>
      <c r="BZ194" s="13">
        <f>BY194*VLOOKUP('Données projet'!$B$12,Paramètres!$A$1:$I$89,3,0)*VLOOKUP('Données projet'!$B$12,Paramètres!$A$1:$I$89,5,0)</f>
        <v>7.2004695539362725E-13</v>
      </c>
      <c r="CA194" s="13">
        <f t="shared" si="170"/>
        <v>8.5963894794935589E-12</v>
      </c>
      <c r="CB194" s="20">
        <f t="shared" si="171"/>
        <v>1.6226126790761848E-11</v>
      </c>
      <c r="CC194" s="59">
        <f t="shared" si="119"/>
        <v>290.09305636892304</v>
      </c>
      <c r="CD194" s="59">
        <f ca="1">AVERAGE(OFFSET($CC$3,0,0,'Données projet'!$E$12+1,1))-AVERAGE(OFFSET($H$3,0,0,'Données projet'!$E$12+1,1))</f>
        <v>681.47578137804555</v>
      </c>
      <c r="CE194" s="59">
        <f t="shared" si="148"/>
        <v>300.88511065995885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131.54765333791076</v>
      </c>
      <c r="CL194" s="21">
        <f>EXP(-LN(2)/25)*CL193+(1-EXP(-LN(2)/25))/(LN(2)/25)*Calculateur!CG194*Calculateur!CI194*VLOOKUP('Données projet'!$B$12,Paramètres!$A$1:$I$89,3,0)*0.475*44/12</f>
        <v>20.620265306940727</v>
      </c>
      <c r="CM194" s="21">
        <f>EXP(-LN(2)/2)*CM193+(1-EXP(-LN(2)/2))/(LN(2)/2)*CG194*CJ194*VLOOKUP('Données projet'!$B$12,Paramètres!$A$1:$I$89,3,0)*0.475*44/12</f>
        <v>0.66404136601924291</v>
      </c>
      <c r="CN194" s="22">
        <f t="shared" si="172"/>
        <v>152.83196001087072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-8.5265128291212022E-14</v>
      </c>
      <c r="CU194" s="17">
        <f>CT194*VLOOKUP('Données projet'!$B$13,Paramètres!$A$1:$I$89,3,0)*VLOOKUP('Données projet'!$B$13,Paramètres!$A$1:$I$89,5,0)</f>
        <v>-6.9167072069831198E-14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186.54446846714993</v>
      </c>
      <c r="CZ194" s="59">
        <f t="shared" si="150"/>
        <v>154.43773051601286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</v>
      </c>
      <c r="DG194" s="21">
        <f>EXP(-LN(2)/25)*DG193+(1-EXP(-LN(2)/25))/(LN(2)/25)*Calculateur!DB194*Calculateur!DD194*VLOOKUP('Données projet'!$B$13,Paramètres!$A$1:$I$89,3,0)*0.475*44/12</f>
        <v>0.98355664768280449</v>
      </c>
      <c r="DH194" s="21">
        <f>EXP(-LN(2)/2)*DH193+(1-EXP(-LN(2)/2))/(LN(2)/2)*DB194*DE194*VLOOKUP('Données projet'!$B$13,Paramètres!$A$1:$I$89,3,0)*0.475*44/12</f>
        <v>1.5729227967339495E-14</v>
      </c>
      <c r="DI194" s="22">
        <f t="shared" si="175"/>
        <v>0.98355664768282025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2.8421709430404007E-13</v>
      </c>
      <c r="DP194" s="17">
        <f>DO194*VLOOKUP('Données projet'!$B$14,Paramètres!$A$1:$I$89,3,0)*VLOOKUP('Données projet'!$B$14,Paramètres!$A$1:$I$89,5,0)</f>
        <v>3.2366642699344083E-13</v>
      </c>
      <c r="DQ194" s="13">
        <f t="shared" si="176"/>
        <v>4.2410593646923188E-12</v>
      </c>
      <c r="DR194" s="20">
        <f t="shared" si="177"/>
        <v>7.9502307538526985E-12</v>
      </c>
      <c r="DS194" s="59">
        <f t="shared" si="125"/>
        <v>290.0930563689148</v>
      </c>
      <c r="DT194" s="59">
        <f ca="1">AVERAGE(OFFSET($DS$3,0,0,'Données projet'!$E$14+1,1))-AVERAGE(OFFSET($H$3,0,0,'Données projet'!$E$14+1,1))</f>
        <v>651.35546372812314</v>
      </c>
      <c r="DU194" s="59">
        <f t="shared" si="152"/>
        <v>293.6561676213388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149.55083494087143</v>
      </c>
      <c r="EB194" s="21">
        <f>EXP(-LN(2)/25)*EB193+(1-EXP(-LN(2)/25))/(LN(2)/25)*Calculateur!DW194*Calculateur!DY194*VLOOKUP('Données projet'!$B$14,Paramètres!$A$1:$I$89,3,0)*0.475*44/12</f>
        <v>59.071128491018037</v>
      </c>
      <c r="EC194" s="21">
        <f>EXP(-LN(2)/2)*EC193+(1-EXP(-LN(2)/2))/(LN(2)/2)*DW194*DZ194*VLOOKUP('Données projet'!$B$14,Paramètres!$A$1:$I$89,3,0)*0.475*44/12</f>
        <v>7.7250377798949109E-4</v>
      </c>
      <c r="ED194" s="22">
        <f t="shared" si="178"/>
        <v>208.62273593566746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8.5265128291212022E-14</v>
      </c>
      <c r="EK194" s="17">
        <f>EJ194*VLOOKUP('Données projet'!$B$15,Paramètres!$A$1:$I$89,3,0)*VLOOKUP('Données projet'!$B$15,Paramètres!$A$1:$I$89,5,0)</f>
        <v>8.9119112089974823E-14</v>
      </c>
      <c r="EL194" s="13">
        <f t="shared" si="179"/>
        <v>1.3568952080113142E-12</v>
      </c>
      <c r="EM194" s="20">
        <f t="shared" si="180"/>
        <v>2.5184749408430782E-12</v>
      </c>
      <c r="EN194" s="59">
        <f t="shared" si="128"/>
        <v>290.09305636890934</v>
      </c>
      <c r="EO194" s="59">
        <f ca="1">AVERAGE(OFFSET($EN$3,0,0,'Données projet'!$E$15+1,1))-AVERAGE(OFFSET($H$3,0,0,'Données projet'!$E$15+1,1))</f>
        <v>290.69667785754848</v>
      </c>
      <c r="EP194" s="59">
        <f t="shared" si="154"/>
        <v>256.28124185489082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2.935786406522872</v>
      </c>
      <c r="EW194" s="21">
        <f>EXP(-LN(2)/25)*EW193+(1-EXP(-LN(2)/25))/(LN(2)/25)*Calculateur!ER194*Calculateur!ET194*VLOOKUP('Données projet'!$B$15,Paramètres!$A$1:$I$89,3,0)*0.475*44/12</f>
        <v>3.6454695752733546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6.5812559817962271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7.9580786405131221E-13</v>
      </c>
      <c r="O195" s="13">
        <f>N195*VLOOKUP('Données projet'!$B$9,Paramètres!$A$1:$I$89,3,0)*VLOOKUP('Données projet'!$B$9,Paramètres!$A$1:$I$89,5,0)</f>
        <v>8.0694917414803056E-13</v>
      </c>
      <c r="P195" s="13">
        <f t="shared" si="141"/>
        <v>9.5069530861628001E-12</v>
      </c>
      <c r="Q195" s="20">
        <f t="shared" si="162"/>
        <v>1.7963379770041364E-11</v>
      </c>
      <c r="R195" s="59">
        <f t="shared" ref="R195:R203" si="191">Q195+(I195+J195)*44/12</f>
        <v>290.14926793008362</v>
      </c>
      <c r="S195" s="59">
        <f ca="1">AVERAGE(OFFSET($R$3,0,0,'Données projet'!$E$9+1,1))-AVERAGE(OFFSET($H$3,0,0,'Données projet'!$E$9+1,1))</f>
        <v>752.45542076695506</v>
      </c>
      <c r="T195" s="59">
        <f t="shared" si="142"/>
        <v>329.70629768420724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144.53319768942265</v>
      </c>
      <c r="AA195" s="21">
        <f>EXP(-LN(2)/25)*AA194+(1-EXP(-LN(2)/25))/(LN(2)/25)*Calculateur!V195*Calculateur!X195*VLOOKUP('Données projet'!$B$9,Paramètres!$A$1:$I$89,3,0)*0.475*44/12</f>
        <v>22.477003437995489</v>
      </c>
      <c r="AB195" s="21">
        <f>EXP(-LN(2)/2)*AB194+(1-EXP(-LN(2)/2))/(LN(2)/2)*V195*Y195*VLOOKUP('Données projet'!$B$9,Paramètres!$A$1:$I$89,3,0)*0.475*44/12</f>
        <v>0.52621775756099998</v>
      </c>
      <c r="AC195" s="22">
        <f t="shared" si="163"/>
        <v>167.53641888497913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408.246209980743</v>
      </c>
      <c r="AO195" s="59">
        <f t="shared" si="144"/>
        <v>394.10236303013903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6.2112010299165057</v>
      </c>
      <c r="AV195" s="21">
        <f>EXP(-LN(2)/25)*AV194+(1-EXP(-LN(2)/25))/(LN(2)/25)*Calculateur!AQ195*Calculateur!AS195*VLOOKUP('Données projet'!$B$10,Paramètres!$A$1:$I$89,3,0)*0.475*44/12</f>
        <v>2.525351435988735</v>
      </c>
      <c r="AW195" s="21">
        <f>EXP(-LN(2)/2)*AW194+(1-EXP(-LN(2)/2))/(LN(2)/2)*AQ195*AT195*VLOOKUP('Données projet'!$B$10,Paramètres!$A$1:$I$89,3,0)*0.475*44/12</f>
        <v>9.5119826705988313E-16</v>
      </c>
      <c r="AX195" s="21">
        <f t="shared" si="166"/>
        <v>8.7365524659052429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7.9580786405131221E-13</v>
      </c>
      <c r="BE195" s="13">
        <f>BD195*VLOOKUP('Données projet'!$B$11,Paramètres!$A$1:$I$89,3,0)*VLOOKUP('Données projet'!$B$11,Paramètres!$A$1:$I$89,5,0)</f>
        <v>7.572907634312286E-13</v>
      </c>
      <c r="BF195" s="13">
        <f t="shared" si="167"/>
        <v>8.9881135648416407E-12</v>
      </c>
      <c r="BG195" s="20">
        <f t="shared" si="168"/>
        <v>1.6973245871741914E-11</v>
      </c>
      <c r="BH195" s="59">
        <f t="shared" si="116"/>
        <v>290.14926793008266</v>
      </c>
      <c r="BI195" s="59">
        <f ca="1">AVERAGE(OFFSET($BH$3,0,0,'Données projet'!$E$11+1,1))-AVERAGE(OFFSET($H$3,0,0,'Données projet'!$E$11+1,1))</f>
        <v>711.91538686535682</v>
      </c>
      <c r="BJ195" s="59">
        <f t="shared" si="146"/>
        <v>313.24593837351722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135.63884706238119</v>
      </c>
      <c r="BQ195" s="21">
        <f>EXP(-LN(2)/25)*BQ194+(1-EXP(-LN(2)/25))/(LN(2)/25)*Calculateur!BL195*Calculateur!BN195*VLOOKUP('Données projet'!$B$11,Paramètres!$A$1:$I$89,3,0)*0.475*44/12</f>
        <v>21.09380322642652</v>
      </c>
      <c r="BR195" s="21">
        <f>EXP(-LN(2)/2)*BR194+(1-EXP(-LN(2)/2))/(LN(2)/2)*BL195*BO195*VLOOKUP('Données projet'!$B$11,Paramètres!$A$1:$I$89,3,0)*0.475*44/12</f>
        <v>0.49383512632647719</v>
      </c>
      <c r="BS195" s="22">
        <f t="shared" si="169"/>
        <v>157.22648541513419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7.9580786405131221E-13</v>
      </c>
      <c r="BZ195" s="13">
        <f>BY195*VLOOKUP('Données projet'!$B$12,Paramètres!$A$1:$I$89,3,0)*VLOOKUP('Données projet'!$B$12,Paramètres!$A$1:$I$89,5,0)</f>
        <v>7.2004695539362725E-13</v>
      </c>
      <c r="CA195" s="13">
        <f t="shared" si="170"/>
        <v>8.5963894794935589E-12</v>
      </c>
      <c r="CB195" s="20">
        <f t="shared" si="171"/>
        <v>1.6226126790761848E-11</v>
      </c>
      <c r="CC195" s="59">
        <f t="shared" si="119"/>
        <v>290.14926793008186</v>
      </c>
      <c r="CD195" s="59">
        <f ca="1">AVERAGE(OFFSET($CC$3,0,0,'Données projet'!$E$12+1,1))-AVERAGE(OFFSET($H$3,0,0,'Données projet'!$E$12+1,1))</f>
        <v>681.47578137804555</v>
      </c>
      <c r="CE195" s="59">
        <f t="shared" si="148"/>
        <v>300.88511065995885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128.96808409210021</v>
      </c>
      <c r="CL195" s="21">
        <f>EXP(-LN(2)/25)*CL194+(1-EXP(-LN(2)/25))/(LN(2)/25)*Calculateur!CG195*Calculateur!CI195*VLOOKUP('Données projet'!$B$12,Paramètres!$A$1:$I$89,3,0)*0.475*44/12</f>
        <v>20.056403067749809</v>
      </c>
      <c r="CM195" s="21">
        <f>EXP(-LN(2)/2)*CM194+(1-EXP(-LN(2)/2))/(LN(2)/2)*CG195*CJ195*VLOOKUP('Données projet'!$B$12,Paramètres!$A$1:$I$89,3,0)*0.475*44/12</f>
        <v>0.46954815290058494</v>
      </c>
      <c r="CN195" s="22">
        <f t="shared" si="172"/>
        <v>149.49403531275061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-8.5265128291212022E-14</v>
      </c>
      <c r="CU195" s="17">
        <f>CT195*VLOOKUP('Données projet'!$B$13,Paramètres!$A$1:$I$89,3,0)*VLOOKUP('Données projet'!$B$13,Paramètres!$A$1:$I$89,5,0)</f>
        <v>-6.9167072069831198E-14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186.54446846714993</v>
      </c>
      <c r="CZ195" s="59">
        <f t="shared" si="150"/>
        <v>154.43773051601286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</v>
      </c>
      <c r="DG195" s="21">
        <f>EXP(-LN(2)/25)*DG194+(1-EXP(-LN(2)/25))/(LN(2)/25)*Calculateur!DB195*Calculateur!DD195*VLOOKUP('Données projet'!$B$13,Paramètres!$A$1:$I$89,3,0)*0.475*44/12</f>
        <v>0.95666123942892201</v>
      </c>
      <c r="DH195" s="21">
        <f>EXP(-LN(2)/2)*DH194+(1-EXP(-LN(2)/2))/(LN(2)/2)*DB195*DE195*VLOOKUP('Données projet'!$B$13,Paramètres!$A$1:$I$89,3,0)*0.475*44/12</f>
        <v>1.1122243758534853E-14</v>
      </c>
      <c r="DI195" s="22">
        <f t="shared" si="175"/>
        <v>0.95666123942893311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2.8421709430404007E-13</v>
      </c>
      <c r="DP195" s="17">
        <f>DO195*VLOOKUP('Données projet'!$B$14,Paramètres!$A$1:$I$89,3,0)*VLOOKUP('Données projet'!$B$14,Paramètres!$A$1:$I$89,5,0)</f>
        <v>3.2366642699344083E-13</v>
      </c>
      <c r="DQ195" s="13">
        <f t="shared" si="176"/>
        <v>4.2410593646923188E-12</v>
      </c>
      <c r="DR195" s="20">
        <f t="shared" si="177"/>
        <v>7.9502307538526985E-12</v>
      </c>
      <c r="DS195" s="59">
        <f t="shared" si="125"/>
        <v>290.14926793007362</v>
      </c>
      <c r="DT195" s="59">
        <f ca="1">AVERAGE(OFFSET($DS$3,0,0,'Données projet'!$E$14+1,1))-AVERAGE(OFFSET($H$3,0,0,'Données projet'!$E$14+1,1))</f>
        <v>651.35546372812314</v>
      </c>
      <c r="DU195" s="59">
        <f t="shared" si="152"/>
        <v>293.6561676213388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146.61823428468333</v>
      </c>
      <c r="EB195" s="21">
        <f>EXP(-LN(2)/25)*EB194+(1-EXP(-LN(2)/25))/(LN(2)/25)*Calculateur!DW195*Calculateur!DY195*VLOOKUP('Données projet'!$B$14,Paramètres!$A$1:$I$89,3,0)*0.475*44/12</f>
        <v>57.455825376015511</v>
      </c>
      <c r="EC195" s="21">
        <f>EXP(-LN(2)/2)*EC194+(1-EXP(-LN(2)/2))/(LN(2)/2)*DW195*DZ195*VLOOKUP('Données projet'!$B$14,Paramètres!$A$1:$I$89,3,0)*0.475*44/12</f>
        <v>5.4624265990859636E-4</v>
      </c>
      <c r="ED195" s="22">
        <f t="shared" si="178"/>
        <v>204.07460590335873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8.5265128291212022E-14</v>
      </c>
      <c r="EK195" s="17">
        <f>EJ195*VLOOKUP('Données projet'!$B$15,Paramètres!$A$1:$I$89,3,0)*VLOOKUP('Données projet'!$B$15,Paramètres!$A$1:$I$89,5,0)</f>
        <v>8.9119112089974823E-14</v>
      </c>
      <c r="EL195" s="13">
        <f t="shared" si="179"/>
        <v>1.3568952080113142E-12</v>
      </c>
      <c r="EM195" s="20">
        <f t="shared" si="180"/>
        <v>2.5184749408430782E-12</v>
      </c>
      <c r="EN195" s="59">
        <f t="shared" si="128"/>
        <v>290.14926793006816</v>
      </c>
      <c r="EO195" s="59">
        <f ca="1">AVERAGE(OFFSET($EN$3,0,0,'Données projet'!$E$15+1,1))-AVERAGE(OFFSET($H$3,0,0,'Données projet'!$E$15+1,1))</f>
        <v>290.69667785754848</v>
      </c>
      <c r="EP195" s="59">
        <f t="shared" si="154"/>
        <v>256.28124185489082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2.8782174257438542</v>
      </c>
      <c r="EW195" s="21">
        <f>EXP(-LN(2)/25)*EW194+(1-EXP(-LN(2)/25))/(LN(2)/25)*Calculateur!ER195*Calculateur!ET195*VLOOKUP('Données projet'!$B$15,Paramètres!$A$1:$I$89,3,0)*0.475*44/12</f>
        <v>3.5457840180305915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6.4240014437744453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7.9580786405131221E-13</v>
      </c>
      <c r="O196" s="13">
        <f>N196*VLOOKUP('Données projet'!$B$9,Paramètres!$A$1:$I$89,3,0)*VLOOKUP('Données projet'!$B$9,Paramètres!$A$1:$I$89,5,0)</f>
        <v>8.0694917414803056E-13</v>
      </c>
      <c r="P196" s="13">
        <f t="shared" si="141"/>
        <v>9.5069530861628001E-12</v>
      </c>
      <c r="Q196" s="20">
        <f t="shared" si="162"/>
        <v>1.7963379770041364E-11</v>
      </c>
      <c r="R196" s="59">
        <f t="shared" si="191"/>
        <v>290.20450434632647</v>
      </c>
      <c r="S196" s="59">
        <f ca="1">AVERAGE(OFFSET($R$3,0,0,'Données projet'!$E$9+1,1))-AVERAGE(OFFSET($H$3,0,0,'Données projet'!$E$9+1,1))</f>
        <v>752.45542076695506</v>
      </c>
      <c r="T196" s="59">
        <f t="shared" si="142"/>
        <v>329.70629768420724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141.69898983927894</v>
      </c>
      <c r="AA196" s="21">
        <f>EXP(-LN(2)/25)*AA195+(1-EXP(-LN(2)/25))/(LN(2)/25)*Calculateur!V196*Calculateur!X196*VLOOKUP('Données projet'!$B$9,Paramètres!$A$1:$I$89,3,0)*0.475*44/12</f>
        <v>21.862368596969262</v>
      </c>
      <c r="AB196" s="21">
        <f>EXP(-LN(2)/2)*AB195+(1-EXP(-LN(2)/2))/(LN(2)/2)*V196*Y196*VLOOKUP('Données projet'!$B$9,Paramètres!$A$1:$I$89,3,0)*0.475*44/12</f>
        <v>0.37209214475216174</v>
      </c>
      <c r="AC196" s="22">
        <f t="shared" si="163"/>
        <v>163.93345058100039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408.246209980743</v>
      </c>
      <c r="AO196" s="59">
        <f t="shared" si="144"/>
        <v>394.10236303013903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6.0894031661783918</v>
      </c>
      <c r="AV196" s="21">
        <f>EXP(-LN(2)/25)*AV195+(1-EXP(-LN(2)/25))/(LN(2)/25)*Calculateur!AQ196*Calculateur!AS196*VLOOKUP('Données projet'!$B$10,Paramètres!$A$1:$I$89,3,0)*0.475*44/12</f>
        <v>2.4562955681691627</v>
      </c>
      <c r="AW196" s="21">
        <f>EXP(-LN(2)/2)*AW195+(1-EXP(-LN(2)/2))/(LN(2)/2)*AQ196*AT196*VLOOKUP('Données projet'!$B$10,Paramètres!$A$1:$I$89,3,0)*0.475*44/12</f>
        <v>6.7259874489093599E-16</v>
      </c>
      <c r="AX196" s="21">
        <f t="shared" si="166"/>
        <v>8.545698734347555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7.9580786405131221E-13</v>
      </c>
      <c r="BE196" s="13">
        <f>BD196*VLOOKUP('Données projet'!$B$11,Paramètres!$A$1:$I$89,3,0)*VLOOKUP('Données projet'!$B$11,Paramètres!$A$1:$I$89,5,0)</f>
        <v>7.572907634312286E-13</v>
      </c>
      <c r="BF196" s="13">
        <f t="shared" si="167"/>
        <v>8.9881135648416407E-12</v>
      </c>
      <c r="BG196" s="20">
        <f t="shared" si="168"/>
        <v>1.6973245871741914E-11</v>
      </c>
      <c r="BH196" s="59">
        <f t="shared" ref="BH196:BH203" si="194">BG196+(AY196+AZ196)*44/12</f>
        <v>290.20450434632551</v>
      </c>
      <c r="BI196" s="59">
        <f ca="1">AVERAGE(OFFSET($BH$3,0,0,'Données projet'!$E$11+1,1))-AVERAGE(OFFSET($H$3,0,0,'Données projet'!$E$11+1,1))</f>
        <v>711.91538686535682</v>
      </c>
      <c r="BJ196" s="59">
        <f t="shared" si="146"/>
        <v>313.24593837351722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132.97905200301554</v>
      </c>
      <c r="BQ196" s="21">
        <f>EXP(-LN(2)/25)*BQ195+(1-EXP(-LN(2)/25))/(LN(2)/25)*Calculateur!BL196*Calculateur!BN196*VLOOKUP('Données projet'!$B$11,Paramètres!$A$1:$I$89,3,0)*0.475*44/12</f>
        <v>20.516992067924985</v>
      </c>
      <c r="BR196" s="21">
        <f>EXP(-LN(2)/2)*BR195+(1-EXP(-LN(2)/2))/(LN(2)/2)*BL196*BO196*VLOOKUP('Données projet'!$B$11,Paramètres!$A$1:$I$89,3,0)*0.475*44/12</f>
        <v>0.34919416661356739</v>
      </c>
      <c r="BS196" s="22">
        <f t="shared" si="169"/>
        <v>153.84523823755407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7.9580786405131221E-13</v>
      </c>
      <c r="BZ196" s="13">
        <f>BY196*VLOOKUP('Données projet'!$B$12,Paramètres!$A$1:$I$89,3,0)*VLOOKUP('Données projet'!$B$12,Paramètres!$A$1:$I$89,5,0)</f>
        <v>7.2004695539362725E-13</v>
      </c>
      <c r="CA196" s="13">
        <f t="shared" si="170"/>
        <v>8.5963894794935589E-12</v>
      </c>
      <c r="CB196" s="20">
        <f t="shared" si="171"/>
        <v>1.6226126790761848E-11</v>
      </c>
      <c r="CC196" s="59">
        <f t="shared" ref="CC196:CC203" si="195">CB196+(BT196+BU196)*44/12</f>
        <v>290.20450434632471</v>
      </c>
      <c r="CD196" s="59">
        <f ca="1">AVERAGE(OFFSET($CC$3,0,0,'Données projet'!$E$12+1,1))-AVERAGE(OFFSET($H$3,0,0,'Données projet'!$E$12+1,1))</f>
        <v>681.47578137804555</v>
      </c>
      <c r="CE196" s="59">
        <f t="shared" si="148"/>
        <v>300.88511065995885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126.43909862581812</v>
      </c>
      <c r="CL196" s="21">
        <f>EXP(-LN(2)/25)*CL195+(1-EXP(-LN(2)/25))/(LN(2)/25)*Calculateur!CG196*Calculateur!CI196*VLOOKUP('Données projet'!$B$12,Paramètres!$A$1:$I$89,3,0)*0.475*44/12</f>
        <v>19.507959671141794</v>
      </c>
      <c r="CM196" s="21">
        <f>EXP(-LN(2)/2)*CM195+(1-EXP(-LN(2)/2))/(LN(2)/2)*CG196*CJ196*VLOOKUP('Données projet'!$B$12,Paramètres!$A$1:$I$89,3,0)*0.475*44/12</f>
        <v>0.33202068300962151</v>
      </c>
      <c r="CN196" s="22">
        <f t="shared" si="172"/>
        <v>146.27907897996954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-8.5265128291212022E-14</v>
      </c>
      <c r="CU196" s="17">
        <f>CT196*VLOOKUP('Données projet'!$B$13,Paramètres!$A$1:$I$89,3,0)*VLOOKUP('Données projet'!$B$13,Paramètres!$A$1:$I$89,5,0)</f>
        <v>-6.9167072069831198E-14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186.54446846714993</v>
      </c>
      <c r="CZ196" s="59">
        <f t="shared" si="150"/>
        <v>154.43773051601286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</v>
      </c>
      <c r="DG196" s="21">
        <f>EXP(-LN(2)/25)*DG195+(1-EXP(-LN(2)/25))/(LN(2)/25)*Calculateur!DB196*Calculateur!DD196*VLOOKUP('Données projet'!$B$13,Paramètres!$A$1:$I$89,3,0)*0.475*44/12</f>
        <v>0.93050128752811001</v>
      </c>
      <c r="DH196" s="21">
        <f>EXP(-LN(2)/2)*DH195+(1-EXP(-LN(2)/2))/(LN(2)/2)*DB196*DE196*VLOOKUP('Données projet'!$B$13,Paramètres!$A$1:$I$89,3,0)*0.475*44/12</f>
        <v>7.8646139836697477E-15</v>
      </c>
      <c r="DI196" s="22">
        <f t="shared" si="175"/>
        <v>0.93050128752811789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2.8421709430404007E-13</v>
      </c>
      <c r="DP196" s="17">
        <f>DO196*VLOOKUP('Données projet'!$B$14,Paramètres!$A$1:$I$89,3,0)*VLOOKUP('Données projet'!$B$14,Paramètres!$A$1:$I$89,5,0)</f>
        <v>3.2366642699344083E-13</v>
      </c>
      <c r="DQ196" s="13">
        <f t="shared" si="176"/>
        <v>4.2410593646923188E-12</v>
      </c>
      <c r="DR196" s="20">
        <f t="shared" si="177"/>
        <v>7.9502307538526985E-12</v>
      </c>
      <c r="DS196" s="59">
        <f t="shared" ref="DS196:DS203" si="197">DR196+(DJ196+DK196)*44/12</f>
        <v>290.20450434631647</v>
      </c>
      <c r="DT196" s="59">
        <f ca="1">AVERAGE(OFFSET($DS$3,0,0,'Données projet'!$E$14+1,1))-AVERAGE(OFFSET($H$3,0,0,'Données projet'!$E$14+1,1))</f>
        <v>651.35546372812314</v>
      </c>
      <c r="DU196" s="59">
        <f t="shared" si="152"/>
        <v>293.6561676213388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143.74314013865327</v>
      </c>
      <c r="EB196" s="21">
        <f>EXP(-LN(2)/25)*EB195+(1-EXP(-LN(2)/25))/(LN(2)/25)*Calculateur!DW196*Calculateur!DY196*VLOOKUP('Données projet'!$B$14,Paramètres!$A$1:$I$89,3,0)*0.475*44/12</f>
        <v>55.884692809637826</v>
      </c>
      <c r="EC196" s="21">
        <f>EXP(-LN(2)/2)*EC195+(1-EXP(-LN(2)/2))/(LN(2)/2)*DW196*DZ196*VLOOKUP('Données projet'!$B$14,Paramètres!$A$1:$I$89,3,0)*0.475*44/12</f>
        <v>3.8625188899474555E-4</v>
      </c>
      <c r="ED196" s="22">
        <f t="shared" si="178"/>
        <v>199.62821920018007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8.5265128291212022E-14</v>
      </c>
      <c r="EK196" s="17">
        <f>EJ196*VLOOKUP('Données projet'!$B$15,Paramètres!$A$1:$I$89,3,0)*VLOOKUP('Données projet'!$B$15,Paramètres!$A$1:$I$89,5,0)</f>
        <v>8.9119112089974823E-14</v>
      </c>
      <c r="EL196" s="13">
        <f t="shared" si="179"/>
        <v>1.3568952080113142E-12</v>
      </c>
      <c r="EM196" s="20">
        <f t="shared" si="180"/>
        <v>2.5184749408430782E-12</v>
      </c>
      <c r="EN196" s="59">
        <f t="shared" ref="EN196:EN203" si="198">EM196+(EE196+EF196)*44/12</f>
        <v>290.20450434631101</v>
      </c>
      <c r="EO196" s="59">
        <f ca="1">AVERAGE(OFFSET($EN$3,0,0,'Données projet'!$E$15+1,1))-AVERAGE(OFFSET($H$3,0,0,'Données projet'!$E$15+1,1))</f>
        <v>290.69667785754848</v>
      </c>
      <c r="EP196" s="59">
        <f t="shared" si="154"/>
        <v>256.28124185489082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2.8217773375643018</v>
      </c>
      <c r="EW196" s="21">
        <f>EXP(-LN(2)/25)*EW195+(1-EXP(-LN(2)/25))/(LN(2)/25)*Calculateur!ER196*Calculateur!ET196*VLOOKUP('Données projet'!$B$15,Paramètres!$A$1:$I$89,3,0)*0.475*44/12</f>
        <v>3.4488243675928674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6.2706017051571692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7.9580786405131221E-13</v>
      </c>
      <c r="O197" s="13">
        <f>N197*VLOOKUP('Données projet'!$B$9,Paramètres!$A$1:$I$89,3,0)*VLOOKUP('Données projet'!$B$9,Paramètres!$A$1:$I$89,5,0)</f>
        <v>8.0694917414803056E-13</v>
      </c>
      <c r="P197" s="13">
        <f t="shared" ref="P197:P203" si="203">EXP(-1.0587+0.8836*LN(O197)+0.284)</f>
        <v>9.5069530861628001E-12</v>
      </c>
      <c r="Q197" s="20">
        <f t="shared" si="162"/>
        <v>1.7963379770041364E-11</v>
      </c>
      <c r="R197" s="59">
        <f t="shared" si="191"/>
        <v>290.2587825342377</v>
      </c>
      <c r="S197" s="59">
        <f ca="1">AVERAGE(OFFSET($R$3,0,0,'Données projet'!$E$9+1,1))-AVERAGE(OFFSET($H$3,0,0,'Données projet'!$E$9+1,1))</f>
        <v>752.45542076695506</v>
      </c>
      <c r="T197" s="59">
        <f t="shared" ref="T197:T203" si="204">$T$3</f>
        <v>329.70629768420724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138.92035907638044</v>
      </c>
      <c r="AA197" s="21">
        <f>EXP(-LN(2)/25)*AA196+(1-EXP(-LN(2)/25))/(LN(2)/25)*Calculateur!V197*Calculateur!X197*VLOOKUP('Données projet'!$B$9,Paramètres!$A$1:$I$89,3,0)*0.475*44/12</f>
        <v>21.264540977993139</v>
      </c>
      <c r="AB197" s="21">
        <f>EXP(-LN(2)/2)*AB196+(1-EXP(-LN(2)/2))/(LN(2)/2)*V197*Y197*VLOOKUP('Données projet'!$B$9,Paramètres!$A$1:$I$89,3,0)*0.475*44/12</f>
        <v>0.26310887878049999</v>
      </c>
      <c r="AC197" s="22">
        <f t="shared" si="163"/>
        <v>160.44800893315409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408.246209980743</v>
      </c>
      <c r="AO197" s="59">
        <f t="shared" ref="AO197:AO203" si="205">$AO$3</f>
        <v>394.10236303013903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5.9699936842588208</v>
      </c>
      <c r="AV197" s="21">
        <f>EXP(-LN(2)/25)*AV196+(1-EXP(-LN(2)/25))/(LN(2)/25)*Calculateur!AQ197*Calculateur!AS197*VLOOKUP('Données projet'!$B$10,Paramètres!$A$1:$I$89,3,0)*0.475*44/12</f>
        <v>2.389128036686607</v>
      </c>
      <c r="AW197" s="21">
        <f>EXP(-LN(2)/2)*AW196+(1-EXP(-LN(2)/2))/(LN(2)/2)*AQ197*AT197*VLOOKUP('Données projet'!$B$10,Paramètres!$A$1:$I$89,3,0)*0.475*44/12</f>
        <v>4.7559913352994157E-16</v>
      </c>
      <c r="AX197" s="21">
        <f t="shared" si="166"/>
        <v>8.3591217209454278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7.9580786405131221E-13</v>
      </c>
      <c r="BE197" s="13">
        <f>BD197*VLOOKUP('Données projet'!$B$11,Paramètres!$A$1:$I$89,3,0)*VLOOKUP('Données projet'!$B$11,Paramètres!$A$1:$I$89,5,0)</f>
        <v>7.572907634312286E-13</v>
      </c>
      <c r="BF197" s="13">
        <f t="shared" si="167"/>
        <v>8.9881135648416407E-12</v>
      </c>
      <c r="BG197" s="20">
        <f t="shared" si="168"/>
        <v>1.6973245871741914E-11</v>
      </c>
      <c r="BH197" s="59">
        <f t="shared" si="194"/>
        <v>290.25878253423673</v>
      </c>
      <c r="BI197" s="59">
        <f ca="1">AVERAGE(OFFSET($BH$3,0,0,'Données projet'!$E$11+1,1))-AVERAGE(OFFSET($H$3,0,0,'Données projet'!$E$11+1,1))</f>
        <v>711.91538686535682</v>
      </c>
      <c r="BJ197" s="59">
        <f t="shared" ref="BJ197:BJ203" si="206">$BJ$3</f>
        <v>313.24593837351722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130.37141390244926</v>
      </c>
      <c r="BQ197" s="21">
        <f>EXP(-LN(2)/25)*BQ196+(1-EXP(-LN(2)/25))/(LN(2)/25)*Calculateur!BL197*Calculateur!BN197*VLOOKUP('Données projet'!$B$11,Paramètres!$A$1:$I$89,3,0)*0.475*44/12</f>
        <v>19.955953840885854</v>
      </c>
      <c r="BR197" s="21">
        <f>EXP(-LN(2)/2)*BR196+(1-EXP(-LN(2)/2))/(LN(2)/2)*BL197*BO197*VLOOKUP('Données projet'!$B$11,Paramètres!$A$1:$I$89,3,0)*0.475*44/12</f>
        <v>0.24691756316323862</v>
      </c>
      <c r="BS197" s="22">
        <f t="shared" si="169"/>
        <v>150.57428530649835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7.9580786405131221E-13</v>
      </c>
      <c r="BZ197" s="13">
        <f>BY197*VLOOKUP('Données projet'!$B$12,Paramètres!$A$1:$I$89,3,0)*VLOOKUP('Données projet'!$B$12,Paramètres!$A$1:$I$89,5,0)</f>
        <v>7.2004695539362725E-13</v>
      </c>
      <c r="CA197" s="13">
        <f t="shared" si="170"/>
        <v>8.5963894794935589E-12</v>
      </c>
      <c r="CB197" s="20">
        <f t="shared" si="171"/>
        <v>1.6226126790761848E-11</v>
      </c>
      <c r="CC197" s="59">
        <f t="shared" si="195"/>
        <v>290.25878253423593</v>
      </c>
      <c r="CD197" s="59">
        <f ca="1">AVERAGE(OFFSET($CC$3,0,0,'Données projet'!$E$12+1,1))-AVERAGE(OFFSET($H$3,0,0,'Données projet'!$E$12+1,1))</f>
        <v>681.47578137804555</v>
      </c>
      <c r="CE197" s="59">
        <f t="shared" ref="CE197:CE203" si="207">$CE$3</f>
        <v>300.88511065995885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123.959705022001</v>
      </c>
      <c r="CL197" s="21">
        <f>EXP(-LN(2)/25)*CL196+(1-EXP(-LN(2)/25))/(LN(2)/25)*Calculateur!CG197*Calculateur!CI197*VLOOKUP('Données projet'!$B$12,Paramètres!$A$1:$I$89,3,0)*0.475*44/12</f>
        <v>18.974513488055408</v>
      </c>
      <c r="CM197" s="21">
        <f>EXP(-LN(2)/2)*CM196+(1-EXP(-LN(2)/2))/(LN(2)/2)*CG197*CJ197*VLOOKUP('Données projet'!$B$12,Paramètres!$A$1:$I$89,3,0)*0.475*44/12</f>
        <v>0.2347740764502925</v>
      </c>
      <c r="CN197" s="22">
        <f t="shared" si="172"/>
        <v>143.1689925865067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-8.5265128291212022E-14</v>
      </c>
      <c r="CU197" s="17">
        <f>CT197*VLOOKUP('Données projet'!$B$13,Paramètres!$A$1:$I$89,3,0)*VLOOKUP('Données projet'!$B$13,Paramètres!$A$1:$I$89,5,0)</f>
        <v>-6.9167072069831198E-14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186.54446846714993</v>
      </c>
      <c r="CZ197" s="59">
        <f t="shared" ref="CZ197:CZ203" si="208">$CZ$3</f>
        <v>154.43773051601286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</v>
      </c>
      <c r="DG197" s="21">
        <f>EXP(-LN(2)/25)*DG196+(1-EXP(-LN(2)/25))/(LN(2)/25)*Calculateur!DB197*Calculateur!DD197*VLOOKUP('Données projet'!$B$13,Paramètres!$A$1:$I$89,3,0)*0.475*44/12</f>
        <v>0.90505668088771785</v>
      </c>
      <c r="DH197" s="21">
        <f>EXP(-LN(2)/2)*DH196+(1-EXP(-LN(2)/2))/(LN(2)/2)*DB197*DE197*VLOOKUP('Données projet'!$B$13,Paramètres!$A$1:$I$89,3,0)*0.475*44/12</f>
        <v>5.5611218792674263E-15</v>
      </c>
      <c r="DI197" s="22">
        <f t="shared" si="175"/>
        <v>0.9050566808877234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2.8421709430404007E-13</v>
      </c>
      <c r="DP197" s="17">
        <f>DO197*VLOOKUP('Données projet'!$B$14,Paramètres!$A$1:$I$89,3,0)*VLOOKUP('Données projet'!$B$14,Paramètres!$A$1:$I$89,5,0)</f>
        <v>3.2366642699344083E-13</v>
      </c>
      <c r="DQ197" s="13">
        <f t="shared" si="176"/>
        <v>4.2410593646923188E-12</v>
      </c>
      <c r="DR197" s="20">
        <f t="shared" si="177"/>
        <v>7.9502307538526985E-12</v>
      </c>
      <c r="DS197" s="59">
        <f t="shared" si="197"/>
        <v>290.25878253422769</v>
      </c>
      <c r="DT197" s="59">
        <f ca="1">AVERAGE(OFFSET($DS$3,0,0,'Données projet'!$E$14+1,1))-AVERAGE(OFFSET($H$3,0,0,'Données projet'!$E$14+1,1))</f>
        <v>651.35546372812314</v>
      </c>
      <c r="DU197" s="59">
        <f t="shared" ref="DU197:DU203" si="209">$DU$3</f>
        <v>293.6561676213388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140.92442483519261</v>
      </c>
      <c r="EB197" s="21">
        <f>EXP(-LN(2)/25)*EB196+(1-EXP(-LN(2)/25))/(LN(2)/25)*Calculateur!DW197*Calculateur!DY197*VLOOKUP('Données projet'!$B$14,Paramètres!$A$1:$I$89,3,0)*0.475*44/12</f>
        <v>54.356522945910008</v>
      </c>
      <c r="EC197" s="21">
        <f>EXP(-LN(2)/2)*EC196+(1-EXP(-LN(2)/2))/(LN(2)/2)*DW197*DZ197*VLOOKUP('Données projet'!$B$14,Paramètres!$A$1:$I$89,3,0)*0.475*44/12</f>
        <v>2.7312132995429818E-4</v>
      </c>
      <c r="ED197" s="22">
        <f t="shared" si="178"/>
        <v>195.28122090243258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8.5265128291212022E-14</v>
      </c>
      <c r="EK197" s="17">
        <f>EJ197*VLOOKUP('Données projet'!$B$15,Paramètres!$A$1:$I$89,3,0)*VLOOKUP('Données projet'!$B$15,Paramètres!$A$1:$I$89,5,0)</f>
        <v>8.9119112089974823E-14</v>
      </c>
      <c r="EL197" s="13">
        <f t="shared" si="179"/>
        <v>1.3568952080113142E-12</v>
      </c>
      <c r="EM197" s="20">
        <f t="shared" si="180"/>
        <v>2.5184749408430782E-12</v>
      </c>
      <c r="EN197" s="59">
        <f t="shared" si="198"/>
        <v>290.25878253422223</v>
      </c>
      <c r="EO197" s="59">
        <f ca="1">AVERAGE(OFFSET($EN$3,0,0,'Données projet'!$E$15+1,1))-AVERAGE(OFFSET($H$3,0,0,'Données projet'!$E$15+1,1))</f>
        <v>290.69667785754848</v>
      </c>
      <c r="EP197" s="59">
        <f t="shared" ref="EP197:EP203" si="210">$EP$3</f>
        <v>256.28124185489082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2.7664440050888959</v>
      </c>
      <c r="EW197" s="21">
        <f>EXP(-LN(2)/25)*EW196+(1-EXP(-LN(2)/25))/(LN(2)/25)*Calculateur!ER197*Calculateur!ET197*VLOOKUP('Données projet'!$B$15,Paramètres!$A$1:$I$89,3,0)*0.475*44/12</f>
        <v>3.3545160838952492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6.1209600889841447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7.9580786405131221E-13</v>
      </c>
      <c r="O198" s="13">
        <f>N198*VLOOKUP('Données projet'!$B$9,Paramètres!$A$1:$I$89,3,0)*VLOOKUP('Données projet'!$B$9,Paramètres!$A$1:$I$89,5,0)</f>
        <v>8.0694917414803056E-13</v>
      </c>
      <c r="P198" s="13">
        <f t="shared" si="203"/>
        <v>9.5069530861628001E-12</v>
      </c>
      <c r="Q198" s="20">
        <f t="shared" si="162"/>
        <v>1.7963379770041364E-11</v>
      </c>
      <c r="R198" s="59">
        <f t="shared" si="191"/>
        <v>290.31211911693646</v>
      </c>
      <c r="S198" s="59">
        <f ca="1">AVERAGE(OFFSET($R$3,0,0,'Données projet'!$E$9+1,1))-AVERAGE(OFFSET($H$3,0,0,'Données projet'!$E$9+1,1))</f>
        <v>752.45542076695506</v>
      </c>
      <c r="T198" s="59">
        <f t="shared" si="204"/>
        <v>329.70629768420724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136.19621556794496</v>
      </c>
      <c r="AA198" s="21">
        <f>EXP(-LN(2)/25)*AA197+(1-EXP(-LN(2)/25))/(LN(2)/25)*Calculateur!V198*Calculateur!X198*VLOOKUP('Données projet'!$B$9,Paramètres!$A$1:$I$89,3,0)*0.475*44/12</f>
        <v>20.683060986696308</v>
      </c>
      <c r="AB198" s="21">
        <f>EXP(-LN(2)/2)*AB197+(1-EXP(-LN(2)/2))/(LN(2)/2)*V198*Y198*VLOOKUP('Données projet'!$B$9,Paramètres!$A$1:$I$89,3,0)*0.475*44/12</f>
        <v>0.18604607237608087</v>
      </c>
      <c r="AC198" s="22">
        <f t="shared" si="163"/>
        <v>157.06532262701737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408.246209980743</v>
      </c>
      <c r="AO198" s="59">
        <f t="shared" si="205"/>
        <v>394.10236303013903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5.8529257494471008</v>
      </c>
      <c r="AV198" s="21">
        <f>EXP(-LN(2)/25)*AV197+(1-EXP(-LN(2)/25))/(LN(2)/25)*Calculateur!AQ198*Calculateur!AS198*VLOOKUP('Données projet'!$B$10,Paramètres!$A$1:$I$89,3,0)*0.475*44/12</f>
        <v>2.3237972048846287</v>
      </c>
      <c r="AW198" s="21">
        <f>EXP(-LN(2)/2)*AW197+(1-EXP(-LN(2)/2))/(LN(2)/2)*AQ198*AT198*VLOOKUP('Données projet'!$B$10,Paramètres!$A$1:$I$89,3,0)*0.475*44/12</f>
        <v>3.3629937244546799E-16</v>
      </c>
      <c r="AX198" s="21">
        <f t="shared" si="166"/>
        <v>8.1767229543317299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7.9580786405131221E-13</v>
      </c>
      <c r="BE198" s="13">
        <f>BD198*VLOOKUP('Données projet'!$B$11,Paramètres!$A$1:$I$89,3,0)*VLOOKUP('Données projet'!$B$11,Paramètres!$A$1:$I$89,5,0)</f>
        <v>7.572907634312286E-13</v>
      </c>
      <c r="BF198" s="13">
        <f t="shared" si="167"/>
        <v>8.9881135648416407E-12</v>
      </c>
      <c r="BG198" s="20">
        <f t="shared" si="168"/>
        <v>1.6973245871741914E-11</v>
      </c>
      <c r="BH198" s="59">
        <f t="shared" si="194"/>
        <v>290.31211911693549</v>
      </c>
      <c r="BI198" s="59">
        <f ca="1">AVERAGE(OFFSET($BH$3,0,0,'Données projet'!$E$11+1,1))-AVERAGE(OFFSET($H$3,0,0,'Données projet'!$E$11+1,1))</f>
        <v>711.91538686535682</v>
      </c>
      <c r="BJ198" s="59">
        <f t="shared" si="206"/>
        <v>313.24593837351722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127.8149099945329</v>
      </c>
      <c r="BQ198" s="21">
        <f>EXP(-LN(2)/25)*BQ197+(1-EXP(-LN(2)/25))/(LN(2)/25)*Calculateur!BL198*Calculateur!BN198*VLOOKUP('Données projet'!$B$11,Paramètres!$A$1:$I$89,3,0)*0.475*44/12</f>
        <v>19.41025723366883</v>
      </c>
      <c r="BR198" s="21">
        <f>EXP(-LN(2)/2)*BR197+(1-EXP(-LN(2)/2))/(LN(2)/2)*BL198*BO198*VLOOKUP('Données projet'!$B$11,Paramètres!$A$1:$I$89,3,0)*0.475*44/12</f>
        <v>0.17459708330678372</v>
      </c>
      <c r="BS198" s="22">
        <f t="shared" si="169"/>
        <v>147.39976431150851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7.9580786405131221E-13</v>
      </c>
      <c r="BZ198" s="13">
        <f>BY198*VLOOKUP('Données projet'!$B$12,Paramètres!$A$1:$I$89,3,0)*VLOOKUP('Données projet'!$B$12,Paramètres!$A$1:$I$89,5,0)</f>
        <v>7.2004695539362725E-13</v>
      </c>
      <c r="CA198" s="13">
        <f t="shared" si="170"/>
        <v>8.5963894794935589E-12</v>
      </c>
      <c r="CB198" s="20">
        <f t="shared" si="171"/>
        <v>1.6226126790761848E-11</v>
      </c>
      <c r="CC198" s="59">
        <f t="shared" si="195"/>
        <v>290.3121191169347</v>
      </c>
      <c r="CD198" s="59">
        <f ca="1">AVERAGE(OFFSET($CC$3,0,0,'Données projet'!$E$12+1,1))-AVERAGE(OFFSET($H$3,0,0,'Données projet'!$E$12+1,1))</f>
        <v>681.47578137804555</v>
      </c>
      <c r="CE198" s="59">
        <f t="shared" si="207"/>
        <v>300.88511065995885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121.52893081447397</v>
      </c>
      <c r="CL198" s="21">
        <f>EXP(-LN(2)/25)*CL197+(1-EXP(-LN(2)/25))/(LN(2)/25)*Calculateur!CG198*Calculateur!CI198*VLOOKUP('Données projet'!$B$12,Paramètres!$A$1:$I$89,3,0)*0.475*44/12</f>
        <v>18.455654418898234</v>
      </c>
      <c r="CM198" s="21">
        <f>EXP(-LN(2)/2)*CM197+(1-EXP(-LN(2)/2))/(LN(2)/2)*CG198*CJ198*VLOOKUP('Données projet'!$B$12,Paramètres!$A$1:$I$89,3,0)*0.475*44/12</f>
        <v>0.16601034150481075</v>
      </c>
      <c r="CN198" s="22">
        <f t="shared" si="172"/>
        <v>140.150595574877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-8.5265128291212022E-14</v>
      </c>
      <c r="CU198" s="17">
        <f>CT198*VLOOKUP('Données projet'!$B$13,Paramètres!$A$1:$I$89,3,0)*VLOOKUP('Données projet'!$B$13,Paramètres!$A$1:$I$89,5,0)</f>
        <v>-6.9167072069831198E-14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186.54446846714993</v>
      </c>
      <c r="CZ198" s="59">
        <f t="shared" si="208"/>
        <v>154.43773051601286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</v>
      </c>
      <c r="DG198" s="21">
        <f>EXP(-LN(2)/25)*DG197+(1-EXP(-LN(2)/25))/(LN(2)/25)*Calculateur!DB198*Calculateur!DD198*VLOOKUP('Données projet'!$B$13,Paramètres!$A$1:$I$89,3,0)*0.475*44/12</f>
        <v>0.88030785835398084</v>
      </c>
      <c r="DH198" s="21">
        <f>EXP(-LN(2)/2)*DH197+(1-EXP(-LN(2)/2))/(LN(2)/2)*DB198*DE198*VLOOKUP('Données projet'!$B$13,Paramètres!$A$1:$I$89,3,0)*0.475*44/12</f>
        <v>3.9323069918348738E-15</v>
      </c>
      <c r="DI198" s="22">
        <f t="shared" si="175"/>
        <v>0.88030785835398473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2.8421709430404007E-13</v>
      </c>
      <c r="DP198" s="17">
        <f>DO198*VLOOKUP('Données projet'!$B$14,Paramètres!$A$1:$I$89,3,0)*VLOOKUP('Données projet'!$B$14,Paramètres!$A$1:$I$89,5,0)</f>
        <v>3.2366642699344083E-13</v>
      </c>
      <c r="DQ198" s="13">
        <f t="shared" si="176"/>
        <v>4.2410593646923188E-12</v>
      </c>
      <c r="DR198" s="20">
        <f t="shared" si="177"/>
        <v>7.9502307538526985E-12</v>
      </c>
      <c r="DS198" s="59">
        <f t="shared" si="197"/>
        <v>290.31211911692645</v>
      </c>
      <c r="DT198" s="59">
        <f ca="1">AVERAGE(OFFSET($DS$3,0,0,'Données projet'!$E$14+1,1))-AVERAGE(OFFSET($H$3,0,0,'Données projet'!$E$14+1,1))</f>
        <v>651.35546372812314</v>
      </c>
      <c r="DU198" s="59">
        <f t="shared" si="209"/>
        <v>293.6561676213388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138.16098281958625</v>
      </c>
      <c r="EB198" s="21">
        <f>EXP(-LN(2)/25)*EB197+(1-EXP(-LN(2)/25))/(LN(2)/25)*Calculateur!DW198*Calculateur!DY198*VLOOKUP('Données projet'!$B$14,Paramètres!$A$1:$I$89,3,0)*0.475*44/12</f>
        <v>52.870140967468792</v>
      </c>
      <c r="EC198" s="21">
        <f>EXP(-LN(2)/2)*EC197+(1-EXP(-LN(2)/2))/(LN(2)/2)*DW198*DZ198*VLOOKUP('Données projet'!$B$14,Paramètres!$A$1:$I$89,3,0)*0.475*44/12</f>
        <v>1.9312594449737277E-4</v>
      </c>
      <c r="ED198" s="22">
        <f t="shared" si="178"/>
        <v>191.03131691299953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8.5265128291212022E-14</v>
      </c>
      <c r="EK198" s="17">
        <f>EJ198*VLOOKUP('Données projet'!$B$15,Paramètres!$A$1:$I$89,3,0)*VLOOKUP('Données projet'!$B$15,Paramètres!$A$1:$I$89,5,0)</f>
        <v>8.9119112089974823E-14</v>
      </c>
      <c r="EL198" s="13">
        <f t="shared" si="179"/>
        <v>1.3568952080113142E-12</v>
      </c>
      <c r="EM198" s="20">
        <f t="shared" si="180"/>
        <v>2.5184749408430782E-12</v>
      </c>
      <c r="EN198" s="59">
        <f t="shared" si="198"/>
        <v>290.312119116921</v>
      </c>
      <c r="EO198" s="59">
        <f ca="1">AVERAGE(OFFSET($EN$3,0,0,'Données projet'!$E$15+1,1))-AVERAGE(OFFSET($H$3,0,0,'Données projet'!$E$15+1,1))</f>
        <v>290.69667785754848</v>
      </c>
      <c r="EP198" s="59">
        <f t="shared" si="210"/>
        <v>256.28124185489082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2.7121957255133324</v>
      </c>
      <c r="EW198" s="21">
        <f>EXP(-LN(2)/25)*EW197+(1-EXP(-LN(2)/25))/(LN(2)/25)*Calculateur!ER198*Calculateur!ET198*VLOOKUP('Données projet'!$B$15,Paramètres!$A$1:$I$89,3,0)*0.475*44/12</f>
        <v>3.2627866651747999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5.9749823906881323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7.9580786405131221E-13</v>
      </c>
      <c r="O199" s="13">
        <f>N199*VLOOKUP('Données projet'!$B$9,Paramètres!$A$1:$I$89,3,0)*VLOOKUP('Données projet'!$B$9,Paramètres!$A$1:$I$89,5,0)</f>
        <v>8.0694917414803056E-13</v>
      </c>
      <c r="P199" s="13">
        <f t="shared" si="203"/>
        <v>9.5069530861628001E-12</v>
      </c>
      <c r="Q199" s="20">
        <f t="shared" si="162"/>
        <v>1.7963379770041364E-11</v>
      </c>
      <c r="R199" s="59">
        <f t="shared" si="191"/>
        <v>290.36453042916816</v>
      </c>
      <c r="S199" s="59">
        <f ca="1">AVERAGE(OFFSET($R$3,0,0,'Données projet'!$E$9+1,1))-AVERAGE(OFFSET($H$3,0,0,'Données projet'!$E$9+1,1))</f>
        <v>752.45542076695506</v>
      </c>
      <c r="T199" s="59">
        <f t="shared" si="204"/>
        <v>329.70629768420724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133.52549085214642</v>
      </c>
      <c r="AA199" s="21">
        <f>EXP(-LN(2)/25)*AA198+(1-EXP(-LN(2)/25))/(LN(2)/25)*Calculateur!V199*Calculateur!X199*VLOOKUP('Données projet'!$B$9,Paramètres!$A$1:$I$89,3,0)*0.475*44/12</f>
        <v>20.117481596340191</v>
      </c>
      <c r="AB199" s="21">
        <f>EXP(-LN(2)/2)*AB198+(1-EXP(-LN(2)/2))/(LN(2)/2)*V199*Y199*VLOOKUP('Données projet'!$B$9,Paramètres!$A$1:$I$89,3,0)*0.475*44/12</f>
        <v>0.13155443939024999</v>
      </c>
      <c r="AC199" s="22">
        <f t="shared" si="163"/>
        <v>153.77452688787685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408.246209980743</v>
      </c>
      <c r="AO199" s="59">
        <f t="shared" si="205"/>
        <v>394.10236303013903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5.7381534454326486</v>
      </c>
      <c r="AV199" s="21">
        <f>EXP(-LN(2)/25)*AV198+(1-EXP(-LN(2)/25))/(LN(2)/25)*Calculateur!AQ199*Calculateur!AS199*VLOOKUP('Données projet'!$B$10,Paramètres!$A$1:$I$89,3,0)*0.475*44/12</f>
        <v>2.2602528481138746</v>
      </c>
      <c r="AW199" s="21">
        <f>EXP(-LN(2)/2)*AW198+(1-EXP(-LN(2)/2))/(LN(2)/2)*AQ199*AT199*VLOOKUP('Données projet'!$B$10,Paramètres!$A$1:$I$89,3,0)*0.475*44/12</f>
        <v>2.3779956676497078E-16</v>
      </c>
      <c r="AX199" s="21">
        <f t="shared" si="166"/>
        <v>7.9984062935465232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7.9580786405131221E-13</v>
      </c>
      <c r="BE199" s="13">
        <f>BD199*VLOOKUP('Données projet'!$B$11,Paramètres!$A$1:$I$89,3,0)*VLOOKUP('Données projet'!$B$11,Paramètres!$A$1:$I$89,5,0)</f>
        <v>7.572907634312286E-13</v>
      </c>
      <c r="BF199" s="13">
        <f t="shared" si="167"/>
        <v>8.9881135648416407E-12</v>
      </c>
      <c r="BG199" s="20">
        <f t="shared" si="168"/>
        <v>1.6973245871741914E-11</v>
      </c>
      <c r="BH199" s="59">
        <f t="shared" si="194"/>
        <v>290.36453042916719</v>
      </c>
      <c r="BI199" s="59">
        <f ca="1">AVERAGE(OFFSET($BH$3,0,0,'Données projet'!$E$11+1,1))-AVERAGE(OFFSET($H$3,0,0,'Données projet'!$E$11+1,1))</f>
        <v>711.91538686535682</v>
      </c>
      <c r="BJ199" s="59">
        <f t="shared" si="206"/>
        <v>313.24593837351722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125.30853756893735</v>
      </c>
      <c r="BQ199" s="21">
        <f>EXP(-LN(2)/25)*BQ198+(1-EXP(-LN(2)/25))/(LN(2)/25)*Calculateur!BL199*Calculateur!BN199*VLOOKUP('Données projet'!$B$11,Paramètres!$A$1:$I$89,3,0)*0.475*44/12</f>
        <v>18.879482728873089</v>
      </c>
      <c r="BR199" s="21">
        <f>EXP(-LN(2)/2)*BR198+(1-EXP(-LN(2)/2))/(LN(2)/2)*BL199*BO199*VLOOKUP('Données projet'!$B$11,Paramètres!$A$1:$I$89,3,0)*0.475*44/12</f>
        <v>0.12345878158161934</v>
      </c>
      <c r="BS199" s="22">
        <f t="shared" si="169"/>
        <v>144.31147907939209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7.9580786405131221E-13</v>
      </c>
      <c r="BZ199" s="13">
        <f>BY199*VLOOKUP('Données projet'!$B$12,Paramètres!$A$1:$I$89,3,0)*VLOOKUP('Données projet'!$B$12,Paramètres!$A$1:$I$89,5,0)</f>
        <v>7.2004695539362725E-13</v>
      </c>
      <c r="CA199" s="13">
        <f t="shared" si="170"/>
        <v>8.5963894794935589E-12</v>
      </c>
      <c r="CB199" s="20">
        <f t="shared" si="171"/>
        <v>1.6226126790761848E-11</v>
      </c>
      <c r="CC199" s="59">
        <f t="shared" si="195"/>
        <v>290.36453042916639</v>
      </c>
      <c r="CD199" s="59">
        <f ca="1">AVERAGE(OFFSET($CC$3,0,0,'Données projet'!$E$12+1,1))-AVERAGE(OFFSET($H$3,0,0,'Données projet'!$E$12+1,1))</f>
        <v>681.47578137804555</v>
      </c>
      <c r="CE199" s="59">
        <f t="shared" si="207"/>
        <v>300.88511065995885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119.14582260653066</v>
      </c>
      <c r="CL199" s="21">
        <f>EXP(-LN(2)/25)*CL198+(1-EXP(-LN(2)/25))/(LN(2)/25)*Calculateur!CG199*Calculateur!CI199*VLOOKUP('Données projet'!$B$12,Paramètres!$A$1:$I$89,3,0)*0.475*44/12</f>
        <v>17.950983578272776</v>
      </c>
      <c r="CM199" s="21">
        <f>EXP(-LN(2)/2)*CM198+(1-EXP(-LN(2)/2))/(LN(2)/2)*CG199*CJ199*VLOOKUP('Données projet'!$B$12,Paramètres!$A$1:$I$89,3,0)*0.475*44/12</f>
        <v>0.11738703822514625</v>
      </c>
      <c r="CN199" s="22">
        <f t="shared" si="172"/>
        <v>137.21419322302856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-8.5265128291212022E-14</v>
      </c>
      <c r="CU199" s="17">
        <f>CT199*VLOOKUP('Données projet'!$B$13,Paramètres!$A$1:$I$89,3,0)*VLOOKUP('Données projet'!$B$13,Paramètres!$A$1:$I$89,5,0)</f>
        <v>-6.9167072069831198E-14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186.54446846714993</v>
      </c>
      <c r="CZ199" s="59">
        <f t="shared" si="208"/>
        <v>154.43773051601286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</v>
      </c>
      <c r="DG199" s="21">
        <f>EXP(-LN(2)/25)*DG198+(1-EXP(-LN(2)/25))/(LN(2)/25)*Calculateur!DB199*Calculateur!DD199*VLOOKUP('Données projet'!$B$13,Paramètres!$A$1:$I$89,3,0)*0.475*44/12</f>
        <v>0.85623579367391289</v>
      </c>
      <c r="DH199" s="21">
        <f>EXP(-LN(2)/2)*DH198+(1-EXP(-LN(2)/2))/(LN(2)/2)*DB199*DE199*VLOOKUP('Données projet'!$B$13,Paramètres!$A$1:$I$89,3,0)*0.475*44/12</f>
        <v>2.7805609396337131E-15</v>
      </c>
      <c r="DI199" s="22">
        <f t="shared" si="175"/>
        <v>0.85623579367391567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2.8421709430404007E-13</v>
      </c>
      <c r="DP199" s="17">
        <f>DO199*VLOOKUP('Données projet'!$B$14,Paramètres!$A$1:$I$89,3,0)*VLOOKUP('Données projet'!$B$14,Paramètres!$A$1:$I$89,5,0)</f>
        <v>3.2366642699344083E-13</v>
      </c>
      <c r="DQ199" s="13">
        <f t="shared" si="176"/>
        <v>4.2410593646923188E-12</v>
      </c>
      <c r="DR199" s="20">
        <f t="shared" si="177"/>
        <v>7.9502307538526985E-12</v>
      </c>
      <c r="DS199" s="59">
        <f t="shared" si="197"/>
        <v>290.36453042915815</v>
      </c>
      <c r="DT199" s="59">
        <f ca="1">AVERAGE(OFFSET($DS$3,0,0,'Données projet'!$E$14+1,1))-AVERAGE(OFFSET($H$3,0,0,'Données projet'!$E$14+1,1))</f>
        <v>651.35546372812314</v>
      </c>
      <c r="DU199" s="59">
        <f t="shared" si="209"/>
        <v>293.6561676213388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135.45173021637274</v>
      </c>
      <c r="EB199" s="21">
        <f>EXP(-LN(2)/25)*EB198+(1-EXP(-LN(2)/25))/(LN(2)/25)*Calculateur!DW199*Calculateur!DY199*VLOOKUP('Données projet'!$B$14,Paramètres!$A$1:$I$89,3,0)*0.475*44/12</f>
        <v>51.424404182393481</v>
      </c>
      <c r="EC199" s="21">
        <f>EXP(-LN(2)/2)*EC198+(1-EXP(-LN(2)/2))/(LN(2)/2)*DW199*DZ199*VLOOKUP('Données projet'!$B$14,Paramètres!$A$1:$I$89,3,0)*0.475*44/12</f>
        <v>1.3656066497714909E-4</v>
      </c>
      <c r="ED199" s="22">
        <f t="shared" si="178"/>
        <v>186.8762709594312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8.5265128291212022E-14</v>
      </c>
      <c r="EK199" s="17">
        <f>EJ199*VLOOKUP('Données projet'!$B$15,Paramètres!$A$1:$I$89,3,0)*VLOOKUP('Données projet'!$B$15,Paramètres!$A$1:$I$89,5,0)</f>
        <v>8.9119112089974823E-14</v>
      </c>
      <c r="EL199" s="13">
        <f t="shared" si="179"/>
        <v>1.3568952080113142E-12</v>
      </c>
      <c r="EM199" s="20">
        <f t="shared" si="180"/>
        <v>2.5184749408430782E-12</v>
      </c>
      <c r="EN199" s="59">
        <f t="shared" si="198"/>
        <v>290.36453042915269</v>
      </c>
      <c r="EO199" s="59">
        <f ca="1">AVERAGE(OFFSET($EN$3,0,0,'Données projet'!$E$15+1,1))-AVERAGE(OFFSET($H$3,0,0,'Données projet'!$E$15+1,1))</f>
        <v>290.69667785754848</v>
      </c>
      <c r="EP199" s="59">
        <f t="shared" si="210"/>
        <v>256.28124185489082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2.6590112216120625</v>
      </c>
      <c r="EW199" s="21">
        <f>EXP(-LN(2)/25)*EW198+(1-EXP(-LN(2)/25))/(LN(2)/25)*Calculateur!ER199*Calculateur!ET199*VLOOKUP('Données projet'!$B$15,Paramètres!$A$1:$I$89,3,0)*0.475*44/12</f>
        <v>3.1735655922331016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5.8325768138451641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7.9580786405131221E-13</v>
      </c>
      <c r="O200" s="13">
        <f>N200*VLOOKUP('Données projet'!$B$9,Paramètres!$A$1:$I$89,3,0)*VLOOKUP('Données projet'!$B$9,Paramètres!$A$1:$I$89,5,0)</f>
        <v>8.0694917414803056E-13</v>
      </c>
      <c r="P200" s="13">
        <f t="shared" si="203"/>
        <v>9.5069530861628001E-12</v>
      </c>
      <c r="Q200" s="20">
        <f t="shared" si="162"/>
        <v>1.7963379770041364E-11</v>
      </c>
      <c r="R200" s="59">
        <f t="shared" si="191"/>
        <v>290.41603252230675</v>
      </c>
      <c r="S200" s="59">
        <f ca="1">AVERAGE(OFFSET($R$3,0,0,'Données projet'!$E$9+1,1))-AVERAGE(OFFSET($H$3,0,0,'Données projet'!$E$9+1,1))</f>
        <v>752.45542076695506</v>
      </c>
      <c r="T200" s="59">
        <f t="shared" si="204"/>
        <v>329.70629768420724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130.90713741904347</v>
      </c>
      <c r="AA200" s="21">
        <f>EXP(-LN(2)/25)*AA199+(1-EXP(-LN(2)/25))/(LN(2)/25)*Calculateur!V200*Calculateur!X200*VLOOKUP('Données projet'!$B$9,Paramètres!$A$1:$I$89,3,0)*0.475*44/12</f>
        <v>19.567368004155892</v>
      </c>
      <c r="AB200" s="21">
        <f>EXP(-LN(2)/2)*AB199+(1-EXP(-LN(2)/2))/(LN(2)/2)*V200*Y200*VLOOKUP('Données projet'!$B$9,Paramètres!$A$1:$I$89,3,0)*0.475*44/12</f>
        <v>9.3023036188040434E-2</v>
      </c>
      <c r="AC200" s="22">
        <f t="shared" si="163"/>
        <v>150.5675284593874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408.246209980743</v>
      </c>
      <c r="AO200" s="59">
        <f t="shared" si="205"/>
        <v>394.10236303013903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5.6256317562957268</v>
      </c>
      <c r="AV200" s="21">
        <f>EXP(-LN(2)/25)*AV199+(1-EXP(-LN(2)/25))/(LN(2)/25)*Calculateur!AQ200*Calculateur!AS200*VLOOKUP('Données projet'!$B$10,Paramètres!$A$1:$I$89,3,0)*0.475*44/12</f>
        <v>2.1984461151206691</v>
      </c>
      <c r="AW200" s="21">
        <f>EXP(-LN(2)/2)*AW199+(1-EXP(-LN(2)/2))/(LN(2)/2)*AQ200*AT200*VLOOKUP('Données projet'!$B$10,Paramètres!$A$1:$I$89,3,0)*0.475*44/12</f>
        <v>1.68149686222734E-16</v>
      </c>
      <c r="AX200" s="21">
        <f t="shared" si="166"/>
        <v>7.8240778714163959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7.9580786405131221E-13</v>
      </c>
      <c r="BE200" s="13">
        <f>BD200*VLOOKUP('Données projet'!$B$11,Paramètres!$A$1:$I$89,3,0)*VLOOKUP('Données projet'!$B$11,Paramètres!$A$1:$I$89,5,0)</f>
        <v>7.572907634312286E-13</v>
      </c>
      <c r="BF200" s="13">
        <f t="shared" si="167"/>
        <v>8.9881135648416407E-12</v>
      </c>
      <c r="BG200" s="20">
        <f t="shared" si="168"/>
        <v>1.6973245871741914E-11</v>
      </c>
      <c r="BH200" s="59">
        <f t="shared" si="194"/>
        <v>290.41603252230578</v>
      </c>
      <c r="BI200" s="59">
        <f ca="1">AVERAGE(OFFSET($BH$3,0,0,'Données projet'!$E$11+1,1))-AVERAGE(OFFSET($H$3,0,0,'Données projet'!$E$11+1,1))</f>
        <v>711.91538686535682</v>
      </c>
      <c r="BJ200" s="59">
        <f t="shared" si="206"/>
        <v>313.24593837351722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122.85131357787151</v>
      </c>
      <c r="BQ200" s="21">
        <f>EXP(-LN(2)/25)*BQ199+(1-EXP(-LN(2)/25))/(LN(2)/25)*Calculateur!BL200*Calculateur!BN200*VLOOKUP('Données projet'!$B$11,Paramètres!$A$1:$I$89,3,0)*0.475*44/12</f>
        <v>18.363222280823209</v>
      </c>
      <c r="BR200" s="21">
        <f>EXP(-LN(2)/2)*BR199+(1-EXP(-LN(2)/2))/(LN(2)/2)*BL200*BO200*VLOOKUP('Données projet'!$B$11,Paramètres!$A$1:$I$89,3,0)*0.475*44/12</f>
        <v>8.7298541653391876E-2</v>
      </c>
      <c r="BS200" s="22">
        <f t="shared" si="169"/>
        <v>141.3018344003481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7.9580786405131221E-13</v>
      </c>
      <c r="BZ200" s="13">
        <f>BY200*VLOOKUP('Données projet'!$B$12,Paramètres!$A$1:$I$89,3,0)*VLOOKUP('Données projet'!$B$12,Paramètres!$A$1:$I$89,5,0)</f>
        <v>7.2004695539362725E-13</v>
      </c>
      <c r="CA200" s="13">
        <f t="shared" si="170"/>
        <v>8.5963894794935589E-12</v>
      </c>
      <c r="CB200" s="20">
        <f t="shared" si="171"/>
        <v>1.6226126790761848E-11</v>
      </c>
      <c r="CC200" s="59">
        <f t="shared" si="195"/>
        <v>290.41603252230499</v>
      </c>
      <c r="CD200" s="59">
        <f ca="1">AVERAGE(OFFSET($CC$3,0,0,'Données projet'!$E$12+1,1))-AVERAGE(OFFSET($H$3,0,0,'Données projet'!$E$12+1,1))</f>
        <v>681.47578137804555</v>
      </c>
      <c r="CE200" s="59">
        <f t="shared" si="207"/>
        <v>300.88511065995885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116.80944569699264</v>
      </c>
      <c r="CL200" s="21">
        <f>EXP(-LN(2)/25)*CL199+(1-EXP(-LN(2)/25))/(LN(2)/25)*Calculateur!CG200*Calculateur!CI200*VLOOKUP('Données projet'!$B$12,Paramètres!$A$1:$I$89,3,0)*0.475*44/12</f>
        <v>17.460112988323708</v>
      </c>
      <c r="CM200" s="21">
        <f>EXP(-LN(2)/2)*CM199+(1-EXP(-LN(2)/2))/(LN(2)/2)*CG200*CJ200*VLOOKUP('Données projet'!$B$12,Paramètres!$A$1:$I$89,3,0)*0.475*44/12</f>
        <v>8.3005170752405377E-2</v>
      </c>
      <c r="CN200" s="22">
        <f t="shared" si="172"/>
        <v>134.35256385606877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-8.5265128291212022E-14</v>
      </c>
      <c r="CU200" s="17">
        <f>CT200*VLOOKUP('Données projet'!$B$13,Paramètres!$A$1:$I$89,3,0)*VLOOKUP('Données projet'!$B$13,Paramètres!$A$1:$I$89,5,0)</f>
        <v>-6.9167072069831198E-14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186.54446846714993</v>
      </c>
      <c r="CZ200" s="59">
        <f t="shared" si="208"/>
        <v>154.43773051601286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</v>
      </c>
      <c r="DG200" s="21">
        <f>EXP(-LN(2)/25)*DG199+(1-EXP(-LN(2)/25))/(LN(2)/25)*Calculateur!DB200*Calculateur!DD200*VLOOKUP('Données projet'!$B$13,Paramètres!$A$1:$I$89,3,0)*0.475*44/12</f>
        <v>0.8328219808684163</v>
      </c>
      <c r="DH200" s="21">
        <f>EXP(-LN(2)/2)*DH199+(1-EXP(-LN(2)/2))/(LN(2)/2)*DB200*DE200*VLOOKUP('Données projet'!$B$13,Paramètres!$A$1:$I$89,3,0)*0.475*44/12</f>
        <v>1.9661534959174369E-15</v>
      </c>
      <c r="DI200" s="22">
        <f t="shared" si="175"/>
        <v>0.8328219808684183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2.8421709430404007E-13</v>
      </c>
      <c r="DP200" s="17">
        <f>DO200*VLOOKUP('Données projet'!$B$14,Paramètres!$A$1:$I$89,3,0)*VLOOKUP('Données projet'!$B$14,Paramètres!$A$1:$I$89,5,0)</f>
        <v>3.2366642699344083E-13</v>
      </c>
      <c r="DQ200" s="13">
        <f t="shared" si="176"/>
        <v>4.2410593646923188E-12</v>
      </c>
      <c r="DR200" s="20">
        <f t="shared" si="177"/>
        <v>7.9502307538526985E-12</v>
      </c>
      <c r="DS200" s="59">
        <f t="shared" si="197"/>
        <v>290.41603252229675</v>
      </c>
      <c r="DT200" s="59">
        <f ca="1">AVERAGE(OFFSET($DS$3,0,0,'Données projet'!$E$14+1,1))-AVERAGE(OFFSET($H$3,0,0,'Données projet'!$E$14+1,1))</f>
        <v>651.35546372812314</v>
      </c>
      <c r="DU200" s="59">
        <f t="shared" si="209"/>
        <v>293.6561676213388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132.7956044042273</v>
      </c>
      <c r="EB200" s="21">
        <f>EXP(-LN(2)/25)*EB199+(1-EXP(-LN(2)/25))/(LN(2)/25)*Calculateur!DW200*Calculateur!DY200*VLOOKUP('Données projet'!$B$14,Paramètres!$A$1:$I$89,3,0)*0.475*44/12</f>
        <v>50.018201145734047</v>
      </c>
      <c r="EC200" s="21">
        <f>EXP(-LN(2)/2)*EC199+(1-EXP(-LN(2)/2))/(LN(2)/2)*DW200*DZ200*VLOOKUP('Données projet'!$B$14,Paramètres!$A$1:$I$89,3,0)*0.475*44/12</f>
        <v>9.6562972248686387E-5</v>
      </c>
      <c r="ED200" s="22">
        <f t="shared" si="178"/>
        <v>182.81390211293362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8.5265128291212022E-14</v>
      </c>
      <c r="EK200" s="17">
        <f>EJ200*VLOOKUP('Données projet'!$B$15,Paramètres!$A$1:$I$89,3,0)*VLOOKUP('Données projet'!$B$15,Paramètres!$A$1:$I$89,5,0)</f>
        <v>8.9119112089974823E-14</v>
      </c>
      <c r="EL200" s="13">
        <f t="shared" si="179"/>
        <v>1.3568952080113142E-12</v>
      </c>
      <c r="EM200" s="20">
        <f t="shared" si="180"/>
        <v>2.5184749408430782E-12</v>
      </c>
      <c r="EN200" s="59">
        <f t="shared" si="198"/>
        <v>290.41603252229129</v>
      </c>
      <c r="EO200" s="59">
        <f ca="1">AVERAGE(OFFSET($EN$3,0,0,'Données projet'!$E$15+1,1))-AVERAGE(OFFSET($H$3,0,0,'Données projet'!$E$15+1,1))</f>
        <v>290.69667785754848</v>
      </c>
      <c r="EP200" s="59">
        <f t="shared" si="210"/>
        <v>256.28124185489082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2.606869633392952</v>
      </c>
      <c r="EW200" s="21">
        <f>EXP(-LN(2)/25)*EW199+(1-EXP(-LN(2)/25))/(LN(2)/25)*Calculateur!ER200*Calculateur!ET200*VLOOKUP('Données projet'!$B$15,Paramètres!$A$1:$I$89,3,0)*0.475*44/12</f>
        <v>3.0867842742229263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5.6936539076158788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7.9580786405131221E-13</v>
      </c>
      <c r="O201" s="13">
        <f>N201*VLOOKUP('Données projet'!$B$9,Paramètres!$A$1:$I$89,3,0)*VLOOKUP('Données projet'!$B$9,Paramètres!$A$1:$I$89,5,0)</f>
        <v>8.0694917414803056E-13</v>
      </c>
      <c r="P201" s="13">
        <f t="shared" si="203"/>
        <v>9.5069530861628001E-12</v>
      </c>
      <c r="Q201" s="20">
        <f t="shared" si="162"/>
        <v>1.7963379770041364E-11</v>
      </c>
      <c r="R201" s="59">
        <f t="shared" si="191"/>
        <v>290.46664116927087</v>
      </c>
      <c r="S201" s="59">
        <f ca="1">AVERAGE(OFFSET($R$3,0,0,'Données projet'!$E$9+1,1))-AVERAGE(OFFSET($H$3,0,0,'Données projet'!$E$9+1,1))</f>
        <v>752.45542076695506</v>
      </c>
      <c r="T201" s="59">
        <f t="shared" si="204"/>
        <v>329.70629768420724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128.34012829972576</v>
      </c>
      <c r="AA201" s="21">
        <f>EXP(-LN(2)/25)*AA200+(1-EXP(-LN(2)/25))/(LN(2)/25)*Calculateur!V201*Calculateur!X201*VLOOKUP('Données projet'!$B$9,Paramètres!$A$1:$I$89,3,0)*0.475*44/12</f>
        <v>19.032297297079086</v>
      </c>
      <c r="AB201" s="21">
        <f>EXP(-LN(2)/2)*AB200+(1-EXP(-LN(2)/2))/(LN(2)/2)*V201*Y201*VLOOKUP('Données projet'!$B$9,Paramètres!$A$1:$I$89,3,0)*0.475*44/12</f>
        <v>6.5777219695124997E-2</v>
      </c>
      <c r="AC201" s="22">
        <f t="shared" si="163"/>
        <v>147.43820281649997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408.246209980743</v>
      </c>
      <c r="AO201" s="59">
        <f t="shared" si="205"/>
        <v>394.10236303013903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5.5153165488513265</v>
      </c>
      <c r="AV201" s="21">
        <f>EXP(-LN(2)/25)*AV200+(1-EXP(-LN(2)/25))/(LN(2)/25)*Calculateur!AQ201*Calculateur!AS201*VLOOKUP('Données projet'!$B$10,Paramètres!$A$1:$I$89,3,0)*0.475*44/12</f>
        <v>2.1383294904914378</v>
      </c>
      <c r="AW201" s="21">
        <f>EXP(-LN(2)/2)*AW200+(1-EXP(-LN(2)/2))/(LN(2)/2)*AQ201*AT201*VLOOKUP('Données projet'!$B$10,Paramètres!$A$1:$I$89,3,0)*0.475*44/12</f>
        <v>1.1889978338248539E-16</v>
      </c>
      <c r="AX201" s="21">
        <f t="shared" si="166"/>
        <v>7.6536460393427639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7.9580786405131221E-13</v>
      </c>
      <c r="BE201" s="13">
        <f>BD201*VLOOKUP('Données projet'!$B$11,Paramètres!$A$1:$I$89,3,0)*VLOOKUP('Données projet'!$B$11,Paramètres!$A$1:$I$89,5,0)</f>
        <v>7.572907634312286E-13</v>
      </c>
      <c r="BF201" s="13">
        <f t="shared" si="167"/>
        <v>8.9881135648416407E-12</v>
      </c>
      <c r="BG201" s="20">
        <f t="shared" si="168"/>
        <v>1.6973245871741914E-11</v>
      </c>
      <c r="BH201" s="59">
        <f t="shared" si="194"/>
        <v>290.46664116926991</v>
      </c>
      <c r="BI201" s="59">
        <f ca="1">AVERAGE(OFFSET($BH$3,0,0,'Données projet'!$E$11+1,1))-AVERAGE(OFFSET($H$3,0,0,'Données projet'!$E$11+1,1))</f>
        <v>711.91538686535682</v>
      </c>
      <c r="BJ201" s="59">
        <f t="shared" si="206"/>
        <v>313.24593837351722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120.44227425051182</v>
      </c>
      <c r="BQ201" s="21">
        <f>EXP(-LN(2)/25)*BQ200+(1-EXP(-LN(2)/25))/(LN(2)/25)*Calculateur!BL201*Calculateur!BN201*VLOOKUP('Données projet'!$B$11,Paramètres!$A$1:$I$89,3,0)*0.475*44/12</f>
        <v>17.861079001874209</v>
      </c>
      <c r="BR201" s="21">
        <f>EXP(-LN(2)/2)*BR200+(1-EXP(-LN(2)/2))/(LN(2)/2)*BL201*BO201*VLOOKUP('Données projet'!$B$11,Paramètres!$A$1:$I$89,3,0)*0.475*44/12</f>
        <v>6.1729390790809677E-2</v>
      </c>
      <c r="BS201" s="22">
        <f t="shared" si="169"/>
        <v>138.36508264317683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7.9580786405131221E-13</v>
      </c>
      <c r="BZ201" s="13">
        <f>BY201*VLOOKUP('Données projet'!$B$12,Paramètres!$A$1:$I$89,3,0)*VLOOKUP('Données projet'!$B$12,Paramètres!$A$1:$I$89,5,0)</f>
        <v>7.2004695539362725E-13</v>
      </c>
      <c r="CA201" s="13">
        <f t="shared" si="170"/>
        <v>8.5963894794935589E-12</v>
      </c>
      <c r="CB201" s="20">
        <f t="shared" si="171"/>
        <v>1.6226126790761848E-11</v>
      </c>
      <c r="CC201" s="59">
        <f t="shared" si="195"/>
        <v>290.46664116926911</v>
      </c>
      <c r="CD201" s="59">
        <f ca="1">AVERAGE(OFFSET($CC$3,0,0,'Données projet'!$E$12+1,1))-AVERAGE(OFFSET($H$3,0,0,'Données projet'!$E$12+1,1))</f>
        <v>681.47578137804555</v>
      </c>
      <c r="CE201" s="59">
        <f t="shared" si="207"/>
        <v>300.88511065995885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114.51888371360145</v>
      </c>
      <c r="CL201" s="21">
        <f>EXP(-LN(2)/25)*CL200+(1-EXP(-LN(2)/25))/(LN(2)/25)*Calculateur!CG201*Calculateur!CI201*VLOOKUP('Données projet'!$B$12,Paramètres!$A$1:$I$89,3,0)*0.475*44/12</f>
        <v>16.98266528047056</v>
      </c>
      <c r="CM201" s="21">
        <f>EXP(-LN(2)/2)*CM200+(1-EXP(-LN(2)/2))/(LN(2)/2)*CG201*CJ201*VLOOKUP('Données projet'!$B$12,Paramètres!$A$1:$I$89,3,0)*0.475*44/12</f>
        <v>5.8693519112573124E-2</v>
      </c>
      <c r="CN201" s="22">
        <f t="shared" si="172"/>
        <v>131.56024251318459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-8.5265128291212022E-14</v>
      </c>
      <c r="CU201" s="17">
        <f>CT201*VLOOKUP('Données projet'!$B$13,Paramètres!$A$1:$I$89,3,0)*VLOOKUP('Données projet'!$B$13,Paramètres!$A$1:$I$89,5,0)</f>
        <v>-6.9167072069831198E-14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186.54446846714993</v>
      </c>
      <c r="CZ201" s="59">
        <f t="shared" si="208"/>
        <v>154.43773051601286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</v>
      </c>
      <c r="DG201" s="21">
        <f>EXP(-LN(2)/25)*DG200+(1-EXP(-LN(2)/25))/(LN(2)/25)*Calculateur!DB201*Calculateur!DD201*VLOOKUP('Données projet'!$B$13,Paramètres!$A$1:$I$89,3,0)*0.475*44/12</f>
        <v>0.81004842000536492</v>
      </c>
      <c r="DH201" s="21">
        <f>EXP(-LN(2)/2)*DH200+(1-EXP(-LN(2)/2))/(LN(2)/2)*DB201*DE201*VLOOKUP('Données projet'!$B$13,Paramètres!$A$1:$I$89,3,0)*0.475*44/12</f>
        <v>1.3902804698168566E-15</v>
      </c>
      <c r="DI201" s="22">
        <f t="shared" si="175"/>
        <v>0.81004842000536637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2.8421709430404007E-13</v>
      </c>
      <c r="DP201" s="17">
        <f>DO201*VLOOKUP('Données projet'!$B$14,Paramètres!$A$1:$I$89,3,0)*VLOOKUP('Données projet'!$B$14,Paramètres!$A$1:$I$89,5,0)</f>
        <v>3.2366642699344083E-13</v>
      </c>
      <c r="DQ201" s="13">
        <f t="shared" si="176"/>
        <v>4.2410593646923188E-12</v>
      </c>
      <c r="DR201" s="20">
        <f t="shared" si="177"/>
        <v>7.9502307538526985E-12</v>
      </c>
      <c r="DS201" s="59">
        <f t="shared" si="197"/>
        <v>290.46664116926087</v>
      </c>
      <c r="DT201" s="59">
        <f ca="1">AVERAGE(OFFSET($DS$3,0,0,'Données projet'!$E$14+1,1))-AVERAGE(OFFSET($H$3,0,0,'Données projet'!$E$14+1,1))</f>
        <v>651.35546372812314</v>
      </c>
      <c r="DU201" s="59">
        <f t="shared" si="209"/>
        <v>293.6561676213388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130.19156359918128</v>
      </c>
      <c r="EB201" s="21">
        <f>EXP(-LN(2)/25)*EB200+(1-EXP(-LN(2)/25))/(LN(2)/25)*Calculateur!DW201*Calculateur!DY201*VLOOKUP('Données projet'!$B$14,Paramètres!$A$1:$I$89,3,0)*0.475*44/12</f>
        <v>48.65045080506107</v>
      </c>
      <c r="EC201" s="21">
        <f>EXP(-LN(2)/2)*EC200+(1-EXP(-LN(2)/2))/(LN(2)/2)*DW201*DZ201*VLOOKUP('Données projet'!$B$14,Paramètres!$A$1:$I$89,3,0)*0.475*44/12</f>
        <v>6.8280332488574545E-5</v>
      </c>
      <c r="ED201" s="22">
        <f t="shared" si="178"/>
        <v>178.84208268457485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8.5265128291212022E-14</v>
      </c>
      <c r="EK201" s="17">
        <f>EJ201*VLOOKUP('Données projet'!$B$15,Paramètres!$A$1:$I$89,3,0)*VLOOKUP('Données projet'!$B$15,Paramètres!$A$1:$I$89,5,0)</f>
        <v>8.9119112089974823E-14</v>
      </c>
      <c r="EL201" s="13">
        <f t="shared" si="179"/>
        <v>1.3568952080113142E-12</v>
      </c>
      <c r="EM201" s="20">
        <f t="shared" si="180"/>
        <v>2.5184749408430782E-12</v>
      </c>
      <c r="EN201" s="59">
        <f t="shared" si="198"/>
        <v>290.46664116925541</v>
      </c>
      <c r="EO201" s="59">
        <f ca="1">AVERAGE(OFFSET($EN$3,0,0,'Données projet'!$E$15+1,1))-AVERAGE(OFFSET($H$3,0,0,'Données projet'!$E$15+1,1))</f>
        <v>290.69667785754848</v>
      </c>
      <c r="EP201" s="59">
        <f t="shared" si="210"/>
        <v>256.28124185489082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2.5557505099155899</v>
      </c>
      <c r="EW201" s="21">
        <f>EXP(-LN(2)/25)*EW200+(1-EXP(-LN(2)/25))/(LN(2)/25)*Calculateur!ER201*Calculateur!ET201*VLOOKUP('Données projet'!$B$15,Paramètres!$A$1:$I$89,3,0)*0.475*44/12</f>
        <v>3.0023759959173706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5.558126505832961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7.9580786405131221E-13</v>
      </c>
      <c r="O202" s="13">
        <f>N202*VLOOKUP('Données projet'!$B$9,Paramètres!$A$1:$I$89,3,0)*VLOOKUP('Données projet'!$B$9,Paramètres!$A$1:$I$89,5,0)</f>
        <v>8.0694917414803056E-13</v>
      </c>
      <c r="P202" s="13">
        <f t="shared" si="203"/>
        <v>9.5069530861628001E-12</v>
      </c>
      <c r="Q202" s="20">
        <f t="shared" si="162"/>
        <v>1.7963379770041364E-11</v>
      </c>
      <c r="R202" s="59">
        <f t="shared" si="191"/>
        <v>290.51637186935409</v>
      </c>
      <c r="S202" s="59">
        <f ca="1">AVERAGE(OFFSET($R$3,0,0,'Données projet'!$E$9+1,1))-AVERAGE(OFFSET($H$3,0,0,'Données projet'!$E$9+1,1))</f>
        <v>752.45542076695506</v>
      </c>
      <c r="T202" s="59">
        <f t="shared" si="204"/>
        <v>329.70629768420724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125.82345666351692</v>
      </c>
      <c r="AA202" s="21">
        <f>EXP(-LN(2)/25)*AA201+(1-EXP(-LN(2)/25))/(LN(2)/25)*Calculateur!V202*Calculateur!X202*VLOOKUP('Données projet'!$B$9,Paramètres!$A$1:$I$89,3,0)*0.475*44/12</f>
        <v>18.511858126625444</v>
      </c>
      <c r="AB202" s="21">
        <f>EXP(-LN(2)/2)*AB201+(1-EXP(-LN(2)/2))/(LN(2)/2)*V202*Y202*VLOOKUP('Données projet'!$B$9,Paramètres!$A$1:$I$89,3,0)*0.475*44/12</f>
        <v>4.6511518094020217E-2</v>
      </c>
      <c r="AC202" s="22">
        <f t="shared" si="163"/>
        <v>144.38182630823638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408.246209980743</v>
      </c>
      <c r="AO202" s="59">
        <f t="shared" si="205"/>
        <v>394.10236303013903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5.4071645553392784</v>
      </c>
      <c r="AV202" s="21">
        <f>EXP(-LN(2)/25)*AV201+(1-EXP(-LN(2)/25))/(LN(2)/25)*Calculateur!AQ202*Calculateur!AS202*VLOOKUP('Données projet'!$B$10,Paramètres!$A$1:$I$89,3,0)*0.475*44/12</f>
        <v>2.0798567581240888</v>
      </c>
      <c r="AW202" s="21">
        <f>EXP(-LN(2)/2)*AW201+(1-EXP(-LN(2)/2))/(LN(2)/2)*AQ202*AT202*VLOOKUP('Données projet'!$B$10,Paramètres!$A$1:$I$89,3,0)*0.475*44/12</f>
        <v>8.4074843111366999E-17</v>
      </c>
      <c r="AX202" s="21">
        <f t="shared" si="166"/>
        <v>7.4870213134633676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7.9580786405131221E-13</v>
      </c>
      <c r="BE202" s="13">
        <f>BD202*VLOOKUP('Données projet'!$B$11,Paramètres!$A$1:$I$89,3,0)*VLOOKUP('Données projet'!$B$11,Paramètres!$A$1:$I$89,5,0)</f>
        <v>7.572907634312286E-13</v>
      </c>
      <c r="BF202" s="13">
        <f t="shared" si="167"/>
        <v>8.9881135648416407E-12</v>
      </c>
      <c r="BG202" s="20">
        <f t="shared" si="168"/>
        <v>1.6973245871741914E-11</v>
      </c>
      <c r="BH202" s="59">
        <f t="shared" si="194"/>
        <v>290.51637186935312</v>
      </c>
      <c r="BI202" s="59">
        <f ca="1">AVERAGE(OFFSET($BH$3,0,0,'Données projet'!$E$11+1,1))-AVERAGE(OFFSET($H$3,0,0,'Données projet'!$E$11+1,1))</f>
        <v>711.91538686535682</v>
      </c>
      <c r="BJ202" s="59">
        <f t="shared" si="206"/>
        <v>313.24593837351722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118.08047471499275</v>
      </c>
      <c r="BQ202" s="21">
        <f>EXP(-LN(2)/25)*BQ201+(1-EXP(-LN(2)/25))/(LN(2)/25)*Calculateur!BL202*Calculateur!BN202*VLOOKUP('Données projet'!$B$11,Paramètres!$A$1:$I$89,3,0)*0.475*44/12</f>
        <v>17.372666857294636</v>
      </c>
      <c r="BR202" s="21">
        <f>EXP(-LN(2)/2)*BR201+(1-EXP(-LN(2)/2))/(LN(2)/2)*BL202*BO202*VLOOKUP('Données projet'!$B$11,Paramètres!$A$1:$I$89,3,0)*0.475*44/12</f>
        <v>4.3649270826695945E-2</v>
      </c>
      <c r="BS202" s="22">
        <f t="shared" si="169"/>
        <v>135.4967908431141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7.9580786405131221E-13</v>
      </c>
      <c r="BZ202" s="13">
        <f>BY202*VLOOKUP('Données projet'!$B$12,Paramètres!$A$1:$I$89,3,0)*VLOOKUP('Données projet'!$B$12,Paramètres!$A$1:$I$89,5,0)</f>
        <v>7.2004695539362725E-13</v>
      </c>
      <c r="CA202" s="13">
        <f t="shared" si="170"/>
        <v>8.5963894794935589E-12</v>
      </c>
      <c r="CB202" s="20">
        <f t="shared" si="171"/>
        <v>1.6226126790761848E-11</v>
      </c>
      <c r="CC202" s="59">
        <f t="shared" si="195"/>
        <v>290.51637186935233</v>
      </c>
      <c r="CD202" s="59">
        <f ca="1">AVERAGE(OFFSET($CC$3,0,0,'Données projet'!$E$12+1,1))-AVERAGE(OFFSET($H$3,0,0,'Données projet'!$E$12+1,1))</f>
        <v>681.47578137804555</v>
      </c>
      <c r="CE202" s="59">
        <f t="shared" si="207"/>
        <v>300.88511065995885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112.27323825359971</v>
      </c>
      <c r="CL202" s="21">
        <f>EXP(-LN(2)/25)*CL201+(1-EXP(-LN(2)/25))/(LN(2)/25)*Calculateur!CG202*Calculateur!CI202*VLOOKUP('Données projet'!$B$12,Paramètres!$A$1:$I$89,3,0)*0.475*44/12</f>
        <v>16.51827340529654</v>
      </c>
      <c r="CM202" s="21">
        <f>EXP(-LN(2)/2)*CM201+(1-EXP(-LN(2)/2))/(LN(2)/2)*CG202*CJ202*VLOOKUP('Données projet'!$B$12,Paramètres!$A$1:$I$89,3,0)*0.475*44/12</f>
        <v>4.1502585376202689E-2</v>
      </c>
      <c r="CN202" s="22">
        <f t="shared" si="172"/>
        <v>128.83301424427245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-8.5265128291212022E-14</v>
      </c>
      <c r="CU202" s="17">
        <f>CT202*VLOOKUP('Données projet'!$B$13,Paramètres!$A$1:$I$89,3,0)*VLOOKUP('Données projet'!$B$13,Paramètres!$A$1:$I$89,5,0)</f>
        <v>-6.9167072069831198E-14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186.54446846714993</v>
      </c>
      <c r="CZ202" s="59">
        <f t="shared" si="208"/>
        <v>154.43773051601286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</v>
      </c>
      <c r="DG202" s="21">
        <f>EXP(-LN(2)/25)*DG201+(1-EXP(-LN(2)/25))/(LN(2)/25)*Calculateur!DB202*Calculateur!DD202*VLOOKUP('Données projet'!$B$13,Paramètres!$A$1:$I$89,3,0)*0.475*44/12</f>
        <v>0.78789760336172321</v>
      </c>
      <c r="DH202" s="21">
        <f>EXP(-LN(2)/2)*DH201+(1-EXP(-LN(2)/2))/(LN(2)/2)*DB202*DE202*VLOOKUP('Données projet'!$B$13,Paramètres!$A$1:$I$89,3,0)*0.475*44/12</f>
        <v>9.8307674795871846E-16</v>
      </c>
      <c r="DI202" s="22">
        <f t="shared" si="175"/>
        <v>0.78789760336172421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2.8421709430404007E-13</v>
      </c>
      <c r="DP202" s="17">
        <f>DO202*VLOOKUP('Données projet'!$B$14,Paramètres!$A$1:$I$89,3,0)*VLOOKUP('Données projet'!$B$14,Paramètres!$A$1:$I$89,5,0)</f>
        <v>3.2366642699344083E-13</v>
      </c>
      <c r="DQ202" s="13">
        <f t="shared" si="176"/>
        <v>4.2410593646923188E-12</v>
      </c>
      <c r="DR202" s="20">
        <f t="shared" si="177"/>
        <v>7.9502307538526985E-12</v>
      </c>
      <c r="DS202" s="59">
        <f t="shared" si="197"/>
        <v>290.51637186934408</v>
      </c>
      <c r="DT202" s="59">
        <f ca="1">AVERAGE(OFFSET($DS$3,0,0,'Données projet'!$E$14+1,1))-AVERAGE(OFFSET($H$3,0,0,'Données projet'!$E$14+1,1))</f>
        <v>651.35546372812314</v>
      </c>
      <c r="DU202" s="59">
        <f t="shared" si="209"/>
        <v>293.6561676213388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127.63858644601414</v>
      </c>
      <c r="EB202" s="21">
        <f>EXP(-LN(2)/25)*EB201+(1-EXP(-LN(2)/25))/(LN(2)/25)*Calculateur!DW202*Calculateur!DY202*VLOOKUP('Données projet'!$B$14,Paramètres!$A$1:$I$89,3,0)*0.475*44/12</f>
        <v>47.320101669380662</v>
      </c>
      <c r="EC202" s="21">
        <f>EXP(-LN(2)/2)*EC201+(1-EXP(-LN(2)/2))/(LN(2)/2)*DW202*DZ202*VLOOKUP('Données projet'!$B$14,Paramètres!$A$1:$I$89,3,0)*0.475*44/12</f>
        <v>4.8281486124343193E-5</v>
      </c>
      <c r="ED202" s="22">
        <f t="shared" si="178"/>
        <v>174.95873639688094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8.5265128291212022E-14</v>
      </c>
      <c r="EK202" s="17">
        <f>EJ202*VLOOKUP('Données projet'!$B$15,Paramètres!$A$1:$I$89,3,0)*VLOOKUP('Données projet'!$B$15,Paramètres!$A$1:$I$89,5,0)</f>
        <v>8.9119112089974823E-14</v>
      </c>
      <c r="EL202" s="13">
        <f t="shared" si="179"/>
        <v>1.3568952080113142E-12</v>
      </c>
      <c r="EM202" s="20">
        <f t="shared" si="180"/>
        <v>2.5184749408430782E-12</v>
      </c>
      <c r="EN202" s="59">
        <f t="shared" si="198"/>
        <v>290.51637186933863</v>
      </c>
      <c r="EO202" s="59">
        <f ca="1">AVERAGE(OFFSET($EN$3,0,0,'Données projet'!$E$15+1,1))-AVERAGE(OFFSET($H$3,0,0,'Données projet'!$E$15+1,1))</f>
        <v>290.69667785754848</v>
      </c>
      <c r="EP202" s="59">
        <f t="shared" si="210"/>
        <v>256.28124185489082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2.5056338012700321</v>
      </c>
      <c r="EW202" s="21">
        <f>EXP(-LN(2)/25)*EW201+(1-EXP(-LN(2)/25))/(LN(2)/25)*Calculateur!ER202*Calculateur!ET202*VLOOKUP('Données projet'!$B$15,Paramètres!$A$1:$I$89,3,0)*0.475*44/12</f>
        <v>2.9202758664209183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5.4259096676909504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5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7.9580786405131221E-13</v>
      </c>
      <c r="O203" s="13">
        <f>N203*VLOOKUP('Données projet'!$B$9,Paramètres!$A$1:$I$89,3,0)*VLOOKUP('Données projet'!$B$9,Paramètres!$A$1:$I$89,5,0)</f>
        <v>8.0694917414803056E-13</v>
      </c>
      <c r="P203" s="13">
        <f t="shared" si="203"/>
        <v>9.5069530861628001E-12</v>
      </c>
      <c r="Q203" s="20">
        <f t="shared" si="162"/>
        <v>1.7963379770041364E-11</v>
      </c>
      <c r="R203" s="59">
        <f t="shared" si="191"/>
        <v>290.56523985297207</v>
      </c>
      <c r="S203" s="59">
        <f ca="1">AVERAGE(OFFSET($R$3,0,0,'Données projet'!$E$9+1,1))-AVERAGE(OFFSET($H$3,0,0,'Données projet'!$E$9+1,1))</f>
        <v>752.45542076695506</v>
      </c>
      <c r="T203" s="59">
        <f t="shared" si="204"/>
        <v>329.70629768420724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123.35613542307601</v>
      </c>
      <c r="AA203" s="21">
        <f>EXP(-LN(2)/25)*AA202+(1-EXP(-LN(2)/25))/(LN(2)/25)*Calculateur!V203*Calculateur!X203*VLOOKUP('Données projet'!$B$9,Paramètres!$A$1:$I$89,3,0)*0.475*44/12</f>
        <v>18.005650392656563</v>
      </c>
      <c r="AB203" s="21">
        <f>EXP(-LN(2)/2)*AB202+(1-EXP(-LN(2)/2))/(LN(2)/2)*V203*Y203*VLOOKUP('Données projet'!$B$9,Paramètres!$A$1:$I$89,3,0)*0.475*44/12</f>
        <v>3.2888609847562499E-2</v>
      </c>
      <c r="AC203" s="22">
        <f t="shared" si="163"/>
        <v>141.39467442558012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408.246209980743</v>
      </c>
      <c r="AO203" s="59">
        <f t="shared" si="205"/>
        <v>394.10236303013903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5.301133356453799</v>
      </c>
      <c r="AV203" s="21">
        <f>EXP(-LN(2)/25)*AV202+(1-EXP(-LN(2)/25))/(LN(2)/25)*Calculateur!AQ203*Calculateur!AS203*VLOOKUP('Données projet'!$B$10,Paramètres!$A$1:$I$89,3,0)*0.475*44/12</f>
        <v>2.0229829656982723</v>
      </c>
      <c r="AW203" s="21">
        <f>EXP(-LN(2)/2)*AW202+(1-EXP(-LN(2)/2))/(LN(2)/2)*AQ203*AT203*VLOOKUP('Données projet'!$B$10,Paramètres!$A$1:$I$89,3,0)*0.475*44/12</f>
        <v>5.9449891691242696E-17</v>
      </c>
      <c r="AX203" s="21">
        <f t="shared" si="166"/>
        <v>7.3241163221520713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7.9580786405131221E-13</v>
      </c>
      <c r="BE203" s="13">
        <f>BD203*VLOOKUP('Données projet'!$B$11,Paramètres!$A$1:$I$89,3,0)*VLOOKUP('Données projet'!$B$11,Paramètres!$A$1:$I$89,5,0)</f>
        <v>7.572907634312286E-13</v>
      </c>
      <c r="BF203" s="13">
        <f t="shared" si="167"/>
        <v>8.9881135648416407E-12</v>
      </c>
      <c r="BG203" s="20">
        <f t="shared" si="168"/>
        <v>1.6973245871741914E-11</v>
      </c>
      <c r="BH203" s="59">
        <f t="shared" si="194"/>
        <v>290.5652398529711</v>
      </c>
      <c r="BI203" s="59">
        <f ca="1">AVERAGE(OFFSET($BH$3,0,0,'Données projet'!$E$11+1,1))-AVERAGE(OFFSET($H$3,0,0,'Données projet'!$E$11+1,1))</f>
        <v>711.91538686535682</v>
      </c>
      <c r="BJ203" s="59">
        <f t="shared" si="206"/>
        <v>313.24593837351722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115.76498862780973</v>
      </c>
      <c r="BQ203" s="21">
        <f>EXP(-LN(2)/25)*BQ202+(1-EXP(-LN(2)/25))/(LN(2)/25)*Calculateur!BL203*Calculateur!BN203*VLOOKUP('Données projet'!$B$11,Paramètres!$A$1:$I$89,3,0)*0.475*44/12</f>
        <v>16.897610368493069</v>
      </c>
      <c r="BR203" s="21">
        <f>EXP(-LN(2)/2)*BR202+(1-EXP(-LN(2)/2))/(LN(2)/2)*BL203*BO203*VLOOKUP('Données projet'!$B$11,Paramètres!$A$1:$I$89,3,0)*0.475*44/12</f>
        <v>3.0864695395404845E-2</v>
      </c>
      <c r="BS203" s="22">
        <f t="shared" si="169"/>
        <v>132.69346369169818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7.9580786405131221E-13</v>
      </c>
      <c r="BZ203" s="13">
        <f>BY203*VLOOKUP('Données projet'!$B$12,Paramètres!$A$1:$I$89,3,0)*VLOOKUP('Données projet'!$B$12,Paramètres!$A$1:$I$89,5,0)</f>
        <v>7.2004695539362725E-13</v>
      </c>
      <c r="CA203" s="13">
        <f t="shared" si="170"/>
        <v>8.5963894794935589E-12</v>
      </c>
      <c r="CB203" s="20">
        <f t="shared" si="171"/>
        <v>1.6226126790761848E-11</v>
      </c>
      <c r="CC203" s="59">
        <f t="shared" si="195"/>
        <v>290.56523985297031</v>
      </c>
      <c r="CD203" s="59">
        <f ca="1">AVERAGE(OFFSET($CC$3,0,0,'Données projet'!$E$12+1,1))-AVERAGE(OFFSET($H$3,0,0,'Données projet'!$E$12+1,1))</f>
        <v>681.47578137804555</v>
      </c>
      <c r="CE203" s="59">
        <f t="shared" si="207"/>
        <v>300.88511065995885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110.07162853136013</v>
      </c>
      <c r="CL203" s="21">
        <f>EXP(-LN(2)/25)*CL202+(1-EXP(-LN(2)/25))/(LN(2)/25)*Calculateur!CG203*Calculateur!CI203*VLOOKUP('Données projet'!$B$12,Paramètres!$A$1:$I$89,3,0)*0.475*44/12</f>
        <v>16.066580350370462</v>
      </c>
      <c r="CM203" s="21">
        <f>EXP(-LN(2)/2)*CM202+(1-EXP(-LN(2)/2))/(LN(2)/2)*CG203*CJ203*VLOOKUP('Données projet'!$B$12,Paramètres!$A$1:$I$89,3,0)*0.475*44/12</f>
        <v>2.9346759556286562E-2</v>
      </c>
      <c r="CN203" s="22">
        <f t="shared" si="172"/>
        <v>126.16755564128688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-8.5265128291212022E-14</v>
      </c>
      <c r="CU203" s="17">
        <f>CT203*VLOOKUP('Données projet'!$B$13,Paramètres!$A$1:$I$89,3,0)*VLOOKUP('Données projet'!$B$13,Paramètres!$A$1:$I$89,5,0)</f>
        <v>-6.9167072069831198E-14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186.54446846714993</v>
      </c>
      <c r="CZ203" s="59">
        <f t="shared" si="208"/>
        <v>154.43773051601286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</v>
      </c>
      <c r="DG203" s="21">
        <f>EXP(-LN(2)/25)*DG202+(1-EXP(-LN(2)/25))/(LN(2)/25)*Calculateur!DB203*Calculateur!DD203*VLOOKUP('Données projet'!$B$13,Paramètres!$A$1:$I$89,3,0)*0.475*44/12</f>
        <v>0.76635250196406268</v>
      </c>
      <c r="DH203" s="21">
        <f>EXP(-LN(2)/2)*DH202+(1-EXP(-LN(2)/2))/(LN(2)/2)*DB203*DE203*VLOOKUP('Données projet'!$B$13,Paramètres!$A$1:$I$89,3,0)*0.475*44/12</f>
        <v>6.9514023490842828E-16</v>
      </c>
      <c r="DI203" s="22">
        <f t="shared" si="175"/>
        <v>0.76635250196406335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2.8421709430404007E-13</v>
      </c>
      <c r="DP203" s="17">
        <f>DO203*VLOOKUP('Données projet'!$B$14,Paramètres!$A$1:$I$89,3,0)*VLOOKUP('Données projet'!$B$14,Paramètres!$A$1:$I$89,5,0)</f>
        <v>3.2366642699344083E-13</v>
      </c>
      <c r="DQ203" s="13">
        <f t="shared" si="176"/>
        <v>4.2410593646923188E-12</v>
      </c>
      <c r="DR203" s="20">
        <f t="shared" si="177"/>
        <v>7.9502307538526985E-12</v>
      </c>
      <c r="DS203" s="59">
        <f t="shared" si="197"/>
        <v>290.56523985296207</v>
      </c>
      <c r="DT203" s="59">
        <f ca="1">AVERAGE(OFFSET($DS$3,0,0,'Données projet'!$E$14+1,1))-AVERAGE(OFFSET($H$3,0,0,'Données projet'!$E$14+1,1))</f>
        <v>651.35546372812314</v>
      </c>
      <c r="DU203" s="59">
        <f t="shared" si="209"/>
        <v>293.6561676213388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125.1356716176583</v>
      </c>
      <c r="EB203" s="21">
        <f>EXP(-LN(2)/25)*EB202+(1-EXP(-LN(2)/25))/(LN(2)/25)*Calculateur!DW203*Calculateur!DY203*VLOOKUP('Données projet'!$B$14,Paramètres!$A$1:$I$89,3,0)*0.475*44/12</f>
        <v>46.02613100077545</v>
      </c>
      <c r="EC203" s="21">
        <f>EXP(-LN(2)/2)*EC202+(1-EXP(-LN(2)/2))/(LN(2)/2)*DW203*DZ203*VLOOKUP('Données projet'!$B$14,Paramètres!$A$1:$I$89,3,0)*0.475*44/12</f>
        <v>3.4140166244287273E-5</v>
      </c>
      <c r="ED203" s="22">
        <f t="shared" si="178"/>
        <v>171.16183675859997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8.5265128291212022E-14</v>
      </c>
      <c r="EK203" s="17">
        <f>EJ203*VLOOKUP('Données projet'!$B$15,Paramètres!$A$1:$I$89,3,0)*VLOOKUP('Données projet'!$B$15,Paramètres!$A$1:$I$89,5,0)</f>
        <v>8.9119112089974823E-14</v>
      </c>
      <c r="EL203" s="13">
        <f t="shared" si="179"/>
        <v>1.3568952080113142E-12</v>
      </c>
      <c r="EM203" s="20">
        <f t="shared" si="180"/>
        <v>2.5184749408430782E-12</v>
      </c>
      <c r="EN203" s="59">
        <f t="shared" si="198"/>
        <v>290.56523985295661</v>
      </c>
      <c r="EO203" s="59">
        <f ca="1">AVERAGE(OFFSET($EN$3,0,0,'Données projet'!$E$15+1,1))-AVERAGE(OFFSET($H$3,0,0,'Données projet'!$E$15+1,1))</f>
        <v>290.69667785754848</v>
      </c>
      <c r="EP203" s="59">
        <f t="shared" si="210"/>
        <v>256.28124185489082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2.4564998507128397</v>
      </c>
      <c r="EW203" s="21">
        <f>EXP(-LN(2)/25)*EW202+(1-EXP(-LN(2)/25))/(LN(2)/25)*Calculateur!ER203*Calculateur!ET203*VLOOKUP('Données projet'!$B$15,Paramètres!$A$1:$I$89,3,0)*0.475*44/12</f>
        <v>2.8404207692830048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5.296920619995845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1.1303799945549604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1.3208724756526424</v>
      </c>
      <c r="BA205" s="82">
        <f>EXP(LN('Données projet'!B88)/'Données projet'!A88)</f>
        <v>1.1303799945549604</v>
      </c>
      <c r="BV205" s="82">
        <f>EXP(LN('Données projet'!B114)/'Données projet'!A114)</f>
        <v>1.1303799945549604</v>
      </c>
      <c r="CQ205" s="82">
        <f>EXP(LN('Données projet'!B140)/'Données projet'!A140)</f>
        <v>1.2231180032570037</v>
      </c>
      <c r="DL205" s="82">
        <f>EXP(LN('Données projet'!B166)/'Données projet'!A166)</f>
        <v>1.1122249243210514</v>
      </c>
      <c r="EG205" s="82">
        <f>EXP(LN('Données projet'!B192)/'Données projet'!A192)</f>
        <v>1.3087609363064139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609375" defaultRowHeight="14.6" x14ac:dyDescent="0.4"/>
  <cols>
    <col min="1" max="1" width="23.4609375" style="4" bestFit="1" customWidth="1"/>
    <col min="2" max="2" width="27.61328125" style="4" bestFit="1" customWidth="1"/>
    <col min="3" max="3" width="11.921875" style="4" bestFit="1" customWidth="1"/>
    <col min="4" max="4" width="40" style="4" bestFit="1" customWidth="1"/>
    <col min="5" max="5" width="11.921875" style="4" bestFit="1" customWidth="1"/>
    <col min="6" max="6" width="13.61328125" style="4" bestFit="1" customWidth="1"/>
    <col min="7" max="7" width="11.4609375" style="4" bestFit="1" customWidth="1"/>
    <col min="8" max="8" width="39" style="4" bestFit="1" customWidth="1"/>
    <col min="9" max="9" width="16.61328125" style="4" customWidth="1"/>
    <col min="10" max="14" width="11.4609375" style="4"/>
    <col min="15" max="15" width="23.4609375" style="4" bestFit="1" customWidth="1"/>
    <col min="16" max="16384" width="11.4609375" style="4"/>
  </cols>
  <sheetData>
    <row r="1" spans="1:16" ht="44.15" thickBot="1" x14ac:dyDescent="0.4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4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4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4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4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4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4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4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4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4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4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4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4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4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4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4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4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4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4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4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4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4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4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4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4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4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4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4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4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4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4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4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4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4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4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4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4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4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4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4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4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4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4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4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4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4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4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4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4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4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4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4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4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4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4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4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4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4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4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4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4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4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4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4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4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4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4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4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4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4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4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4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4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4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4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4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4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4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4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4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4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4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4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4">
      <c r="A93" s="122" t="s">
        <v>208</v>
      </c>
    </row>
    <row r="94" spans="1:14" x14ac:dyDescent="0.4">
      <c r="A94" s="122" t="s">
        <v>209</v>
      </c>
    </row>
    <row r="95" spans="1:14" x14ac:dyDescent="0.4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B3" zoomScale="90" zoomScaleNormal="90" workbookViewId="0">
      <selection activeCell="M22" sqref="M22"/>
    </sheetView>
  </sheetViews>
  <sheetFormatPr baseColWidth="10" defaultColWidth="11.4609375" defaultRowHeight="14.6" x14ac:dyDescent="0.4"/>
  <cols>
    <col min="1" max="1" width="22.921875" style="1" bestFit="1" customWidth="1"/>
    <col min="2" max="2" width="10.53515625" style="1" bestFit="1" customWidth="1"/>
    <col min="3" max="3" width="15.53515625" style="1" bestFit="1" customWidth="1"/>
    <col min="4" max="4" width="13.4609375" style="1" bestFit="1" customWidth="1"/>
    <col min="5" max="8" width="11.4609375" style="1"/>
    <col min="9" max="13" width="11.4609375" style="62"/>
    <col min="14" max="15" width="11.4609375" style="1"/>
    <col min="16" max="17" width="13.4609375" style="1" customWidth="1"/>
    <col min="18" max="16384" width="11.4609375" style="1"/>
  </cols>
  <sheetData>
    <row r="1" spans="1:62" ht="15" thickBot="1" x14ac:dyDescent="0.4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6" thickBot="1" x14ac:dyDescent="0.7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75" thickBot="1" x14ac:dyDescent="0.4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">
      <c r="A6" s="145" t="str">
        <f>IF('Données projet'!$B$9="","",'Données projet'!$B$9)</f>
        <v>Chêne pubescent</v>
      </c>
      <c r="B6" s="146">
        <f>'Données projet'!D9</f>
        <v>0.77700000000000002</v>
      </c>
      <c r="C6" s="147">
        <f ca="1">IF(OR('Données projet'!B9="",'Données projet'!C9="",'Données projet'!C9=0%),0,Calculateur!S3)</f>
        <v>752.45542076695506</v>
      </c>
      <c r="D6" s="147">
        <f>IF(OR('Données projet'!B9="",'Données projet'!C9="",'Données projet'!C9=0%),0,Calculateur!T3)</f>
        <v>329.70629768420724</v>
      </c>
      <c r="E6" s="147">
        <f ca="1">MIN(C6,D6)</f>
        <v>329.70629768420724</v>
      </c>
      <c r="F6" s="147">
        <f ca="1">E6*B6</f>
        <v>256.18179330062901</v>
      </c>
      <c r="G6" s="147">
        <f ca="1">F6*(100%-'Données projet'!$C$24)*(100%-'Données projet'!$C$25)*(100%-'Données projet'!$C$26)*(100%-'Données projet'!$C$27)</f>
        <v>219.03543327203781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219.03543327203781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">
      <c r="A7" s="153" t="str">
        <f>IF('Données projet'!$B$10="","",'Données projet'!$B$10)</f>
        <v>Erable champêtre</v>
      </c>
      <c r="B7" s="154">
        <f>'Données projet'!D10</f>
        <v>0.77700000000000002</v>
      </c>
      <c r="C7" s="147">
        <f ca="1">IF(OR('Données projet'!B10="",'Données projet'!C10="",'Données projet'!C10=0%),0,Calculateur!AN3)</f>
        <v>408.246209980743</v>
      </c>
      <c r="D7" s="147">
        <f>IF(OR('Données projet'!B10="",'Données projet'!C10="",'Données projet'!C10=0%),0,Calculateur!AO3)</f>
        <v>394.10236303013903</v>
      </c>
      <c r="E7" s="147">
        <f t="shared" ref="E7:E15" ca="1" si="0">MIN(C7,D7)</f>
        <v>394.10236303013903</v>
      </c>
      <c r="F7" s="147">
        <f t="shared" ref="F7:F15" ca="1" si="1">E7*B7</f>
        <v>306.21753607441804</v>
      </c>
      <c r="G7" s="147">
        <f ca="1">F7*(100%-'Données projet'!$C$24)*(100%-'Données projet'!$C$25)*(100%-'Données projet'!$C$26)*(100%-'Données projet'!$C$27)</f>
        <v>261.81599334362738</v>
      </c>
      <c r="H7" s="155">
        <f>IF(OR('Données projet'!B10="",'Données projet'!C10="",'Données projet'!C10=0%),0,AVERAGE(Calculateur!$AX$3:$AX$33)*B7)</f>
        <v>5.1514732788411299</v>
      </c>
      <c r="I7" s="149">
        <f>H7*(100%-'Données projet'!$C$24)*(100%-'Données projet'!$C$25)*(100%-'Données projet'!$C$26)*(100%-'Données projet'!$C$27)</f>
        <v>4.4045096534091659</v>
      </c>
      <c r="J7" s="150">
        <f>IF(OR('Données projet'!B10="",'Données projet'!C10="",'Données projet'!C10=0%),0,SUM(Calculateur!$AQ$3:$AQ$33)*VLOOKUP('Données projet'!$B$10,Paramètres!$A$1:$I$89,9,0)*B7)</f>
        <v>26.61225</v>
      </c>
      <c r="K7" s="151">
        <f>J7*(100%-'Données projet'!$C$24)*(100%-'Données projet'!$C$25)*(100%-'Données projet'!$C$26)*(100%-'Données projet'!$C$27)</f>
        <v>22.753473750000001</v>
      </c>
      <c r="L7" s="152">
        <f t="shared" ref="L7:L15" ca="1" si="2">G7+I7+K7</f>
        <v>288.97397674703655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">
      <c r="A8" s="153" t="str">
        <f>IF('Données projet'!$B$11="","",'Données projet'!$B$11)</f>
        <v>Charme</v>
      </c>
      <c r="B8" s="154">
        <f>'Données projet'!D11</f>
        <v>0.77700000000000002</v>
      </c>
      <c r="C8" s="147">
        <f ca="1">IF(OR('Données projet'!B11="",'Données projet'!C11="",'Données projet'!C11=0%),0,Calculateur!BI3)</f>
        <v>711.91538686535682</v>
      </c>
      <c r="D8" s="147">
        <f>IF(OR('Données projet'!B11="",'Données projet'!C11="",'Données projet'!C11=0%),0,Calculateur!BJ3)</f>
        <v>313.24593837351722</v>
      </c>
      <c r="E8" s="147">
        <f t="shared" ca="1" si="0"/>
        <v>313.24593837351722</v>
      </c>
      <c r="F8" s="147">
        <f t="shared" ca="1" si="1"/>
        <v>243.39209411622289</v>
      </c>
      <c r="G8" s="147">
        <f ca="1">F8*(100%-'Données projet'!$C$24)*(100%-'Données projet'!$C$25)*(100%-'Données projet'!$C$26)*(100%-'Données projet'!$C$27)</f>
        <v>208.10024046937056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208.10024046937056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">
      <c r="A9" s="153" t="str">
        <f>IF('Données projet'!$B$12="","",'Données projet'!$B$12)</f>
        <v>Chêne sessile</v>
      </c>
      <c r="B9" s="154">
        <f>'Données projet'!D12</f>
        <v>0.7400000000000001</v>
      </c>
      <c r="C9" s="147">
        <f ca="1">IF(OR('Données projet'!B12="",'Données projet'!C12="",'Données projet'!C12=0%),0,Calculateur!CD3)</f>
        <v>681.47578137804555</v>
      </c>
      <c r="D9" s="147">
        <f>IF(OR('Données projet'!B12="",'Données projet'!C12="",'Données projet'!C12=0%),0,Calculateur!CE3)</f>
        <v>300.88511065995885</v>
      </c>
      <c r="E9" s="147">
        <f t="shared" ca="1" si="0"/>
        <v>300.88511065995885</v>
      </c>
      <c r="F9" s="147">
        <f t="shared" ca="1" si="1"/>
        <v>222.65498188836958</v>
      </c>
      <c r="G9" s="147">
        <f ca="1">F9*(100%-'Données projet'!$C$24)*(100%-'Données projet'!$C$25)*(100%-'Données projet'!$C$26)*(100%-'Données projet'!$C$27)</f>
        <v>190.37000951455599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190.37000951455599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">
      <c r="A10" s="153" t="str">
        <f>IF('Données projet'!$B$13="","",'Données projet'!$B$13)</f>
        <v>Bouleau verruqueux</v>
      </c>
      <c r="B10" s="154">
        <f>'Données projet'!D13</f>
        <v>0.18500000000000003</v>
      </c>
      <c r="C10" s="147">
        <f ca="1">IF(OR('Données projet'!B13="",'Données projet'!C13="",'Données projet'!C13=0%),0,Calculateur!CY3)</f>
        <v>186.54446846714993</v>
      </c>
      <c r="D10" s="147">
        <f>IF(OR('Données projet'!B13="",'Données projet'!C13="",'Données projet'!C13=0%),0,Calculateur!CZ3)</f>
        <v>154.43773051601286</v>
      </c>
      <c r="E10" s="147">
        <f t="shared" ca="1" si="0"/>
        <v>154.43773051601286</v>
      </c>
      <c r="F10" s="147">
        <f t="shared" ca="1" si="1"/>
        <v>28.570980145462382</v>
      </c>
      <c r="G10" s="147">
        <f ca="1">F10*(100%-'Données projet'!$C$24)*(100%-'Données projet'!$C$25)*(100%-'Données projet'!$C$26)*(100%-'Données projet'!$C$27)</f>
        <v>24.428188024370336</v>
      </c>
      <c r="H10" s="155">
        <f>IF(OR('Données projet'!B13="",'Données projet'!C13="",'Données projet'!C13=0%),0,AVERAGE(Calculateur!$DI$3:$DI$33)*B10)</f>
        <v>9.7633269096250641E-2</v>
      </c>
      <c r="I10" s="149">
        <f>H10*(100%-'Données projet'!$C$24)*(100%-'Données projet'!$C$25)*(100%-'Données projet'!$C$26)*(100%-'Données projet'!$C$27)</f>
        <v>8.3476445077294306E-2</v>
      </c>
      <c r="J10" s="150">
        <f>IF(OR('Données projet'!B13="",'Données projet'!C13="",'Données projet'!C13=0%),0,SUM(Calculateur!$DB$3:$DB$33)*VLOOKUP('Données projet'!$B$13,Paramètres!$A$1:$I$89,9,0)*B10)</f>
        <v>0.77083333333333348</v>
      </c>
      <c r="K10" s="151">
        <f>J10*(100%-'Données projet'!$C$24)*(100%-'Données projet'!$C$25)*(100%-'Données projet'!$C$26)*(100%-'Données projet'!$C$27)</f>
        <v>0.65906250000000011</v>
      </c>
      <c r="L10" s="152">
        <f t="shared" ca="1" si="2"/>
        <v>25.170726969447632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">
      <c r="A11" s="153" t="str">
        <f>IF('Données projet'!$B$14="","",'Données projet'!$B$14)</f>
        <v>Chêne vert</v>
      </c>
      <c r="B11" s="154">
        <f>'Données projet'!D14</f>
        <v>0.222</v>
      </c>
      <c r="C11" s="147">
        <f ca="1">IF(OR('Données projet'!B14="",'Données projet'!C14="",'Données projet'!C14=0%),0,Calculateur!DT3)</f>
        <v>651.35546372812314</v>
      </c>
      <c r="D11" s="147">
        <f>IF(OR('Données projet'!B14="",'Données projet'!C14="",'Données projet'!C14=0%),0,Calculateur!DU3)</f>
        <v>293.6561676213388</v>
      </c>
      <c r="E11" s="147">
        <f t="shared" ca="1" si="0"/>
        <v>293.6561676213388</v>
      </c>
      <c r="F11" s="147">
        <f t="shared" ca="1" si="1"/>
        <v>65.19166921193721</v>
      </c>
      <c r="G11" s="147">
        <f ca="1">F11*(100%-'Données projet'!$C$24)*(100%-'Données projet'!$C$25)*(100%-'Données projet'!$C$26)*(100%-'Données projet'!$C$27)</f>
        <v>55.738877176206309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ca="1" si="2"/>
        <v>55.738877176206309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">
      <c r="A12" s="153" t="str">
        <f>IF('Données projet'!$B$15="","",'Données projet'!$B$15)</f>
        <v>Chêne chevelu</v>
      </c>
      <c r="B12" s="154">
        <f>'Données projet'!D15</f>
        <v>0.222</v>
      </c>
      <c r="C12" s="147">
        <f ca="1">IF(OR('Données projet'!B15="",'Données projet'!C15="",'Données projet'!C15=0%),0,Calculateur!EO3)</f>
        <v>290.69667785754848</v>
      </c>
      <c r="D12" s="147">
        <f>IF(OR('Données projet'!B15="",'Données projet'!C15="",'Données projet'!C15=0%),0,Calculateur!EP3)</f>
        <v>256.28124185489082</v>
      </c>
      <c r="E12" s="147">
        <f t="shared" ca="1" si="0"/>
        <v>256.28124185489082</v>
      </c>
      <c r="F12" s="147">
        <f t="shared" ca="1" si="1"/>
        <v>56.894435691785766</v>
      </c>
      <c r="G12" s="147">
        <f ca="1">F12*(100%-'Données projet'!$C$24)*(100%-'Données projet'!$C$25)*(100%-'Données projet'!$C$26)*(100%-'Données projet'!$C$27)</f>
        <v>48.644742516476825</v>
      </c>
      <c r="H12" s="155">
        <f>IF(OR('Données projet'!B15="",'Données projet'!C15="",'Données projet'!C15=0%),0,AVERAGE(Calculateur!$EY$3:$EY$33)*B12)</f>
        <v>0.6213711222820707</v>
      </c>
      <c r="I12" s="149">
        <f>H12*(100%-'Données projet'!$C$24)*(100%-'Données projet'!$C$25)*(100%-'Données projet'!$C$26)*(100%-'Données projet'!$C$27)</f>
        <v>0.53127230955117044</v>
      </c>
      <c r="J12" s="150">
        <f>IF(OR('Données projet'!B15="",'Données projet'!C15="",'Données projet'!C15=0%),0,SUM(Calculateur!$ER$3:$ER$33)*VLOOKUP('Données projet'!$B$15,Paramètres!$A$1:$I$89,9,0)*B12)</f>
        <v>3.1307692307692307</v>
      </c>
      <c r="K12" s="151">
        <f>J12*(100%-'Données projet'!$C$24)*(100%-'Données projet'!$C$25)*(100%-'Données projet'!$C$26)*(100%-'Données projet'!$C$27)</f>
        <v>2.6768076923076922</v>
      </c>
      <c r="L12" s="152">
        <f t="shared" ca="1" si="2"/>
        <v>51.852822518335685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5">
      <c r="A16" s="209"/>
      <c r="B16" s="213"/>
      <c r="C16" s="214"/>
      <c r="D16" s="23"/>
      <c r="E16" s="23"/>
      <c r="F16" s="165">
        <f t="shared" ref="F16:L16" ca="1" si="3">SUM(F6:F15)</f>
        <v>1179.1034904288247</v>
      </c>
      <c r="G16" s="166">
        <f t="shared" ca="1" si="3"/>
        <v>1008.1334843166452</v>
      </c>
      <c r="H16" s="167">
        <f t="shared" si="3"/>
        <v>5.8704776702194508</v>
      </c>
      <c r="I16" s="167">
        <f t="shared" si="3"/>
        <v>5.019258408037631</v>
      </c>
      <c r="J16" s="168">
        <f t="shared" si="3"/>
        <v>30.513852564102564</v>
      </c>
      <c r="K16" s="168">
        <f t="shared" si="3"/>
        <v>26.089343942307693</v>
      </c>
      <c r="L16" s="169">
        <f t="shared" ca="1" si="3"/>
        <v>1039.2420866669904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5">
      <c r="A21" s="170" t="str">
        <f>A6</f>
        <v>Chêne pubescent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5">
      <c r="A39" s="170" t="str">
        <f>A7</f>
        <v>Erable champêtre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5">
      <c r="A57" s="170" t="str">
        <f>A8</f>
        <v>Charme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5">
      <c r="A76" s="170" t="str">
        <f>A9</f>
        <v>Chêne sessile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5">
      <c r="A94" s="170" t="str">
        <f>A10</f>
        <v>Bouleau verruqueux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5">
      <c r="A112" s="170" t="str">
        <f>A11</f>
        <v>Chêne vert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5">
      <c r="A130" s="170" t="str">
        <f>A12</f>
        <v>Chêne chevelu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3" zoomScale="80" zoomScaleNormal="80" workbookViewId="0">
      <selection activeCell="J20" sqref="J20"/>
    </sheetView>
  </sheetViews>
  <sheetFormatPr baseColWidth="10" defaultColWidth="11.4609375" defaultRowHeight="14.6" x14ac:dyDescent="0.4"/>
  <cols>
    <col min="1" max="1" width="11.4609375" style="1"/>
    <col min="2" max="2" width="30.921875" style="1" bestFit="1" customWidth="1"/>
    <col min="3" max="3" width="18.07421875" style="1" bestFit="1" customWidth="1"/>
    <col min="4" max="5" width="11.4609375" style="1"/>
    <col min="6" max="6" width="14" style="1" customWidth="1"/>
    <col min="7" max="7" width="17.53515625" style="1" customWidth="1"/>
    <col min="8" max="8" width="21.61328125" style="1" customWidth="1"/>
    <col min="9" max="9" width="37" style="1" customWidth="1"/>
    <col min="10" max="10" width="11.4609375" style="1"/>
    <col min="11" max="11" width="8.921875" style="1" customWidth="1"/>
    <col min="12" max="12" width="11.4609375" style="1"/>
    <col min="13" max="13" width="21" style="1" customWidth="1"/>
    <col min="14" max="16" width="11.4609375" style="1"/>
    <col min="17" max="17" width="8" style="1" customWidth="1"/>
    <col min="18" max="18" width="11.4609375" style="1"/>
    <col min="19" max="19" width="31" style="1" customWidth="1"/>
    <col min="20" max="20" width="18.07421875" style="1" customWidth="1"/>
    <col min="21" max="21" width="16.4609375" style="1" customWidth="1"/>
    <col min="22" max="22" width="17.921875" style="1" customWidth="1"/>
    <col min="23" max="16384" width="11.4609375" style="1"/>
  </cols>
  <sheetData>
    <row r="1" spans="1:42" ht="15" thickBot="1" x14ac:dyDescent="0.4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6" thickBot="1" x14ac:dyDescent="0.7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7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pubescent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861.70395431010343</v>
      </c>
      <c r="U10" s="178">
        <f>'Données projet'!D9</f>
        <v>0.77700000000000002</v>
      </c>
      <c r="V10" s="177">
        <f>U10*T10</f>
        <v>669.54397249895044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Erable champêtre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1096.7494722061633</v>
      </c>
      <c r="U11" s="178">
        <f>'Données projet'!D10</f>
        <v>0.77700000000000002</v>
      </c>
      <c r="V11" s="177">
        <f t="shared" ref="V11" si="0">U11*T11</f>
        <v>852.17433990418897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Charme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198.98302174698142</v>
      </c>
      <c r="U12" s="178">
        <f>'Données projet'!D11</f>
        <v>0.77700000000000002</v>
      </c>
      <c r="V12" s="177">
        <f t="shared" ref="V12:V19" si="1">U12*T12</f>
        <v>154.60980789740458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Chêne sessile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424.62754293533658</v>
      </c>
      <c r="U13" s="178">
        <f>'Données projet'!D12</f>
        <v>0.7400000000000001</v>
      </c>
      <c r="V13" s="177">
        <f t="shared" si="1"/>
        <v>314.22438177214912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">
      <c r="A14" s="46" t="s">
        <v>165</v>
      </c>
      <c r="B14" s="174" t="str">
        <f>IF('Données projet'!$B$9="","",'Données projet'!$B$9)</f>
        <v>Chêne pubescent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Bouleau verruqueux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91.447574542083245</v>
      </c>
      <c r="U14" s="178">
        <f>'Données projet'!D13</f>
        <v>0.18500000000000003</v>
      </c>
      <c r="V14" s="177">
        <f t="shared" si="1"/>
        <v>16.917801290285404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Chêne vert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299.04643847086368</v>
      </c>
      <c r="U15" s="178">
        <f>'Données projet'!D14</f>
        <v>0.222</v>
      </c>
      <c r="V15" s="177">
        <f t="shared" si="1"/>
        <v>66.388309340531734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>Chêne chevelu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461.73828435432154</v>
      </c>
      <c r="U16" s="178">
        <f>'Données projet'!D15</f>
        <v>0.222</v>
      </c>
      <c r="V16" s="177">
        <f t="shared" si="1"/>
        <v>102.50589912665939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v>34880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4500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4500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">
      <c r="A23" s="180">
        <f>'Données projet'!A36</f>
        <v>42</v>
      </c>
      <c r="B23" s="181">
        <f>'Données projet'!D36</f>
        <v>44.510000000000005</v>
      </c>
      <c r="C23" s="193">
        <v>15</v>
      </c>
      <c r="D23" s="182">
        <f>B23*C23</f>
        <v>667.65000000000009</v>
      </c>
      <c r="E23" s="193">
        <v>60</v>
      </c>
      <c r="F23" s="230"/>
      <c r="H23" s="190">
        <v>4</v>
      </c>
      <c r="I23" s="191">
        <v>4500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-178482.29852215134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">
      <c r="A24" s="180">
        <f>'Données projet'!A37</f>
        <v>50</v>
      </c>
      <c r="B24" s="181">
        <f>'Données projet'!D37</f>
        <v>37.54000000000002</v>
      </c>
      <c r="C24" s="193">
        <v>15</v>
      </c>
      <c r="D24" s="182">
        <f t="shared" ref="D24:D42" si="2">B24*C24</f>
        <v>563.10000000000036</v>
      </c>
      <c r="E24" s="193">
        <v>60</v>
      </c>
      <c r="F24" s="233"/>
      <c r="H24" s="190">
        <v>5</v>
      </c>
      <c r="I24" s="191">
        <v>4500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11688.84867250139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">
      <c r="A25" s="180">
        <f>'Données projet'!A38</f>
        <v>58</v>
      </c>
      <c r="B25" s="181">
        <f>'Données projet'!D38</f>
        <v>47.789999999999992</v>
      </c>
      <c r="C25" s="193">
        <v>15</v>
      </c>
      <c r="D25" s="182">
        <f t="shared" si="2"/>
        <v>716.84999999999991</v>
      </c>
      <c r="E25" s="193">
        <v>60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140</v>
      </c>
      <c r="Q25" s="234"/>
      <c r="R25" s="23"/>
      <c r="S25" s="186" t="s">
        <v>266</v>
      </c>
      <c r="T25" s="299">
        <f ca="1">T23-T24</f>
        <v>-190171.14719465273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">
      <c r="A26" s="180">
        <f>'Données projet'!A39</f>
        <v>66</v>
      </c>
      <c r="B26" s="181">
        <f>'Données projet'!D39</f>
        <v>53.679999999999978</v>
      </c>
      <c r="C26" s="193">
        <v>59.875</v>
      </c>
      <c r="D26" s="182">
        <f t="shared" si="2"/>
        <v>3214.0899999999988</v>
      </c>
      <c r="E26" s="193">
        <v>60</v>
      </c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">
      <c r="A27" s="180">
        <f>'Données projet'!A40</f>
        <v>74</v>
      </c>
      <c r="B27" s="181">
        <f>'Données projet'!D40</f>
        <v>51.339999999999975</v>
      </c>
      <c r="C27" s="193">
        <v>59.875</v>
      </c>
      <c r="D27" s="182">
        <f t="shared" si="2"/>
        <v>3073.9824999999987</v>
      </c>
      <c r="E27" s="193">
        <v>60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">
      <c r="A28" s="180">
        <f>'Données projet'!A41</f>
        <v>84</v>
      </c>
      <c r="B28" s="181">
        <f>'Données projet'!D41</f>
        <v>66.69</v>
      </c>
      <c r="C28" s="193">
        <v>59.875</v>
      </c>
      <c r="D28" s="182">
        <f t="shared" si="2"/>
        <v>3993.0637499999998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">
      <c r="A29" s="180">
        <f>'Données projet'!A42</f>
        <v>94</v>
      </c>
      <c r="B29" s="181">
        <f>'Données projet'!D42</f>
        <v>67.350000000000023</v>
      </c>
      <c r="C29" s="193">
        <v>59.875</v>
      </c>
      <c r="D29" s="182">
        <f t="shared" si="2"/>
        <v>4032.5812500000015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">
      <c r="A30" s="180">
        <f>'Données projet'!A43</f>
        <v>104</v>
      </c>
      <c r="B30" s="181">
        <f>'Données projet'!D43</f>
        <v>66.089999999999975</v>
      </c>
      <c r="C30" s="193">
        <v>59.875</v>
      </c>
      <c r="D30" s="182">
        <f t="shared" si="2"/>
        <v>3957.1387499999987</v>
      </c>
      <c r="E30" s="193">
        <v>60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3159.1482898652403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">
      <c r="A31" s="180">
        <f>'Données projet'!A44</f>
        <v>114</v>
      </c>
      <c r="B31" s="181">
        <f>'Données projet'!D44</f>
        <v>61.860000000000014</v>
      </c>
      <c r="C31" s="193">
        <v>59.875</v>
      </c>
      <c r="D31" s="182">
        <f t="shared" si="2"/>
        <v>3703.8675000000007</v>
      </c>
      <c r="E31" s="193">
        <v>60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">
      <c r="A32" s="180">
        <f>'Données projet'!A45</f>
        <v>124</v>
      </c>
      <c r="B32" s="181">
        <f>'Données projet'!D45</f>
        <v>57.81</v>
      </c>
      <c r="C32" s="193">
        <v>59.875</v>
      </c>
      <c r="D32" s="182">
        <f t="shared" si="2"/>
        <v>3461.3737500000002</v>
      </c>
      <c r="E32" s="193">
        <v>60</v>
      </c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">
      <c r="A33" s="180">
        <f>'Données projet'!A46</f>
        <v>134</v>
      </c>
      <c r="B33" s="181">
        <f>'Données projet'!D46</f>
        <v>60.779999999999973</v>
      </c>
      <c r="C33" s="193">
        <v>179.75</v>
      </c>
      <c r="D33" s="182">
        <f t="shared" si="2"/>
        <v>10925.204999999994</v>
      </c>
      <c r="E33" s="193">
        <v>60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140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">
      <c r="A34" s="180">
        <f>'Données projet'!A47</f>
        <v>144</v>
      </c>
      <c r="B34" s="181">
        <f>'Données projet'!D47</f>
        <v>61.800000000000068</v>
      </c>
      <c r="C34" s="193">
        <v>179.75</v>
      </c>
      <c r="D34" s="182">
        <f t="shared" si="2"/>
        <v>11108.550000000012</v>
      </c>
      <c r="E34" s="193">
        <v>60</v>
      </c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133.97129186602871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">
      <c r="A35" s="180">
        <f>'Données projet'!A48</f>
        <v>154</v>
      </c>
      <c r="B35" s="181">
        <f>'Données projet'!D48</f>
        <v>61.050000000000011</v>
      </c>
      <c r="C35" s="193">
        <v>179.75</v>
      </c>
      <c r="D35" s="182">
        <f t="shared" si="2"/>
        <v>10973.737500000003</v>
      </c>
      <c r="E35" s="193">
        <v>60</v>
      </c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128.20219317323324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">
      <c r="A36" s="180">
        <f>'Données projet'!A49</f>
        <v>164</v>
      </c>
      <c r="B36" s="181">
        <f>'Données projet'!D49</f>
        <v>66.020000000000095</v>
      </c>
      <c r="C36" s="193">
        <v>179.75</v>
      </c>
      <c r="D36" s="182">
        <f t="shared" si="2"/>
        <v>11867.095000000018</v>
      </c>
      <c r="E36" s="193">
        <v>60</v>
      </c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122.6815245676873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">
      <c r="A37" s="180">
        <f>'Données projet'!A50</f>
        <v>174</v>
      </c>
      <c r="B37" s="181">
        <f>'Données projet'!D50</f>
        <v>240</v>
      </c>
      <c r="C37" s="193">
        <v>234.375</v>
      </c>
      <c r="D37" s="182">
        <f t="shared" si="2"/>
        <v>56250</v>
      </c>
      <c r="E37" s="193">
        <v>60</v>
      </c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117.39858810305009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">
      <c r="A38" s="180">
        <f>'Données projet'!A51</f>
        <v>177</v>
      </c>
      <c r="B38" s="181">
        <f>'Données projet'!D51</f>
        <v>128.66000000000003</v>
      </c>
      <c r="C38" s="193">
        <v>234.375</v>
      </c>
      <c r="D38" s="182">
        <f t="shared" si="2"/>
        <v>30154.687500000007</v>
      </c>
      <c r="E38" s="193">
        <v>60</v>
      </c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112.34314651009578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">
      <c r="A39" s="180">
        <f>'Données projet'!A52</f>
        <v>180</v>
      </c>
      <c r="B39" s="181">
        <f>'Données projet'!D52</f>
        <v>86.97</v>
      </c>
      <c r="C39" s="193">
        <v>234.375</v>
      </c>
      <c r="D39" s="182">
        <f t="shared" si="2"/>
        <v>20383.59375</v>
      </c>
      <c r="E39" s="193">
        <v>60</v>
      </c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107.50540335894335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">
      <c r="A40" s="180">
        <f>'Données projet'!A53</f>
        <v>183</v>
      </c>
      <c r="B40" s="181">
        <f>'Données projet'!D53</f>
        <v>191.47</v>
      </c>
      <c r="C40" s="193">
        <v>234.375</v>
      </c>
      <c r="D40" s="182">
        <f t="shared" si="2"/>
        <v>44875.78125</v>
      </c>
      <c r="E40" s="193">
        <v>60</v>
      </c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102.87598407554387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98.445917775640098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94.206619880995319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90.149875484206063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86.267823429862261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">
      <c r="A45" s="46" t="s">
        <v>166</v>
      </c>
      <c r="B45" s="174" t="str">
        <f>IF('Données projet'!$B$10="","",'Données projet'!$B$10)</f>
        <v>Erable champêtre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82.552941081207919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78.998029742782691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75.59620071079685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72.340861924207516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4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69.225705190629228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4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66.244693962324618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63.392051638588164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60.662250371854704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58.050000355841838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">
      <c r="A54" s="180">
        <f>'Données projet'!A62</f>
        <v>15</v>
      </c>
      <c r="B54" s="181">
        <f>'Données projet'!D62</f>
        <v>32</v>
      </c>
      <c r="C54" s="191">
        <v>13.5625</v>
      </c>
      <c r="D54" s="179">
        <f>B54*C54</f>
        <v>434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55.550239574968259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">
      <c r="A55" s="180">
        <f>'Données projet'!A63</f>
        <v>20</v>
      </c>
      <c r="B55" s="181">
        <f>'Données projet'!D63</f>
        <v>35</v>
      </c>
      <c r="C55" s="191">
        <v>13.5625</v>
      </c>
      <c r="D55" s="179">
        <f t="shared" ref="D55:D73" si="4">B55*C55</f>
        <v>474.6875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53.158123995184958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">
      <c r="A56" s="180">
        <f>'Données projet'!A64</f>
        <v>25</v>
      </c>
      <c r="B56" s="181">
        <f>'Données projet'!D64</f>
        <v>35</v>
      </c>
      <c r="C56" s="191">
        <v>13.5625</v>
      </c>
      <c r="D56" s="179">
        <f t="shared" si="4"/>
        <v>474.6875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50.869018177210478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">
      <c r="A57" s="180">
        <f>'Données projet'!A65</f>
        <v>30</v>
      </c>
      <c r="B57" s="181">
        <f>'Données projet'!D65</f>
        <v>35</v>
      </c>
      <c r="C57" s="191">
        <v>28.4</v>
      </c>
      <c r="D57" s="179">
        <f t="shared" si="4"/>
        <v>994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48.678486293981329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">
      <c r="A58" s="180">
        <f>'Données projet'!A66</f>
        <v>35</v>
      </c>
      <c r="B58" s="181">
        <f>'Données projet'!D66</f>
        <v>35</v>
      </c>
      <c r="C58" s="191">
        <v>28.4</v>
      </c>
      <c r="D58" s="179">
        <f t="shared" si="4"/>
        <v>994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46.582283534910367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">
      <c r="A59" s="180">
        <f>'Données projet'!A67</f>
        <v>40</v>
      </c>
      <c r="B59" s="181">
        <f>'Données projet'!D67</f>
        <v>35</v>
      </c>
      <c r="C59" s="191">
        <v>28.4</v>
      </c>
      <c r="D59" s="179">
        <f t="shared" si="4"/>
        <v>994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44.576347880297014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">
      <c r="A60" s="180">
        <f>'Données projet'!A68</f>
        <v>45</v>
      </c>
      <c r="B60" s="181">
        <f>'Données projet'!D68</f>
        <v>24</v>
      </c>
      <c r="C60" s="191">
        <v>28.4</v>
      </c>
      <c r="D60" s="179">
        <f t="shared" si="4"/>
        <v>681.59999999999991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42.656792229949296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">
      <c r="A61" s="180">
        <f>'Données projet'!A69</f>
        <v>50</v>
      </c>
      <c r="B61" s="181">
        <f>'Données projet'!D69</f>
        <v>19</v>
      </c>
      <c r="C61" s="191">
        <v>28.4</v>
      </c>
      <c r="D61" s="179">
        <f t="shared" si="4"/>
        <v>539.6</v>
      </c>
      <c r="E61" s="193">
        <v>60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40.819896870764886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">
      <c r="A62" s="180">
        <f>'Données projet'!A70</f>
        <v>55</v>
      </c>
      <c r="B62" s="181">
        <f>'Données projet'!D70</f>
        <v>16</v>
      </c>
      <c r="C62" s="191">
        <v>28.4</v>
      </c>
      <c r="D62" s="179">
        <f t="shared" si="4"/>
        <v>454.4</v>
      </c>
      <c r="E62" s="193">
        <v>60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39.062102268674522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">
      <c r="A63" s="180">
        <f>'Données projet'!A71</f>
        <v>60</v>
      </c>
      <c r="B63" s="181">
        <f>'Données projet'!D71</f>
        <v>14</v>
      </c>
      <c r="C63" s="191">
        <v>28.4</v>
      </c>
      <c r="D63" s="179">
        <f t="shared" si="4"/>
        <v>397.59999999999997</v>
      </c>
      <c r="E63" s="193">
        <v>60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37.380002170980418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">
      <c r="A64" s="180">
        <f>'Données projet'!A72</f>
        <v>65</v>
      </c>
      <c r="B64" s="181">
        <f>'Données projet'!D72</f>
        <v>13</v>
      </c>
      <c r="C64" s="191">
        <v>28.4</v>
      </c>
      <c r="D64" s="179">
        <f t="shared" si="4"/>
        <v>369.2</v>
      </c>
      <c r="E64" s="193">
        <v>60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35.770337005722887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">
      <c r="A65" s="180">
        <f>'Données projet'!A73</f>
        <v>70</v>
      </c>
      <c r="B65" s="181">
        <f>'Données projet'!D73</f>
        <v>13</v>
      </c>
      <c r="C65" s="191">
        <v>28.4</v>
      </c>
      <c r="D65" s="179">
        <f t="shared" si="4"/>
        <v>369.2</v>
      </c>
      <c r="E65" s="193">
        <v>60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34.229987565285072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">
      <c r="A66" s="180">
        <f>'Données projet'!A74</f>
        <v>75</v>
      </c>
      <c r="B66" s="181">
        <f>'Données projet'!D74</f>
        <v>12</v>
      </c>
      <c r="C66" s="191">
        <v>28.4</v>
      </c>
      <c r="D66" s="179">
        <f t="shared" si="4"/>
        <v>340.79999999999995</v>
      </c>
      <c r="E66" s="193">
        <v>60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32.755968961995293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">
      <c r="A67" s="180">
        <f>'Données projet'!A75</f>
        <v>80</v>
      </c>
      <c r="B67" s="181">
        <f>'Données projet'!D75</f>
        <v>330</v>
      </c>
      <c r="C67" s="191">
        <v>28.4</v>
      </c>
      <c r="D67" s="179">
        <f t="shared" si="4"/>
        <v>9372</v>
      </c>
      <c r="E67" s="193">
        <v>60</v>
      </c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31.345424844014637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">
      <c r="A68" s="180">
        <f>'Données projet'!A76</f>
        <v>0</v>
      </c>
      <c r="B68" s="181">
        <f>'Données projet'!D76</f>
        <v>0</v>
      </c>
      <c r="C68" s="191">
        <v>28.4</v>
      </c>
      <c r="D68" s="179">
        <f t="shared" si="4"/>
        <v>0</v>
      </c>
      <c r="E68" s="193">
        <v>60</v>
      </c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29.995621860301089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">
      <c r="A69" s="180">
        <f>'Données projet'!A77</f>
        <v>0</v>
      </c>
      <c r="B69" s="181">
        <f>'Données projet'!D77</f>
        <v>0</v>
      </c>
      <c r="C69" s="191">
        <v>28.4</v>
      </c>
      <c r="D69" s="179">
        <f t="shared" si="4"/>
        <v>0</v>
      </c>
      <c r="E69" s="193">
        <v>60</v>
      </c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28.703944363924492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">
      <c r="A70" s="180">
        <f>'Données projet'!A78</f>
        <v>0</v>
      </c>
      <c r="B70" s="181">
        <f>'Données projet'!D78</f>
        <v>0</v>
      </c>
      <c r="C70" s="191">
        <v>28.4</v>
      </c>
      <c r="D70" s="179">
        <f t="shared" si="4"/>
        <v>0</v>
      </c>
      <c r="E70" s="193">
        <v>60</v>
      </c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27.467889343468414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">
      <c r="A71" s="180">
        <f>'Données projet'!A79</f>
        <v>0</v>
      </c>
      <c r="B71" s="181">
        <f>'Données projet'!D79</f>
        <v>0</v>
      </c>
      <c r="C71" s="191">
        <v>28.4</v>
      </c>
      <c r="D71" s="179">
        <f t="shared" si="4"/>
        <v>0</v>
      </c>
      <c r="E71" s="193">
        <v>60</v>
      </c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26.28506157269705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">
      <c r="A72" s="180">
        <f>'Données projet'!A80</f>
        <v>0</v>
      </c>
      <c r="B72" s="181">
        <f>'Données projet'!D80</f>
        <v>0</v>
      </c>
      <c r="C72" s="191">
        <v>28.4</v>
      </c>
      <c r="D72" s="179">
        <f t="shared" si="4"/>
        <v>0</v>
      </c>
      <c r="E72" s="193">
        <v>60</v>
      </c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25.153168969088089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">
      <c r="A73" s="180">
        <f>'Données projet'!A81</f>
        <v>0</v>
      </c>
      <c r="B73" s="181">
        <f>'Données projet'!D81</f>
        <v>0</v>
      </c>
      <c r="C73" s="191">
        <v>28.4</v>
      </c>
      <c r="D73" s="179">
        <f t="shared" si="4"/>
        <v>0</v>
      </c>
      <c r="E73" s="193">
        <v>60</v>
      </c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24.070018152237409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23.033510193528624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22.041636548831224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">
      <c r="A76" s="46" t="s">
        <v>167</v>
      </c>
      <c r="B76" s="174" t="str">
        <f>IF('Données projet'!B11="","",'Données projet'!B11)</f>
        <v>Charme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21.092475166345668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20.184186762053272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19.315011255553372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18.48326435938122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17.68733431519734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16.925678770523778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16.196821789974905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15.499350995191302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14.831914827934259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">
      <c r="A85" s="180">
        <f>'Données projet'!A88</f>
        <v>42</v>
      </c>
      <c r="B85" s="181">
        <f>'Données projet'!D88</f>
        <v>44.510000000000005</v>
      </c>
      <c r="C85" s="191">
        <v>13.5625</v>
      </c>
      <c r="D85" s="179">
        <f>B85*C85</f>
        <v>603.66687500000012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14.193219931037572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">
      <c r="A86" s="180">
        <f>'Données projet'!A89</f>
        <v>50</v>
      </c>
      <c r="B86" s="181">
        <f>'Données projet'!D89</f>
        <v>37.54000000000002</v>
      </c>
      <c r="C86" s="191">
        <v>13.5625</v>
      </c>
      <c r="D86" s="179">
        <f t="shared" ref="D86:D104" si="6">B86*C86</f>
        <v>509.1362500000003</v>
      </c>
      <c r="E86" s="193">
        <v>60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13.582028642141216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">
      <c r="A87" s="180">
        <f>'Données projet'!A90</f>
        <v>58</v>
      </c>
      <c r="B87" s="181">
        <f>'Données projet'!D90</f>
        <v>47.789999999999992</v>
      </c>
      <c r="C87" s="191">
        <v>13.5625</v>
      </c>
      <c r="D87" s="179">
        <f t="shared" si="6"/>
        <v>648.1518749999999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12.997156595350452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">
      <c r="A88" s="180">
        <f>'Données projet'!A91</f>
        <v>66</v>
      </c>
      <c r="B88" s="181">
        <f>'Données projet'!D91</f>
        <v>53.679999999999978</v>
      </c>
      <c r="C88" s="191">
        <v>13.5625</v>
      </c>
      <c r="D88" s="179">
        <f t="shared" si="6"/>
        <v>728.03499999999974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12.437470426172679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">
      <c r="A89" s="180">
        <f>'Données projet'!A92</f>
        <v>74</v>
      </c>
      <c r="B89" s="181">
        <f>'Données projet'!D92</f>
        <v>51.339999999999975</v>
      </c>
      <c r="C89" s="191">
        <v>13.5625</v>
      </c>
      <c r="D89" s="179">
        <f t="shared" si="6"/>
        <v>696.2987499999997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11.901885575284863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">
      <c r="A90" s="180">
        <f>'Données projet'!A93</f>
        <v>84</v>
      </c>
      <c r="B90" s="181">
        <f>'Données projet'!D93</f>
        <v>66.69</v>
      </c>
      <c r="C90" s="191">
        <v>13.5625</v>
      </c>
      <c r="D90" s="179">
        <f t="shared" si="6"/>
        <v>904.48312499999997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11.389364186875468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">
      <c r="A91" s="180">
        <f>'Données projet'!A94</f>
        <v>94</v>
      </c>
      <c r="B91" s="181">
        <f>'Données projet'!D94</f>
        <v>67.350000000000023</v>
      </c>
      <c r="C91" s="191">
        <v>13.5625</v>
      </c>
      <c r="D91" s="179">
        <f t="shared" si="6"/>
        <v>913.43437500000027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10.898913097488489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">
      <c r="A92" s="180">
        <f>'Données projet'!A95</f>
        <v>104</v>
      </c>
      <c r="B92" s="181">
        <f>'Données projet'!D95</f>
        <v>66.089999999999975</v>
      </c>
      <c r="C92" s="191">
        <v>13.5625</v>
      </c>
      <c r="D92" s="179">
        <f t="shared" si="6"/>
        <v>896.3456249999997</v>
      </c>
      <c r="E92" s="193">
        <v>60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10.429581911472239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">
      <c r="A93" s="180">
        <f>'Données projet'!A96</f>
        <v>114</v>
      </c>
      <c r="B93" s="181">
        <f>'Données projet'!D96</f>
        <v>61.860000000000014</v>
      </c>
      <c r="C93" s="191">
        <v>13.5625</v>
      </c>
      <c r="D93" s="179">
        <f t="shared" si="6"/>
        <v>838.97625000000016</v>
      </c>
      <c r="E93" s="193">
        <v>60</v>
      </c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9.9804611593035784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">
      <c r="A94" s="180">
        <f>'Données projet'!A97</f>
        <v>124</v>
      </c>
      <c r="B94" s="181">
        <f>'Données projet'!D97</f>
        <v>57.81</v>
      </c>
      <c r="C94" s="191">
        <v>13.5625</v>
      </c>
      <c r="D94" s="179">
        <f t="shared" si="6"/>
        <v>784.04812500000003</v>
      </c>
      <c r="E94" s="193">
        <v>60</v>
      </c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9.5506805352187349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">
      <c r="A95" s="180">
        <f>'Données projet'!A98</f>
        <v>134</v>
      </c>
      <c r="B95" s="181">
        <f>'Données projet'!D98</f>
        <v>60.779999999999973</v>
      </c>
      <c r="C95" s="191">
        <v>39.6875</v>
      </c>
      <c r="D95" s="179">
        <f t="shared" si="6"/>
        <v>2412.2062499999988</v>
      </c>
      <c r="E95" s="193">
        <v>60</v>
      </c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9.1394072107356354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">
      <c r="A96" s="180">
        <f>'Données projet'!A99</f>
        <v>144</v>
      </c>
      <c r="B96" s="181">
        <f>'Données projet'!D99</f>
        <v>61.800000000000068</v>
      </c>
      <c r="C96" s="191">
        <v>39.6875</v>
      </c>
      <c r="D96" s="179">
        <f t="shared" si="6"/>
        <v>2452.6875000000027</v>
      </c>
      <c r="E96" s="193">
        <v>60</v>
      </c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8.7458442207996487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">
      <c r="A97" s="180">
        <f>'Données projet'!A100</f>
        <v>154</v>
      </c>
      <c r="B97" s="181">
        <f>'Données projet'!D100</f>
        <v>61.050000000000011</v>
      </c>
      <c r="C97" s="191">
        <v>39.6875</v>
      </c>
      <c r="D97" s="179">
        <f t="shared" si="6"/>
        <v>2422.9218750000005</v>
      </c>
      <c r="E97" s="193">
        <v>60</v>
      </c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8.3692289194255061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">
      <c r="A98" s="180">
        <f>'Données projet'!A101</f>
        <v>164</v>
      </c>
      <c r="B98" s="181">
        <f>'Données projet'!D101</f>
        <v>66.020000000000095</v>
      </c>
      <c r="C98" s="191">
        <v>39.6875</v>
      </c>
      <c r="D98" s="179">
        <f t="shared" si="6"/>
        <v>2620.1687500000039</v>
      </c>
      <c r="E98" s="193">
        <v>60</v>
      </c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8.0088315018425895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">
      <c r="A99" s="180">
        <f>'Données projet'!A102</f>
        <v>174</v>
      </c>
      <c r="B99" s="181">
        <f>'Données projet'!D102</f>
        <v>240</v>
      </c>
      <c r="C99" s="191">
        <v>39.6875</v>
      </c>
      <c r="D99" s="179">
        <f t="shared" si="6"/>
        <v>9525</v>
      </c>
      <c r="E99" s="193">
        <v>60</v>
      </c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7.6639535902799922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">
      <c r="A100" s="180">
        <f>'Données projet'!A103</f>
        <v>177</v>
      </c>
      <c r="B100" s="181">
        <f>'Données projet'!D103</f>
        <v>128.66000000000003</v>
      </c>
      <c r="C100" s="191">
        <v>39.6875</v>
      </c>
      <c r="D100" s="179">
        <f t="shared" si="6"/>
        <v>5106.1937500000013</v>
      </c>
      <c r="E100" s="193">
        <v>60</v>
      </c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7.3339268806507096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">
      <c r="A101" s="180">
        <f>'Données projet'!A104</f>
        <v>180</v>
      </c>
      <c r="B101" s="181">
        <f>'Données projet'!D104</f>
        <v>86.97</v>
      </c>
      <c r="C101" s="191">
        <v>39.6875</v>
      </c>
      <c r="D101" s="179">
        <f t="shared" si="6"/>
        <v>3451.6218749999998</v>
      </c>
      <c r="E101" s="193">
        <v>60</v>
      </c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7.0181118475126425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">
      <c r="A102" s="180">
        <f>'Données projet'!A105</f>
        <v>183</v>
      </c>
      <c r="B102" s="181">
        <f>'Données projet'!D105</f>
        <v>191.47</v>
      </c>
      <c r="C102" s="191">
        <v>39.6875</v>
      </c>
      <c r="D102" s="179">
        <f t="shared" si="6"/>
        <v>7598.9656249999998</v>
      </c>
      <c r="E102" s="193">
        <v>60</v>
      </c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6.7158965047967873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">
      <c r="A103" s="180">
        <f>'Données projet'!A106</f>
        <v>0</v>
      </c>
      <c r="B103" s="181">
        <f>'Données projet'!D106</f>
        <v>0</v>
      </c>
      <c r="C103" s="191">
        <v>39.6875</v>
      </c>
      <c r="D103" s="179">
        <f t="shared" si="6"/>
        <v>0</v>
      </c>
      <c r="E103" s="193">
        <v>60</v>
      </c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6.4266952199012337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">
      <c r="A104" s="180">
        <f>'Données projet'!A107</f>
        <v>0</v>
      </c>
      <c r="B104" s="181">
        <f>'Données projet'!D107</f>
        <v>0</v>
      </c>
      <c r="C104" s="191">
        <v>39.6875</v>
      </c>
      <c r="D104" s="179">
        <f t="shared" si="6"/>
        <v>0</v>
      </c>
      <c r="E104" s="193">
        <v>60</v>
      </c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6.1499475788528546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5.8851173003376616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5.6316911964953702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">
      <c r="A107" s="46" t="s">
        <v>168</v>
      </c>
      <c r="B107" s="174" t="str">
        <f>IF('Données projet'!B12="","",'Données projet'!B12)</f>
        <v>Chêne sessile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5.3891781784644701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5.1571083047506887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4.9350318705748233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4.7225185364352376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4.5191564941964009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4.3245516690874641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4.1383269560645601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">
      <c r="A116" s="180">
        <f>'Données projet'!A114</f>
        <v>42</v>
      </c>
      <c r="B116" s="181">
        <f>'Données projet'!D114</f>
        <v>44.510000000000005</v>
      </c>
      <c r="C116" s="191">
        <v>13.5625</v>
      </c>
      <c r="D116" s="179">
        <f>B116*C116</f>
        <v>603.66687500000012</v>
      </c>
      <c r="E116" s="193">
        <v>60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">
      <c r="A117" s="180">
        <f>'Données projet'!A115</f>
        <v>50</v>
      </c>
      <c r="B117" s="181">
        <f>'Données projet'!D115</f>
        <v>37.54000000000002</v>
      </c>
      <c r="C117" s="191">
        <v>13.5625</v>
      </c>
      <c r="D117" s="179">
        <f t="shared" ref="D117:D135" si="8">B117*C117</f>
        <v>509.1362500000003</v>
      </c>
      <c r="E117" s="193">
        <v>60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">
      <c r="A118" s="180">
        <f>'Données projet'!A116</f>
        <v>58</v>
      </c>
      <c r="B118" s="181">
        <f>'Données projet'!D116</f>
        <v>47.789999999999992</v>
      </c>
      <c r="C118" s="191">
        <v>13.5625</v>
      </c>
      <c r="D118" s="179">
        <f t="shared" si="8"/>
        <v>648.1518749999999</v>
      </c>
      <c r="E118" s="193">
        <v>60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">
      <c r="A119" s="180">
        <f>'Données projet'!A117</f>
        <v>66</v>
      </c>
      <c r="B119" s="181">
        <f>'Données projet'!D117</f>
        <v>53.679999999999978</v>
      </c>
      <c r="C119" s="191">
        <v>13.5625</v>
      </c>
      <c r="D119" s="179">
        <f t="shared" si="8"/>
        <v>728.03499999999974</v>
      </c>
      <c r="E119" s="193">
        <v>60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">
      <c r="A120" s="180">
        <f>'Données projet'!A118</f>
        <v>74</v>
      </c>
      <c r="B120" s="181">
        <f>'Données projet'!D118</f>
        <v>51.339999999999975</v>
      </c>
      <c r="C120" s="191">
        <v>13.5625</v>
      </c>
      <c r="D120" s="179">
        <f t="shared" si="8"/>
        <v>696.2987499999997</v>
      </c>
      <c r="E120" s="193">
        <v>60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">
      <c r="A121" s="180">
        <f>'Données projet'!A119</f>
        <v>84</v>
      </c>
      <c r="B121" s="181">
        <f>'Données projet'!D119</f>
        <v>66.69</v>
      </c>
      <c r="C121" s="191">
        <v>39.6875</v>
      </c>
      <c r="D121" s="179">
        <f t="shared" si="8"/>
        <v>2646.7593750000001</v>
      </c>
      <c r="E121" s="193">
        <v>60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">
      <c r="A122" s="180">
        <f>'Données projet'!A120</f>
        <v>94</v>
      </c>
      <c r="B122" s="181">
        <f>'Données projet'!D120</f>
        <v>67.350000000000023</v>
      </c>
      <c r="C122" s="191">
        <v>39.6875</v>
      </c>
      <c r="D122" s="179">
        <f t="shared" si="8"/>
        <v>2672.9531250000009</v>
      </c>
      <c r="E122" s="193">
        <v>60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">
      <c r="A123" s="180">
        <f>'Données projet'!A121</f>
        <v>104</v>
      </c>
      <c r="B123" s="181">
        <f>'Données projet'!D121</f>
        <v>66.089999999999975</v>
      </c>
      <c r="C123" s="191">
        <v>39.6875</v>
      </c>
      <c r="D123" s="179">
        <f t="shared" si="8"/>
        <v>2622.9468749999992</v>
      </c>
      <c r="E123" s="193">
        <v>60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">
      <c r="A124" s="180">
        <f>'Données projet'!A122</f>
        <v>114</v>
      </c>
      <c r="B124" s="181">
        <f>'Données projet'!D122</f>
        <v>61.860000000000014</v>
      </c>
      <c r="C124" s="191">
        <v>39.6875</v>
      </c>
      <c r="D124" s="179">
        <f t="shared" si="8"/>
        <v>2455.0687500000004</v>
      </c>
      <c r="E124" s="193">
        <v>60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">
      <c r="A125" s="180">
        <f>'Données projet'!A123</f>
        <v>124</v>
      </c>
      <c r="B125" s="181">
        <f>'Données projet'!D123</f>
        <v>57.81</v>
      </c>
      <c r="C125" s="191">
        <v>39.6875</v>
      </c>
      <c r="D125" s="179">
        <f t="shared" si="8"/>
        <v>2294.3343749999999</v>
      </c>
      <c r="E125" s="193">
        <v>60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">
      <c r="A126" s="180">
        <f>'Données projet'!A124</f>
        <v>134</v>
      </c>
      <c r="B126" s="181">
        <f>'Données projet'!D124</f>
        <v>60.779999999999973</v>
      </c>
      <c r="C126" s="191">
        <v>39.6875</v>
      </c>
      <c r="D126" s="179">
        <f t="shared" si="8"/>
        <v>2412.2062499999988</v>
      </c>
      <c r="E126" s="193">
        <v>60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">
      <c r="A127" s="180">
        <f>'Données projet'!A125</f>
        <v>144</v>
      </c>
      <c r="B127" s="181">
        <f>'Données projet'!D125</f>
        <v>61.800000000000068</v>
      </c>
      <c r="C127" s="191">
        <v>39.6875</v>
      </c>
      <c r="D127" s="179">
        <f t="shared" si="8"/>
        <v>2452.6875000000027</v>
      </c>
      <c r="E127" s="193">
        <v>60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">
      <c r="A128" s="180">
        <f>'Données projet'!A126</f>
        <v>154</v>
      </c>
      <c r="B128" s="181">
        <f>'Données projet'!D126</f>
        <v>61.050000000000011</v>
      </c>
      <c r="C128" s="191">
        <v>50.65625</v>
      </c>
      <c r="D128" s="179">
        <f t="shared" si="8"/>
        <v>3092.5640625000005</v>
      </c>
      <c r="E128" s="193">
        <v>60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">
      <c r="A129" s="180">
        <f>'Données projet'!A127</f>
        <v>164</v>
      </c>
      <c r="B129" s="181">
        <f>'Données projet'!D127</f>
        <v>66.020000000000095</v>
      </c>
      <c r="C129" s="191">
        <v>50.65625</v>
      </c>
      <c r="D129" s="179">
        <f t="shared" si="8"/>
        <v>3344.3256250000049</v>
      </c>
      <c r="E129" s="193">
        <v>60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">
      <c r="A130" s="180">
        <f>'Données projet'!A128</f>
        <v>174</v>
      </c>
      <c r="B130" s="181">
        <f>'Données projet'!D128</f>
        <v>240</v>
      </c>
      <c r="C130" s="191">
        <v>50.65625</v>
      </c>
      <c r="D130" s="179">
        <f t="shared" si="8"/>
        <v>12157.5</v>
      </c>
      <c r="E130" s="193">
        <v>60</v>
      </c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">
      <c r="A131" s="180">
        <f>'Données projet'!A129</f>
        <v>177</v>
      </c>
      <c r="B131" s="181">
        <f>'Données projet'!D129</f>
        <v>128.66000000000003</v>
      </c>
      <c r="C131" s="191">
        <v>50.65625</v>
      </c>
      <c r="D131" s="179">
        <f t="shared" si="8"/>
        <v>6517.4331250000014</v>
      </c>
      <c r="E131" s="193">
        <v>60</v>
      </c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">
      <c r="A132" s="180">
        <f>'Données projet'!A130</f>
        <v>180</v>
      </c>
      <c r="B132" s="181">
        <f>'Données projet'!D130</f>
        <v>86.97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">
      <c r="A133" s="180">
        <f>'Données projet'!A131</f>
        <v>183</v>
      </c>
      <c r="B133" s="181">
        <f>'Données projet'!D131</f>
        <v>191.47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">
      <c r="A138" s="46" t="s">
        <v>169</v>
      </c>
      <c r="B138" s="174" t="str">
        <f>IF('Données projet'!B13="","",'Données projet'!B13)</f>
        <v>Bouleau verruqueux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">
      <c r="A147" s="42">
        <f>'Données projet'!A140</f>
        <v>15</v>
      </c>
      <c r="B147" s="175">
        <f>'Données projet'!D140</f>
        <v>0</v>
      </c>
      <c r="C147" s="191">
        <v>13.5625</v>
      </c>
      <c r="D147" s="182">
        <f>B147*C147</f>
        <v>0</v>
      </c>
      <c r="E147" s="193">
        <v>60</v>
      </c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">
      <c r="A148" s="42">
        <f>'Données projet'!A141</f>
        <v>20</v>
      </c>
      <c r="B148" s="175">
        <f>'Données projet'!D141</f>
        <v>5.7692307692307692</v>
      </c>
      <c r="C148" s="191">
        <v>13.5625</v>
      </c>
      <c r="D148" s="182">
        <f t="shared" ref="D148:D166" si="10">B148*C148</f>
        <v>78.245192307692307</v>
      </c>
      <c r="E148" s="193">
        <v>60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">
      <c r="A149" s="42">
        <f>'Données projet'!A142</f>
        <v>25</v>
      </c>
      <c r="B149" s="175">
        <f>'Données projet'!D142</f>
        <v>5.1282051282051277</v>
      </c>
      <c r="C149" s="191">
        <v>13.5625</v>
      </c>
      <c r="D149" s="182">
        <f t="shared" si="10"/>
        <v>69.551282051282044</v>
      </c>
      <c r="E149" s="193">
        <v>60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">
      <c r="A150" s="42">
        <f>'Données projet'!A143</f>
        <v>30</v>
      </c>
      <c r="B150" s="175">
        <f>'Données projet'!D143</f>
        <v>5.7692307692307692</v>
      </c>
      <c r="C150" s="191">
        <v>24.375</v>
      </c>
      <c r="D150" s="182">
        <f t="shared" si="10"/>
        <v>140.625</v>
      </c>
      <c r="E150" s="193">
        <v>60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">
      <c r="A151" s="42">
        <f>'Données projet'!A144</f>
        <v>35</v>
      </c>
      <c r="B151" s="175">
        <f>'Données projet'!D144</f>
        <v>6.4102564102564097</v>
      </c>
      <c r="C151" s="191">
        <v>24.375</v>
      </c>
      <c r="D151" s="182">
        <f t="shared" si="10"/>
        <v>156.25</v>
      </c>
      <c r="E151" s="193">
        <v>60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">
      <c r="A152" s="42">
        <f>'Données projet'!A145</f>
        <v>40</v>
      </c>
      <c r="B152" s="175">
        <f>'Données projet'!D145</f>
        <v>6.4102564102564097</v>
      </c>
      <c r="C152" s="191">
        <v>24.375</v>
      </c>
      <c r="D152" s="182">
        <f t="shared" si="10"/>
        <v>156.25</v>
      </c>
      <c r="E152" s="193">
        <v>60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">
      <c r="A153" s="42">
        <f>'Données projet'!A146</f>
        <v>45</v>
      </c>
      <c r="B153" s="175">
        <f>'Données projet'!D146</f>
        <v>7.0512820512820511</v>
      </c>
      <c r="C153" s="191">
        <v>24.375</v>
      </c>
      <c r="D153" s="182">
        <f t="shared" si="10"/>
        <v>171.875</v>
      </c>
      <c r="E153" s="193">
        <v>60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">
      <c r="A154" s="42">
        <f>'Données projet'!A147</f>
        <v>50</v>
      </c>
      <c r="B154" s="175">
        <f>'Données projet'!D147</f>
        <v>7.0512820512820511</v>
      </c>
      <c r="C154" s="191">
        <v>31.875</v>
      </c>
      <c r="D154" s="182">
        <f t="shared" si="10"/>
        <v>224.75961538461539</v>
      </c>
      <c r="E154" s="193">
        <v>60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">
      <c r="A155" s="42">
        <f>'Données projet'!A148</f>
        <v>55</v>
      </c>
      <c r="B155" s="175">
        <f>'Données projet'!D148</f>
        <v>7.0512820512820511</v>
      </c>
      <c r="C155" s="191">
        <v>39.375</v>
      </c>
      <c r="D155" s="182">
        <f t="shared" si="10"/>
        <v>277.64423076923077</v>
      </c>
      <c r="E155" s="193">
        <v>60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">
      <c r="A156" s="42">
        <f>'Données projet'!A149</f>
        <v>60</v>
      </c>
      <c r="B156" s="175">
        <f>'Données projet'!D149</f>
        <v>7.0512820512820511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">
      <c r="A157" s="42">
        <f>'Données projet'!A150</f>
        <v>65</v>
      </c>
      <c r="B157" s="175">
        <f>'Données projet'!D150</f>
        <v>7.0512820512820511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">
      <c r="A158" s="42">
        <f>'Données projet'!A151</f>
        <v>70</v>
      </c>
      <c r="B158" s="175">
        <f>'Données projet'!D151</f>
        <v>7.0512820512820511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">
      <c r="A159" s="42">
        <f>'Données projet'!A152</f>
        <v>75</v>
      </c>
      <c r="B159" s="175">
        <f>'Données projet'!D152</f>
        <v>7.0512820512820511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">
      <c r="A160" s="42">
        <f>'Données projet'!A153</f>
        <v>80</v>
      </c>
      <c r="B160" s="175">
        <f>'Données projet'!D153</f>
        <v>7.0512820512820511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">
      <c r="A161" s="42">
        <f>'Données projet'!A154</f>
        <v>85</v>
      </c>
      <c r="B161" s="175">
        <f>'Données projet'!D154</f>
        <v>6.4102564102564097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">
      <c r="A162" s="42">
        <f>'Données projet'!A155</f>
        <v>90</v>
      </c>
      <c r="B162" s="175">
        <f>'Données projet'!D155</f>
        <v>129.48717948717947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">
      <c r="A169" s="46" t="s">
        <v>170</v>
      </c>
      <c r="B169" s="174" t="str">
        <f>IF('Données projet'!B14="","",'Données projet'!B14)</f>
        <v>Chêne vert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">
      <c r="A178" s="180">
        <f>'Données projet'!A166</f>
        <v>47</v>
      </c>
      <c r="B178" s="181">
        <f>'Données projet'!D166</f>
        <v>54.050000000000011</v>
      </c>
      <c r="C178" s="193">
        <v>13.25</v>
      </c>
      <c r="D178" s="179">
        <f>B178*C178</f>
        <v>716.16250000000014</v>
      </c>
      <c r="E178" s="193">
        <v>60</v>
      </c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">
      <c r="A179" s="180">
        <f>'Données projet'!A167</f>
        <v>55</v>
      </c>
      <c r="B179" s="181">
        <f>'Données projet'!D167</f>
        <v>37.430000000000007</v>
      </c>
      <c r="C179" s="193">
        <v>13.25</v>
      </c>
      <c r="D179" s="179">
        <f t="shared" ref="D179:D197" si="11">B179*C179</f>
        <v>495.9475000000001</v>
      </c>
      <c r="E179" s="193">
        <v>60</v>
      </c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">
      <c r="A180" s="180">
        <f>'Données projet'!A168</f>
        <v>63</v>
      </c>
      <c r="B180" s="181">
        <f>'Données projet'!D168</f>
        <v>35.169999999999987</v>
      </c>
      <c r="C180" s="193">
        <v>25.625</v>
      </c>
      <c r="D180" s="179">
        <f t="shared" si="11"/>
        <v>901.2312499999997</v>
      </c>
      <c r="E180" s="193">
        <v>60</v>
      </c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">
      <c r="A181" s="180">
        <f>'Données projet'!A169</f>
        <v>73</v>
      </c>
      <c r="B181" s="181">
        <f>'Données projet'!D169</f>
        <v>36.890000000000015</v>
      </c>
      <c r="C181" s="193">
        <v>25.625</v>
      </c>
      <c r="D181" s="179">
        <f t="shared" si="11"/>
        <v>945.30625000000043</v>
      </c>
      <c r="E181" s="193">
        <v>60</v>
      </c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">
      <c r="A182" s="180">
        <f>'Données projet'!A170</f>
        <v>83</v>
      </c>
      <c r="B182" s="181">
        <f>'Données projet'!D170</f>
        <v>40.069999999999993</v>
      </c>
      <c r="C182" s="193">
        <v>25.625</v>
      </c>
      <c r="D182" s="179">
        <f t="shared" si="11"/>
        <v>1026.7937499999998</v>
      </c>
      <c r="E182" s="193">
        <v>60</v>
      </c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">
      <c r="A183" s="180">
        <f>'Données projet'!A171</f>
        <v>93</v>
      </c>
      <c r="B183" s="181">
        <f>'Données projet'!D171</f>
        <v>43.449999999999989</v>
      </c>
      <c r="C183" s="193">
        <v>25.625</v>
      </c>
      <c r="D183" s="179">
        <f t="shared" si="11"/>
        <v>1113.4062499999998</v>
      </c>
      <c r="E183" s="193">
        <v>60</v>
      </c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">
      <c r="A184" s="180">
        <f>'Données projet'!A172</f>
        <v>103</v>
      </c>
      <c r="B184" s="181">
        <f>'Données projet'!D172</f>
        <v>48.569999999999993</v>
      </c>
      <c r="C184" s="193">
        <v>25.625</v>
      </c>
      <c r="D184" s="179">
        <f t="shared" si="11"/>
        <v>1244.6062499999998</v>
      </c>
      <c r="E184" s="193">
        <v>60</v>
      </c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">
      <c r="A185" s="180">
        <f>'Données projet'!A173</f>
        <v>113</v>
      </c>
      <c r="B185" s="181">
        <f>'Données projet'!D173</f>
        <v>47.019999999999982</v>
      </c>
      <c r="C185" s="193">
        <v>33.125</v>
      </c>
      <c r="D185" s="179">
        <f t="shared" si="11"/>
        <v>1557.5374999999995</v>
      </c>
      <c r="E185" s="193">
        <v>60</v>
      </c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">
      <c r="A186" s="180">
        <f>'Données projet'!A174</f>
        <v>125</v>
      </c>
      <c r="B186" s="181">
        <f>'Données projet'!D174</f>
        <v>60.19</v>
      </c>
      <c r="C186" s="193">
        <v>33.125</v>
      </c>
      <c r="D186" s="179">
        <f t="shared" si="11"/>
        <v>1993.7937499999998</v>
      </c>
      <c r="E186" s="193">
        <v>60</v>
      </c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">
      <c r="A187" s="180">
        <f>'Données projet'!A175</f>
        <v>137</v>
      </c>
      <c r="B187" s="181">
        <f>'Données projet'!D175</f>
        <v>57.71999999999997</v>
      </c>
      <c r="C187" s="193">
        <v>33.125</v>
      </c>
      <c r="D187" s="179">
        <f t="shared" si="11"/>
        <v>1911.974999999999</v>
      </c>
      <c r="E187" s="193">
        <v>60</v>
      </c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">
      <c r="A188" s="180">
        <f>'Données projet'!A176</f>
        <v>149</v>
      </c>
      <c r="B188" s="181">
        <f>'Données projet'!D176</f>
        <v>64.63</v>
      </c>
      <c r="C188" s="193">
        <v>41.875</v>
      </c>
      <c r="D188" s="179">
        <f t="shared" si="11"/>
        <v>2706.3812499999999</v>
      </c>
      <c r="E188" s="193">
        <v>60</v>
      </c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">
      <c r="A189" s="180">
        <f>'Données projet'!A177</f>
        <v>164</v>
      </c>
      <c r="B189" s="181">
        <f>'Données projet'!D177</f>
        <v>82.93</v>
      </c>
      <c r="C189" s="193">
        <v>41.875</v>
      </c>
      <c r="D189" s="179">
        <f t="shared" si="11"/>
        <v>3472.6937500000004</v>
      </c>
      <c r="E189" s="193">
        <v>60</v>
      </c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">
      <c r="A190" s="180">
        <f>'Données projet'!A178</f>
        <v>179</v>
      </c>
      <c r="B190" s="181">
        <f>'Données projet'!D178</f>
        <v>227.02999999999997</v>
      </c>
      <c r="C190" s="193">
        <v>41.875</v>
      </c>
      <c r="D190" s="179">
        <f t="shared" si="11"/>
        <v>9506.8812499999985</v>
      </c>
      <c r="E190" s="193">
        <v>60</v>
      </c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">
      <c r="A191" s="180">
        <f>'Données projet'!A179</f>
        <v>182</v>
      </c>
      <c r="B191" s="181">
        <f>'Données projet'!D179</f>
        <v>101.59</v>
      </c>
      <c r="C191" s="193">
        <v>41.875</v>
      </c>
      <c r="D191" s="179">
        <f t="shared" si="11"/>
        <v>4254.0812500000002</v>
      </c>
      <c r="E191" s="193">
        <v>60</v>
      </c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">
      <c r="A192" s="180">
        <f>'Données projet'!A180</f>
        <v>185</v>
      </c>
      <c r="B192" s="181">
        <f>'Données projet'!D180</f>
        <v>71.04000000000002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">
      <c r="A193" s="180">
        <f>'Données projet'!A181</f>
        <v>188</v>
      </c>
      <c r="B193" s="181">
        <f>'Données projet'!D181</f>
        <v>137.03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">
      <c r="A200" s="46" t="s">
        <v>171</v>
      </c>
      <c r="B200" s="174" t="str">
        <f>IF('Données projet'!$B$15="","",'Données projet'!$B$15)</f>
        <v>Chêne chevelu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">
      <c r="A209" s="180">
        <f>'Données projet'!A192</f>
        <v>10</v>
      </c>
      <c r="B209" s="181">
        <f>'Données projet'!D192</f>
        <v>0</v>
      </c>
      <c r="C209" s="193">
        <v>13.5625</v>
      </c>
      <c r="D209" s="179">
        <f>B209*C209</f>
        <v>0</v>
      </c>
      <c r="E209" s="193">
        <v>60</v>
      </c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">
      <c r="A210" s="180">
        <f>'Données projet'!A193</f>
        <v>15</v>
      </c>
      <c r="B210" s="181">
        <f>'Données projet'!D193</f>
        <v>0</v>
      </c>
      <c r="C210" s="193">
        <v>13.5625</v>
      </c>
      <c r="D210" s="179">
        <f t="shared" ref="D210:D228" si="12">B210*C210</f>
        <v>0</v>
      </c>
      <c r="E210" s="193">
        <v>60</v>
      </c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">
      <c r="A211" s="180">
        <f>'Données projet'!A194</f>
        <v>20</v>
      </c>
      <c r="B211" s="181">
        <f>'Données projet'!D194</f>
        <v>26.282051282051281</v>
      </c>
      <c r="C211" s="193">
        <v>13.5625</v>
      </c>
      <c r="D211" s="179">
        <f t="shared" si="12"/>
        <v>356.4503205128205</v>
      </c>
      <c r="E211" s="193">
        <v>60</v>
      </c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">
      <c r="A212" s="180">
        <f>'Données projet'!A195</f>
        <v>25</v>
      </c>
      <c r="B212" s="181">
        <f>'Données projet'!D195</f>
        <v>14.743589743589743</v>
      </c>
      <c r="C212" s="193">
        <v>24.375</v>
      </c>
      <c r="D212" s="179">
        <f t="shared" si="12"/>
        <v>359.375</v>
      </c>
      <c r="E212" s="193">
        <v>60</v>
      </c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">
      <c r="A213" s="180">
        <f>'Données projet'!A196</f>
        <v>30</v>
      </c>
      <c r="B213" s="181">
        <f>'Données projet'!D196</f>
        <v>15.384615384615383</v>
      </c>
      <c r="C213" s="193">
        <v>24.375</v>
      </c>
      <c r="D213" s="179">
        <f t="shared" si="12"/>
        <v>374.99999999999994</v>
      </c>
      <c r="E213" s="193">
        <v>60</v>
      </c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">
      <c r="A214" s="180">
        <f>'Données projet'!A197</f>
        <v>35</v>
      </c>
      <c r="B214" s="181">
        <f>'Données projet'!D197</f>
        <v>15.384615384615383</v>
      </c>
      <c r="C214" s="193">
        <v>24.375</v>
      </c>
      <c r="D214" s="179">
        <f t="shared" si="12"/>
        <v>374.99999999999994</v>
      </c>
      <c r="E214" s="193">
        <v>60</v>
      </c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">
      <c r="A215" s="180">
        <f>'Données projet'!A198</f>
        <v>40</v>
      </c>
      <c r="B215" s="181">
        <f>'Données projet'!D198</f>
        <v>14.743589743589743</v>
      </c>
      <c r="C215" s="193">
        <v>24.375</v>
      </c>
      <c r="D215" s="179">
        <f t="shared" si="12"/>
        <v>359.375</v>
      </c>
      <c r="E215" s="193">
        <v>60</v>
      </c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">
      <c r="A216" s="180">
        <f>'Données projet'!A199</f>
        <v>45</v>
      </c>
      <c r="B216" s="181">
        <f>'Données projet'!D199</f>
        <v>14.102564102564102</v>
      </c>
      <c r="C216" s="193">
        <v>31.875</v>
      </c>
      <c r="D216" s="179">
        <f t="shared" si="12"/>
        <v>449.51923076923077</v>
      </c>
      <c r="E216" s="193">
        <v>60</v>
      </c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">
      <c r="A217" s="180">
        <f>'Données projet'!A200</f>
        <v>50</v>
      </c>
      <c r="B217" s="181">
        <f>'Données projet'!D200</f>
        <v>13.461538461538462</v>
      </c>
      <c r="C217" s="193">
        <v>39.375</v>
      </c>
      <c r="D217" s="179">
        <f t="shared" si="12"/>
        <v>530.04807692307691</v>
      </c>
      <c r="E217" s="193">
        <v>60</v>
      </c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">
      <c r="A218" s="180">
        <f>'Données projet'!A201</f>
        <v>55</v>
      </c>
      <c r="B218" s="181">
        <f>'Données projet'!D201</f>
        <v>12.820512820512819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">
      <c r="A219" s="180">
        <f>'Données projet'!A202</f>
        <v>60</v>
      </c>
      <c r="B219" s="181">
        <f>'Données projet'!D202</f>
        <v>11.538461538461538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">
      <c r="A220" s="180">
        <f>'Données projet'!A203</f>
        <v>65</v>
      </c>
      <c r="B220" s="181">
        <f>'Données projet'!D203</f>
        <v>10.897435897435898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">
      <c r="A221" s="180">
        <f>'Données projet'!A204</f>
        <v>70</v>
      </c>
      <c r="B221" s="181">
        <f>'Données projet'!D204</f>
        <v>10.256410256410255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">
      <c r="A222" s="180">
        <f>'Données projet'!A205</f>
        <v>75</v>
      </c>
      <c r="B222" s="181">
        <f>'Données projet'!D205</f>
        <v>8.9743589743589745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">
      <c r="A223" s="180">
        <f>'Données projet'!A206</f>
        <v>80</v>
      </c>
      <c r="B223" s="181">
        <f>'Données projet'!D206</f>
        <v>8.3333333333333339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">
      <c r="A224" s="180">
        <f>'Données projet'!A207</f>
        <v>85</v>
      </c>
      <c r="B224" s="181">
        <f>'Données projet'!D207</f>
        <v>7.6923076923076916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">
      <c r="A225" s="180">
        <f>'Données projet'!A208</f>
        <v>90</v>
      </c>
      <c r="B225" s="181">
        <f>'Données projet'!D208</f>
        <v>7.0512820512820511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">
      <c r="A226" s="180">
        <f>'Données projet'!A209</f>
        <v>95</v>
      </c>
      <c r="B226" s="181">
        <f>'Données projet'!D209</f>
        <v>7.0512820512820511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">
      <c r="A227" s="180">
        <f>'Données projet'!A210</f>
        <v>100</v>
      </c>
      <c r="B227" s="181">
        <f>'Données projet'!D210</f>
        <v>153.84615384615384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">
      <c r="A240" s="180">
        <f>'Données projet'!A218</f>
        <v>0</v>
      </c>
      <c r="B240" s="181">
        <f>'Données projet'!D218</f>
        <v>0</v>
      </c>
      <c r="C240" s="193">
        <v>13.75</v>
      </c>
      <c r="D240" s="179">
        <f>B240*C240</f>
        <v>0</v>
      </c>
      <c r="E240" s="193">
        <v>60</v>
      </c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">
      <c r="A241" s="180">
        <f>'Données projet'!A219</f>
        <v>0</v>
      </c>
      <c r="B241" s="181">
        <f>'Données projet'!D219</f>
        <v>0</v>
      </c>
      <c r="C241" s="193">
        <v>13.75</v>
      </c>
      <c r="D241" s="179">
        <f t="shared" ref="D241:D259" si="13">B241*C241</f>
        <v>0</v>
      </c>
      <c r="E241" s="193">
        <v>60</v>
      </c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">
      <c r="A242" s="180">
        <f>'Données projet'!A220</f>
        <v>0</v>
      </c>
      <c r="B242" s="181">
        <f>'Données projet'!D220</f>
        <v>0</v>
      </c>
      <c r="C242" s="193">
        <v>13.75</v>
      </c>
      <c r="D242" s="179">
        <f t="shared" si="13"/>
        <v>0</v>
      </c>
      <c r="E242" s="193">
        <v>60</v>
      </c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">
      <c r="A243" s="180">
        <f>'Données projet'!A221</f>
        <v>0</v>
      </c>
      <c r="B243" s="181">
        <f>'Données projet'!D221</f>
        <v>0</v>
      </c>
      <c r="C243" s="193">
        <v>55.625</v>
      </c>
      <c r="D243" s="179">
        <f t="shared" si="13"/>
        <v>0</v>
      </c>
      <c r="E243" s="193">
        <v>60</v>
      </c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">
      <c r="A244" s="180">
        <f>'Données projet'!A222</f>
        <v>0</v>
      </c>
      <c r="B244" s="181">
        <f>'Données projet'!D222</f>
        <v>0</v>
      </c>
      <c r="C244" s="193">
        <v>55.625</v>
      </c>
      <c r="D244" s="179">
        <f t="shared" si="13"/>
        <v>0</v>
      </c>
      <c r="E244" s="193">
        <v>60</v>
      </c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">
      <c r="A245" s="180">
        <f>'Données projet'!A223</f>
        <v>0</v>
      </c>
      <c r="B245" s="181">
        <f>'Données projet'!D223</f>
        <v>0</v>
      </c>
      <c r="C245" s="193">
        <v>55.625</v>
      </c>
      <c r="D245" s="179">
        <f t="shared" si="13"/>
        <v>0</v>
      </c>
      <c r="E245" s="193">
        <v>60</v>
      </c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">
      <c r="A246" s="180">
        <f>'Données projet'!A224</f>
        <v>0</v>
      </c>
      <c r="B246" s="181">
        <f>'Données projet'!D224</f>
        <v>0</v>
      </c>
      <c r="C246" s="193">
        <v>55.625</v>
      </c>
      <c r="D246" s="179">
        <f t="shared" si="13"/>
        <v>0</v>
      </c>
      <c r="E246" s="193">
        <v>60</v>
      </c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">
      <c r="A247" s="180">
        <f>'Données projet'!A225</f>
        <v>0</v>
      </c>
      <c r="B247" s="181">
        <f>'Données projet'!D225</f>
        <v>0</v>
      </c>
      <c r="C247" s="193">
        <v>55.625</v>
      </c>
      <c r="D247" s="179">
        <f t="shared" si="13"/>
        <v>0</v>
      </c>
      <c r="E247" s="193">
        <v>60</v>
      </c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">
      <c r="A248" s="180">
        <f>'Données projet'!A226</f>
        <v>0</v>
      </c>
      <c r="B248" s="181">
        <f>'Données projet'!D226</f>
        <v>0</v>
      </c>
      <c r="C248" s="193">
        <v>55.625</v>
      </c>
      <c r="D248" s="179">
        <f t="shared" si="13"/>
        <v>0</v>
      </c>
      <c r="E248" s="193">
        <v>60</v>
      </c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">
      <c r="A249" s="180">
        <f>'Données projet'!A227</f>
        <v>0</v>
      </c>
      <c r="B249" s="181">
        <f>'Données projet'!D227</f>
        <v>0</v>
      </c>
      <c r="C249" s="193">
        <v>55.625</v>
      </c>
      <c r="D249" s="179">
        <f t="shared" si="13"/>
        <v>0</v>
      </c>
      <c r="E249" s="193">
        <v>60</v>
      </c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">
      <c r="A250" s="180">
        <f>'Données projet'!A228</f>
        <v>0</v>
      </c>
      <c r="B250" s="181">
        <f>'Données projet'!D228</f>
        <v>0</v>
      </c>
      <c r="C250" s="193">
        <v>143.125</v>
      </c>
      <c r="D250" s="179">
        <f t="shared" si="13"/>
        <v>0</v>
      </c>
      <c r="E250" s="193">
        <v>60</v>
      </c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">
      <c r="A251" s="180">
        <f>'Données projet'!A229</f>
        <v>0</v>
      </c>
      <c r="B251" s="181">
        <f>'Données projet'!D229</f>
        <v>0</v>
      </c>
      <c r="C251" s="193">
        <v>143.125</v>
      </c>
      <c r="D251" s="179">
        <f t="shared" si="13"/>
        <v>0</v>
      </c>
      <c r="E251" s="193">
        <v>60</v>
      </c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">
      <c r="A252" s="180">
        <f>'Données projet'!A230</f>
        <v>0</v>
      </c>
      <c r="B252" s="181">
        <f>'Données projet'!D230</f>
        <v>0</v>
      </c>
      <c r="C252" s="193">
        <v>143.125</v>
      </c>
      <c r="D252" s="179">
        <f t="shared" si="13"/>
        <v>0</v>
      </c>
      <c r="E252" s="193">
        <v>60</v>
      </c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">
      <c r="A253" s="180">
        <f>'Données projet'!A231</f>
        <v>0</v>
      </c>
      <c r="B253" s="181">
        <f>'Données projet'!D231</f>
        <v>0</v>
      </c>
      <c r="C253" s="193">
        <v>143.125</v>
      </c>
      <c r="D253" s="179">
        <f t="shared" si="13"/>
        <v>0</v>
      </c>
      <c r="E253" s="193">
        <v>60</v>
      </c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">
      <c r="A254" s="180">
        <f>'Données projet'!A232</f>
        <v>0</v>
      </c>
      <c r="B254" s="181">
        <f>'Données projet'!D232</f>
        <v>0</v>
      </c>
      <c r="C254" s="193">
        <v>143.125</v>
      </c>
      <c r="D254" s="179">
        <f t="shared" si="13"/>
        <v>0</v>
      </c>
      <c r="E254" s="193">
        <v>60</v>
      </c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">
      <c r="A255" s="180">
        <f>'Données projet'!A233</f>
        <v>0</v>
      </c>
      <c r="B255" s="181">
        <f>'Données projet'!D233</f>
        <v>0</v>
      </c>
      <c r="C255" s="193">
        <v>196.875</v>
      </c>
      <c r="D255" s="179">
        <f t="shared" si="13"/>
        <v>0</v>
      </c>
      <c r="E255" s="193">
        <v>60</v>
      </c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6" ma:contentTypeDescription="Create a new document." ma:contentTypeScope="" ma:versionID="b650ad57ab3a7623fd3df204a7303bfb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87e2e07588c417d1119dc0de3bcdcb0c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A00117-7C96-45E4-A48B-E06A3E6FD7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6861AC-80B4-4803-8030-7424409AD984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customXml/itemProps3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Constantin DESCAMPS</cp:lastModifiedBy>
  <dcterms:created xsi:type="dcterms:W3CDTF">2021-02-01T08:22:39Z</dcterms:created>
  <dcterms:modified xsi:type="dcterms:W3CDTF">2025-04-22T08:42:20Z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2102600</vt:r8>
  </property>
  <property fmtid="{D5CDD505-2E9C-101B-9397-08002B2CF9AE}" pid="4" name="MediaServiceImageTags">
    <vt:lpwstr/>
  </property>
</Properties>
</file>