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adre de travail\Les projets\Mission accomplie\CNPF C+for n° 204 Grand'Landes (EasyJet n° 7)\Montage du projet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1" l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D36" i="1"/>
  <c r="B36" i="1"/>
  <c r="B94" i="1" l="1"/>
  <c r="D94" i="1" s="1"/>
  <c r="D93" i="1"/>
  <c r="B93" i="1"/>
  <c r="D92" i="1"/>
  <c r="B92" i="1"/>
  <c r="D91" i="1"/>
  <c r="B91" i="1"/>
  <c r="D90" i="1"/>
  <c r="B90" i="1"/>
  <c r="D89" i="1"/>
  <c r="B89" i="1"/>
  <c r="D88" i="1"/>
  <c r="B88" i="1"/>
  <c r="D81" i="1"/>
  <c r="B81" i="1"/>
  <c r="D80" i="1"/>
  <c r="B80" i="1"/>
  <c r="D79" i="1"/>
  <c r="B79" i="1"/>
  <c r="D78" i="1"/>
  <c r="B78" i="1"/>
  <c r="D77" i="1"/>
  <c r="B77" i="1"/>
  <c r="B76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<sst xmlns="http://schemas.openxmlformats.org/spreadsheetml/2006/main" count="1172" uniqueCount="324">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</sst>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1.9190286454012624</c:v>
                </c:pt>
                <c:pt idx="2">
                  <c:v>2.3745849545197242</c:v>
                </c:pt>
                <c:pt idx="3">
                  <c:v>2.938707459966293</c:v>
                </c:pt>
                <c:pt idx="4">
                  <c:v>3.6373642605922853</c:v>
                </c:pt>
                <c:pt idx="5">
                  <c:v>4.5027561309452855</c:v>
                </c:pt>
                <c:pt idx="6">
                  <c:v>5.5748172110080709</c:v>
                </c:pt>
                <c:pt idx="7">
                  <c:v>6.9030780907738958</c:v>
                </c:pt>
                <c:pt idx="8">
                  <c:v>8.5489790386098861</c:v>
                </c:pt>
                <c:pt idx="9">
                  <c:v>10.588742421786387</c:v>
                </c:pt>
                <c:pt idx="10">
                  <c:v>13.116939848545632</c:v>
                </c:pt>
                <c:pt idx="11">
                  <c:v>16.250922486723002</c:v>
                </c:pt>
                <c:pt idx="12">
                  <c:v>20.136323955741016</c:v>
                </c:pt>
                <c:pt idx="13">
                  <c:v>24.953896102189773</c:v>
                </c:pt>
                <c:pt idx="14">
                  <c:v>30.928001287430916</c:v>
                </c:pt>
                <c:pt idx="15">
                  <c:v>38.337163566726382</c:v>
                </c:pt>
                <c:pt idx="16">
                  <c:v>47.527179091678228</c:v>
                </c:pt>
                <c:pt idx="17">
                  <c:v>58.927407911319868</c:v>
                </c:pt>
                <c:pt idx="18">
                  <c:v>73.071020919484155</c:v>
                </c:pt>
                <c:pt idx="19">
                  <c:v>90.620164263085925</c:v>
                </c:pt>
                <c:pt idx="20">
                  <c:v>112.39723813230249</c:v>
                </c:pt>
                <c:pt idx="21">
                  <c:v>139.42377875850318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158.76051047616974</c:v>
                </c:pt>
                <c:pt idx="29">
                  <c:v>175.59896515661083</c:v>
                </c:pt>
                <c:pt idx="30">
                  <c:v>192.39950654022337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220.02792534458789</c:v>
                </c:pt>
                <c:pt idx="36">
                  <c:v>236.44664825214033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318.18531578207222</c:v>
                </c:pt>
                <c:pt idx="42">
                  <c:v>258.41598708702207</c:v>
                </c:pt>
                <c:pt idx="43">
                  <c:v>273.64897539352847</c:v>
                </c:pt>
                <c:pt idx="44">
                  <c:v>288.86291050410301</c:v>
                </c:pt>
                <c:pt idx="45">
                  <c:v>304.05893725366747</c:v>
                </c:pt>
                <c:pt idx="46">
                  <c:v>319.23807668113341</c:v>
                </c:pt>
                <c:pt idx="47">
                  <c:v>334.40124478994881</c:v>
                </c:pt>
                <c:pt idx="48">
                  <c:v>349.54926772624776</c:v>
                </c:pt>
                <c:pt idx="49">
                  <c:v>364.68289418741483</c:v>
                </c:pt>
                <c:pt idx="50">
                  <c:v>379.80280566271313</c:v>
                </c:pt>
                <c:pt idx="51">
                  <c:v>322.84049712168786</c:v>
                </c:pt>
                <c:pt idx="52">
                  <c:v>336.46900936276592</c:v>
                </c:pt>
                <c:pt idx="53">
                  <c:v>350.08536930552197</c:v>
                </c:pt>
                <c:pt idx="54">
                  <c:v>363.69011622210314</c:v>
                </c:pt>
                <c:pt idx="55">
                  <c:v>377.28374574247255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431.55573603859699</c:v>
                </c:pt>
                <c:pt idx="60">
                  <c:v>445.09999862375906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006064"/>
        <c:axId val="1026008240"/>
      </c:scatterChart>
      <c:valAx>
        <c:axId val="1026006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008240"/>
        <c:crosses val="autoZero"/>
        <c:crossBetween val="midCat"/>
      </c:valAx>
      <c:valAx>
        <c:axId val="102600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006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399888"/>
        <c:axId val="832400432"/>
      </c:scatterChart>
      <c:valAx>
        <c:axId val="832399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400432"/>
        <c:crosses val="autoZero"/>
        <c:crossBetween val="midCat"/>
      </c:valAx>
      <c:valAx>
        <c:axId val="83240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99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85.095907314816401</c:v>
                </c:pt>
                <c:pt idx="17">
                  <c:v>98.377811836935564</c:v>
                </c:pt>
                <c:pt idx="18">
                  <c:v>111.61512570313762</c:v>
                </c:pt>
                <c:pt idx="19">
                  <c:v>124.81389250757191</c:v>
                </c:pt>
                <c:pt idx="20">
                  <c:v>137.97876857105169</c:v>
                </c:pt>
                <c:pt idx="21">
                  <c:v>152.8626230482474</c:v>
                </c:pt>
                <c:pt idx="22">
                  <c:v>167.71198305973977</c:v>
                </c:pt>
                <c:pt idx="23">
                  <c:v>182.53033488053475</c:v>
                </c:pt>
                <c:pt idx="24">
                  <c:v>197.32055161106871</c:v>
                </c:pt>
                <c:pt idx="25">
                  <c:v>212.08503993201154</c:v>
                </c:pt>
                <c:pt idx="26">
                  <c:v>227.40345702308142</c:v>
                </c:pt>
                <c:pt idx="27">
                  <c:v>242.69825965817117</c:v>
                </c:pt>
                <c:pt idx="28">
                  <c:v>257.97114577920252</c:v>
                </c:pt>
                <c:pt idx="29">
                  <c:v>273.22359576358815</c:v>
                </c:pt>
                <c:pt idx="30">
                  <c:v>288.45691115019287</c:v>
                </c:pt>
                <c:pt idx="31">
                  <c:v>240.39105366248293</c:v>
                </c:pt>
                <c:pt idx="32">
                  <c:v>255.66714821510956</c:v>
                </c:pt>
                <c:pt idx="33">
                  <c:v>270.92259547869656</c:v>
                </c:pt>
                <c:pt idx="34">
                  <c:v>286.15872187513997</c:v>
                </c:pt>
                <c:pt idx="35">
                  <c:v>301.37670100579004</c:v>
                </c:pt>
                <c:pt idx="36">
                  <c:v>316.00425931230865</c:v>
                </c:pt>
                <c:pt idx="37">
                  <c:v>330.61681894119141</c:v>
                </c:pt>
                <c:pt idx="38">
                  <c:v>345.21513616565261</c:v>
                </c:pt>
                <c:pt idx="39">
                  <c:v>359.79989807187752</c:v>
                </c:pt>
                <c:pt idx="40">
                  <c:v>374.3717314954622</c:v>
                </c:pt>
                <c:pt idx="41">
                  <c:v>338.34706882980078</c:v>
                </c:pt>
                <c:pt idx="42">
                  <c:v>352.36618279610326</c:v>
                </c:pt>
                <c:pt idx="43">
                  <c:v>366.37307423131756</c:v>
                </c:pt>
                <c:pt idx="44">
                  <c:v>380.3682762367792</c:v>
                </c:pt>
                <c:pt idx="45">
                  <c:v>394.35227948231795</c:v>
                </c:pt>
                <c:pt idx="46">
                  <c:v>407.75540484100776</c:v>
                </c:pt>
                <c:pt idx="47">
                  <c:v>421.14901471610159</c:v>
                </c:pt>
                <c:pt idx="48">
                  <c:v>434.53345434246239</c:v>
                </c:pt>
                <c:pt idx="49">
                  <c:v>447.90904595354408</c:v>
                </c:pt>
                <c:pt idx="50">
                  <c:v>461.27609096941552</c:v>
                </c:pt>
                <c:pt idx="51">
                  <c:v>419.72460434236359</c:v>
                </c:pt>
                <c:pt idx="52">
                  <c:v>432.25588530441445</c:v>
                </c:pt>
                <c:pt idx="53">
                  <c:v>444.77936519493966</c:v>
                </c:pt>
                <c:pt idx="54">
                  <c:v>457.2952946141495</c:v>
                </c:pt>
                <c:pt idx="55">
                  <c:v>469.80390932615688</c:v>
                </c:pt>
                <c:pt idx="56">
                  <c:v>481.45327595412624</c:v>
                </c:pt>
                <c:pt idx="57">
                  <c:v>493.09665437546749</c:v>
                </c:pt>
                <c:pt idx="58">
                  <c:v>504.73420591215864</c:v>
                </c:pt>
                <c:pt idx="59">
                  <c:v>516.3660838407244</c:v>
                </c:pt>
                <c:pt idx="60">
                  <c:v>527.99243396951181</c:v>
                </c:pt>
                <c:pt idx="61">
                  <c:v>485.14571936914029</c:v>
                </c:pt>
                <c:pt idx="62">
                  <c:v>496.21948974271317</c:v>
                </c:pt>
                <c:pt idx="63">
                  <c:v>507.28802580021755</c:v>
                </c:pt>
                <c:pt idx="64">
                  <c:v>518.35145784639667</c:v>
                </c:pt>
                <c:pt idx="65">
                  <c:v>529.40991017019905</c:v>
                </c:pt>
                <c:pt idx="66">
                  <c:v>540.18013580779473</c:v>
                </c:pt>
                <c:pt idx="67">
                  <c:v>550.94585148491763</c:v>
                </c:pt>
                <c:pt idx="68">
                  <c:v>561.70715774350776</c:v>
                </c:pt>
                <c:pt idx="69">
                  <c:v>572.4641509593182</c:v>
                </c:pt>
                <c:pt idx="70">
                  <c:v>583.21692359125188</c:v>
                </c:pt>
                <c:pt idx="71">
                  <c:v>542.16362979037569</c:v>
                </c:pt>
                <c:pt idx="72">
                  <c:v>552.07882650510749</c:v>
                </c:pt>
                <c:pt idx="73">
                  <c:v>561.99029135597004</c:v>
                </c:pt>
                <c:pt idx="74">
                  <c:v>571.89809943666535</c:v>
                </c:pt>
                <c:pt idx="75">
                  <c:v>581.80232302690615</c:v>
                </c:pt>
                <c:pt idx="76">
                  <c:v>591.42020251323834</c:v>
                </c:pt>
                <c:pt idx="77">
                  <c:v>601.03482666056914</c:v>
                </c:pt>
                <c:pt idx="78">
                  <c:v>610.64625488100796</c:v>
                </c:pt>
                <c:pt idx="79">
                  <c:v>620.25454456407806</c:v>
                </c:pt>
                <c:pt idx="80">
                  <c:v>629.85975117650617</c:v>
                </c:pt>
                <c:pt idx="81">
                  <c:v>589.15746715790237</c:v>
                </c:pt>
                <c:pt idx="82">
                  <c:v>597.92456551950988</c:v>
                </c:pt>
                <c:pt idx="83">
                  <c:v>606.68899129254567</c:v>
                </c:pt>
                <c:pt idx="84">
                  <c:v>615.45078852910217</c:v>
                </c:pt>
                <c:pt idx="85">
                  <c:v>624.20999992474549</c:v>
                </c:pt>
                <c:pt idx="86">
                  <c:v>632.68423305275508</c:v>
                </c:pt>
                <c:pt idx="87">
                  <c:v>641.15611967114364</c:v>
                </c:pt>
                <c:pt idx="88">
                  <c:v>649.62569515483597</c:v>
                </c:pt>
                <c:pt idx="89">
                  <c:v>658.09299388120962</c:v>
                </c:pt>
                <c:pt idx="90">
                  <c:v>666.5580492709729</c:v>
                </c:pt>
                <c:pt idx="91">
                  <c:v>627.59997706387446</c:v>
                </c:pt>
                <c:pt idx="92">
                  <c:v>635.22604379249128</c:v>
                </c:pt>
                <c:pt idx="93">
                  <c:v>642.8502185444828</c:v>
                </c:pt>
                <c:pt idx="94">
                  <c:v>650.47252692274378</c:v>
                </c:pt>
                <c:pt idx="95">
                  <c:v>658.09299388120962</c:v>
                </c:pt>
                <c:pt idx="96">
                  <c:v>665.71164374879129</c:v>
                </c:pt>
                <c:pt idx="97">
                  <c:v>673.32850025215942</c:v>
                </c:pt>
                <c:pt idx="98">
                  <c:v>680.943586537442</c:v>
                </c:pt>
                <c:pt idx="99">
                  <c:v>688.55692519090269</c:v>
                </c:pt>
                <c:pt idx="100">
                  <c:v>696.16853825865599</c:v>
                </c:pt>
                <c:pt idx="101">
                  <c:v>658.09299388120962</c:v>
                </c:pt>
                <c:pt idx="102">
                  <c:v>665.14736110281672</c:v>
                </c:pt>
                <c:pt idx="103">
                  <c:v>672.20018932008873</c:v>
                </c:pt>
                <c:pt idx="104">
                  <c:v>679.25149695725497</c:v>
                </c:pt>
                <c:pt idx="105">
                  <c:v>686.30130202483861</c:v>
                </c:pt>
                <c:pt idx="106">
                  <c:v>693.34962213319204</c:v>
                </c:pt>
                <c:pt idx="107">
                  <c:v>700.39647450545351</c:v>
                </c:pt>
                <c:pt idx="108">
                  <c:v>707.44187598995484</c:v>
                </c:pt>
                <c:pt idx="109">
                  <c:v>714.48584307211024</c:v>
                </c:pt>
                <c:pt idx="110">
                  <c:v>721.52839188581265</c:v>
                </c:pt>
                <c:pt idx="111">
                  <c:v>685.59638862873953</c:v>
                </c:pt>
                <c:pt idx="112">
                  <c:v>691.94007607607489</c:v>
                </c:pt>
                <c:pt idx="113">
                  <c:v>698.28257189646683</c:v>
                </c:pt>
                <c:pt idx="114">
                  <c:v>704.62388843962435</c:v>
                </c:pt>
                <c:pt idx="115">
                  <c:v>710.96403781484867</c:v>
                </c:pt>
                <c:pt idx="116">
                  <c:v>717.30303189786616</c:v>
                </c:pt>
                <c:pt idx="117">
                  <c:v>723.64088233740028</c:v>
                </c:pt>
                <c:pt idx="118">
                  <c:v>729.97760056150412</c:v>
                </c:pt>
                <c:pt idx="119">
                  <c:v>736.31319778366208</c:v>
                </c:pt>
                <c:pt idx="120">
                  <c:v>742.64768500866955</c:v>
                </c:pt>
                <c:pt idx="121">
                  <c:v>708.99167125142458</c:v>
                </c:pt>
                <c:pt idx="122">
                  <c:v>714.76757214919553</c:v>
                </c:pt>
                <c:pt idx="123">
                  <c:v>720.54251983862753</c:v>
                </c:pt>
                <c:pt idx="124">
                  <c:v>726.31652303665248</c:v>
                </c:pt>
                <c:pt idx="125">
                  <c:v>732.08959031030997</c:v>
                </c:pt>
                <c:pt idx="126">
                  <c:v>737.86173008051219</c:v>
                </c:pt>
                <c:pt idx="127">
                  <c:v>743.63295062568523</c:v>
                </c:pt>
                <c:pt idx="128">
                  <c:v>749.40326008529053</c:v>
                </c:pt>
                <c:pt idx="129">
                  <c:v>755.17266646323208</c:v>
                </c:pt>
                <c:pt idx="130">
                  <c:v>760.94117763115719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008784"/>
        <c:axId val="1026012592"/>
      </c:scatterChart>
      <c:valAx>
        <c:axId val="1026008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012592"/>
        <c:crosses val="autoZero"/>
        <c:crossBetween val="midCat"/>
      </c:valAx>
      <c:valAx>
        <c:axId val="102601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008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233.44601669739703</c:v>
                </c:pt>
                <c:pt idx="31">
                  <c:v>251.84750488432181</c:v>
                </c:pt>
                <c:pt idx="32">
                  <c:v>270.21853171878513</c:v>
                </c:pt>
                <c:pt idx="33">
                  <c:v>288.56145919537863</c:v>
                </c:pt>
                <c:pt idx="34">
                  <c:v>306.87832443749215</c:v>
                </c:pt>
                <c:pt idx="35">
                  <c:v>325.17090151429107</c:v>
                </c:pt>
                <c:pt idx="36">
                  <c:v>343.44074860711908</c:v>
                </c:pt>
                <c:pt idx="37">
                  <c:v>277.64048093700978</c:v>
                </c:pt>
                <c:pt idx="38">
                  <c:v>294.48954060352384</c:v>
                </c:pt>
                <c:pt idx="39">
                  <c:v>311.31709651831665</c:v>
                </c:pt>
                <c:pt idx="40">
                  <c:v>328.12447444010144</c:v>
                </c:pt>
                <c:pt idx="41">
                  <c:v>344.91285322325461</c:v>
                </c:pt>
                <c:pt idx="42">
                  <c:v>361.6832876036994</c:v>
                </c:pt>
                <c:pt idx="43">
                  <c:v>378.43672653622252</c:v>
                </c:pt>
                <c:pt idx="44">
                  <c:v>395.17402811417611</c:v>
                </c:pt>
                <c:pt idx="45">
                  <c:v>327.74099980495697</c:v>
                </c:pt>
                <c:pt idx="46">
                  <c:v>342.57632901037942</c:v>
                </c:pt>
                <c:pt idx="47">
                  <c:v>357.39754063727128</c:v>
                </c:pt>
                <c:pt idx="48">
                  <c:v>372.2053025492678</c:v>
                </c:pt>
                <c:pt idx="49">
                  <c:v>387.00022513459527</c:v>
                </c:pt>
                <c:pt idx="50">
                  <c:v>401.78286830651933</c:v>
                </c:pt>
                <c:pt idx="51">
                  <c:v>416.55374741966574</c:v>
                </c:pt>
                <c:pt idx="52">
                  <c:v>431.31333830337053</c:v>
                </c:pt>
                <c:pt idx="53">
                  <c:v>365.99122063055853</c:v>
                </c:pt>
                <c:pt idx="54">
                  <c:v>379.3298971194522</c:v>
                </c:pt>
                <c:pt idx="55">
                  <c:v>392.65837013825052</c:v>
                </c:pt>
                <c:pt idx="56">
                  <c:v>405.97703483483957</c:v>
                </c:pt>
                <c:pt idx="57">
                  <c:v>419.28625831464296</c:v>
                </c:pt>
                <c:pt idx="58">
                  <c:v>432.5863824764233</c:v>
                </c:pt>
                <c:pt idx="59">
                  <c:v>445.87772648114247</c:v>
                </c:pt>
                <c:pt idx="60">
                  <c:v>459.16058891110282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013680"/>
        <c:axId val="1026014224"/>
      </c:scatterChart>
      <c:valAx>
        <c:axId val="1026013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014224"/>
        <c:crosses val="autoZero"/>
        <c:crossBetween val="midCat"/>
      </c:valAx>
      <c:valAx>
        <c:axId val="102601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013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395536"/>
        <c:axId val="832402064"/>
      </c:scatterChart>
      <c:valAx>
        <c:axId val="832395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402064"/>
        <c:crosses val="autoZero"/>
        <c:crossBetween val="midCat"/>
      </c:valAx>
      <c:valAx>
        <c:axId val="83240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95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406416"/>
        <c:axId val="832404784"/>
      </c:scatterChart>
      <c:valAx>
        <c:axId val="832406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404784"/>
        <c:crosses val="autoZero"/>
        <c:crossBetween val="midCat"/>
      </c:valAx>
      <c:valAx>
        <c:axId val="83240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406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396080"/>
        <c:axId val="832403696"/>
      </c:scatterChart>
      <c:valAx>
        <c:axId val="832396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403696"/>
        <c:crosses val="autoZero"/>
        <c:crossBetween val="midCat"/>
      </c:valAx>
      <c:valAx>
        <c:axId val="83240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96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398800"/>
        <c:axId val="832397168"/>
      </c:scatterChart>
      <c:valAx>
        <c:axId val="832398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97168"/>
        <c:crosses val="autoZero"/>
        <c:crossBetween val="midCat"/>
      </c:valAx>
      <c:valAx>
        <c:axId val="8323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98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398256"/>
        <c:axId val="832392816"/>
      </c:scatterChart>
      <c:valAx>
        <c:axId val="832398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92816"/>
        <c:crosses val="autoZero"/>
        <c:crossBetween val="midCat"/>
      </c:valAx>
      <c:valAx>
        <c:axId val="83239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98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399344"/>
        <c:axId val="832406960"/>
      </c:scatterChart>
      <c:valAx>
        <c:axId val="832399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406960"/>
        <c:crosses val="autoZero"/>
        <c:crossBetween val="midCat"/>
      </c:valAx>
      <c:valAx>
        <c:axId val="83240696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99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9" zoomScale="70" zoomScaleNormal="70" workbookViewId="0">
      <selection activeCell="C31" sqref="C3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5.91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35</v>
      </c>
      <c r="C9" s="35">
        <v>0.33300000000000002</v>
      </c>
      <c r="D9" s="36">
        <f t="shared" ref="D9:D18" si="0">C9*$C$5</f>
        <v>1.9680300000000002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9</v>
      </c>
      <c r="C10" s="35">
        <v>0.33300000000000002</v>
      </c>
      <c r="D10" s="36">
        <f t="shared" si="0"/>
        <v>1.9680300000000002</v>
      </c>
      <c r="E10" s="37">
        <v>130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36</v>
      </c>
      <c r="C11" s="35">
        <v>0.33300000000000002</v>
      </c>
      <c r="D11" s="36">
        <f t="shared" si="0"/>
        <v>1.9680300000000002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0.99900000000000011</v>
      </c>
      <c r="D19" s="41">
        <f>SUM(D9:D18)</f>
        <v>5.9040900000000001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22</v>
      </c>
      <c r="B36" s="63">
        <f>168.98/1.3</f>
        <v>129.98461538461538</v>
      </c>
      <c r="C36" s="53">
        <v>1</v>
      </c>
      <c r="D36" s="63">
        <f>68.57/1.3</f>
        <v>52.746153846153838</v>
      </c>
      <c r="E36" s="66"/>
      <c r="F36" s="66">
        <v>0.5</v>
      </c>
      <c r="G36" s="66">
        <v>0.5</v>
      </c>
      <c r="H36" s="66"/>
      <c r="I36" s="52">
        <f>IFERROR(B36/A36,"")</f>
        <v>5.9083916083916082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27</v>
      </c>
      <c r="B37" s="63">
        <f>182.93/1.3</f>
        <v>140.71538461538461</v>
      </c>
      <c r="C37" s="53">
        <v>2</v>
      </c>
      <c r="D37" s="63">
        <f>45.04/1.3</f>
        <v>34.646153846153844</v>
      </c>
      <c r="E37" s="66"/>
      <c r="F37" s="66">
        <v>0.5</v>
      </c>
      <c r="G37" s="66">
        <v>0.5</v>
      </c>
      <c r="H37" s="66"/>
      <c r="I37" s="56">
        <f t="shared" ref="I37:I55" si="1">IF(A37&lt;&gt;0,(B37-(B36-D36))/(A37-A36),"")</f>
        <v>12.695384615384615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33</v>
      </c>
      <c r="B38" s="63">
        <f>239.07/1.3</f>
        <v>183.89999999999998</v>
      </c>
      <c r="C38" s="53">
        <v>3</v>
      </c>
      <c r="D38" s="63">
        <f>55.91/1.3</f>
        <v>43.007692307692302</v>
      </c>
      <c r="E38" s="66"/>
      <c r="F38" s="66"/>
      <c r="G38" s="66"/>
      <c r="H38" s="66"/>
      <c r="I38" s="56">
        <f t="shared" si="1"/>
        <v>12.97179487179487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41</v>
      </c>
      <c r="B39" s="63">
        <f>315.66/1.3</f>
        <v>242.81538461538463</v>
      </c>
      <c r="C39" s="53">
        <v>4</v>
      </c>
      <c r="D39" s="63">
        <f>76.03/1.3</f>
        <v>58.484615384615381</v>
      </c>
      <c r="E39" s="66"/>
      <c r="F39" s="66"/>
      <c r="G39" s="66"/>
      <c r="H39" s="66"/>
      <c r="I39" s="52">
        <f t="shared" si="1"/>
        <v>12.74038461538462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50</v>
      </c>
      <c r="B40" s="63">
        <f>378.41/1.3</f>
        <v>291.0846153846154</v>
      </c>
      <c r="C40" s="53">
        <v>5</v>
      </c>
      <c r="D40" s="63">
        <f>71.88/1.3</f>
        <v>55.292307692307688</v>
      </c>
      <c r="E40" s="66"/>
      <c r="F40" s="66"/>
      <c r="G40" s="66"/>
      <c r="H40" s="66"/>
      <c r="I40" s="52">
        <f t="shared" si="1"/>
        <v>11.861538461538462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60</v>
      </c>
      <c r="B41" s="63">
        <f>445.15/1.3</f>
        <v>342.42307692307691</v>
      </c>
      <c r="C41" s="53">
        <v>6</v>
      </c>
      <c r="D41" s="63">
        <f>70.54/1.3</f>
        <v>54.261538461538464</v>
      </c>
      <c r="E41" s="66"/>
      <c r="F41" s="66"/>
      <c r="G41" s="66"/>
      <c r="H41" s="66"/>
      <c r="I41" s="56">
        <f t="shared" si="1"/>
        <v>10.66307692307692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70</v>
      </c>
      <c r="B42" s="63">
        <f>493.99/1.3</f>
        <v>379.99230769230769</v>
      </c>
      <c r="C42" s="53">
        <v>7</v>
      </c>
      <c r="D42" s="63">
        <f>68.47/1.3</f>
        <v>52.669230769230765</v>
      </c>
      <c r="E42" s="66"/>
      <c r="F42" s="66"/>
      <c r="G42" s="66"/>
      <c r="H42" s="66"/>
      <c r="I42" s="56">
        <f t="shared" si="1"/>
        <v>9.1830769230769249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80</v>
      </c>
      <c r="B43" s="63">
        <f>523.78/1.3</f>
        <v>402.90769230769229</v>
      </c>
      <c r="C43" s="53">
        <v>8</v>
      </c>
      <c r="D43" s="63">
        <f>523.78/1.3</f>
        <v>402.90769230769229</v>
      </c>
      <c r="E43" s="66"/>
      <c r="F43" s="66"/>
      <c r="G43" s="66"/>
      <c r="H43" s="66"/>
      <c r="I43" s="52">
        <f t="shared" si="1"/>
        <v>7.5584615384615343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chevelu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f>(47)/1.56</f>
        <v>30.128205128205128</v>
      </c>
      <c r="C62" s="54"/>
      <c r="D62" s="63"/>
      <c r="E62" s="63"/>
      <c r="F62" s="54"/>
      <c r="G62" s="54"/>
      <c r="H62" s="54"/>
      <c r="I62" s="56">
        <f>IFERROR(B62/A62,"")</f>
        <v>2.0085470085470085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f>(86+6)/1.56</f>
        <v>58.974358974358971</v>
      </c>
      <c r="C63" s="63"/>
      <c r="D63" s="63"/>
      <c r="E63" s="63"/>
      <c r="F63" s="54"/>
      <c r="G63" s="54"/>
      <c r="H63" s="54"/>
      <c r="I63" s="52">
        <f>IF(A63&lt;&gt;0,(B63-(B62-D62))/(A63-A62),"")</f>
        <v>5.7692307692307683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f>(127+6+10)/1.56</f>
        <v>91.666666666666657</v>
      </c>
      <c r="C64" s="63"/>
      <c r="D64" s="63"/>
      <c r="E64" s="63"/>
      <c r="F64" s="54"/>
      <c r="G64" s="54"/>
      <c r="H64" s="54"/>
      <c r="I64" s="52">
        <f>IF(A64&lt;&gt;0,(B64-(B63-D63))/(A64-A63),"")</f>
        <v>6.5384615384615374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f>(167+6+10+13)/1.56</f>
        <v>125.64102564102564</v>
      </c>
      <c r="C65" s="63">
        <v>1</v>
      </c>
      <c r="D65" s="63">
        <f>(6+10+13+15)/1.56</f>
        <v>28.205128205128204</v>
      </c>
      <c r="E65" s="63"/>
      <c r="F65" s="54"/>
      <c r="G65" s="54"/>
      <c r="H65" s="54">
        <v>1</v>
      </c>
      <c r="I65" s="52">
        <f>IF(A65&lt;&gt;0,(B65-(B64-D64))/(A65-A64),"")</f>
        <v>6.7948717948717956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3">
        <f>(205)/1.56</f>
        <v>131.41025641025641</v>
      </c>
      <c r="C66" s="63"/>
      <c r="D66" s="63"/>
      <c r="E66" s="63"/>
      <c r="F66" s="54"/>
      <c r="G66" s="54"/>
      <c r="H66" s="54"/>
      <c r="I66" s="52">
        <f t="shared" ref="I66:I81" si="2">IF(A66&lt;&gt;0,(B66-(B65-D65))/(A66-A65),"")</f>
        <v>6.7948717948717956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3">
        <f>(239+17)/1.56</f>
        <v>164.10256410256409</v>
      </c>
      <c r="C67" s="63">
        <v>2</v>
      </c>
      <c r="D67" s="63">
        <f>(17+18)/1.56</f>
        <v>22.435897435897434</v>
      </c>
      <c r="E67" s="63"/>
      <c r="F67" s="54"/>
      <c r="G67" s="54"/>
      <c r="H67" s="54"/>
      <c r="I67" s="52">
        <f t="shared" si="2"/>
        <v>6.5384615384615357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3">
        <f>(270)/1.56</f>
        <v>173.07692307692307</v>
      </c>
      <c r="C68" s="63"/>
      <c r="D68" s="63"/>
      <c r="E68" s="63"/>
      <c r="F68" s="54"/>
      <c r="G68" s="54"/>
      <c r="H68" s="54"/>
      <c r="I68" s="52">
        <f t="shared" si="2"/>
        <v>6.2820512820512819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83">
        <v>50</v>
      </c>
      <c r="B69" s="63">
        <f>(298+19)/1.56</f>
        <v>203.2051282051282</v>
      </c>
      <c r="C69" s="63">
        <v>3</v>
      </c>
      <c r="D69" s="63">
        <f>(19+19)/1.56</f>
        <v>24.358974358974358</v>
      </c>
      <c r="E69" s="63"/>
      <c r="F69" s="54"/>
      <c r="G69" s="54"/>
      <c r="H69" s="54"/>
      <c r="I69" s="52">
        <f t="shared" si="2"/>
        <v>6.0256410256410273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83">
        <v>55</v>
      </c>
      <c r="B70" s="63">
        <f>(323)/1.56</f>
        <v>207.05128205128204</v>
      </c>
      <c r="C70" s="63"/>
      <c r="D70" s="63"/>
      <c r="E70" s="63"/>
      <c r="F70" s="54"/>
      <c r="G70" s="54"/>
      <c r="H70" s="54"/>
      <c r="I70" s="52">
        <f t="shared" si="2"/>
        <v>5.6410256410256405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83">
        <v>60</v>
      </c>
      <c r="B71" s="63">
        <f>(345+19)/1.56</f>
        <v>233.33333333333331</v>
      </c>
      <c r="C71" s="63">
        <v>4</v>
      </c>
      <c r="D71" s="63">
        <f>(19+19)/1.56</f>
        <v>24.358974358974358</v>
      </c>
      <c r="E71" s="63"/>
      <c r="F71" s="54"/>
      <c r="G71" s="54"/>
      <c r="H71" s="54"/>
      <c r="I71" s="52">
        <f t="shared" si="2"/>
        <v>5.2564102564102537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83">
        <v>65</v>
      </c>
      <c r="B72" s="63">
        <f>(365)/1.56</f>
        <v>233.97435897435898</v>
      </c>
      <c r="C72" s="63"/>
      <c r="D72" s="63"/>
      <c r="E72" s="63"/>
      <c r="F72" s="54"/>
      <c r="G72" s="54"/>
      <c r="H72" s="54"/>
      <c r="I72" s="52">
        <f t="shared" si="2"/>
        <v>5.0000000000000053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83">
        <v>70</v>
      </c>
      <c r="B73" s="63">
        <f>(385+18)/1.56</f>
        <v>258.33333333333331</v>
      </c>
      <c r="C73" s="63">
        <v>5</v>
      </c>
      <c r="D73" s="63">
        <f>(18+18)/1.56</f>
        <v>23.076923076923077</v>
      </c>
      <c r="E73" s="63"/>
      <c r="F73" s="54"/>
      <c r="G73" s="54"/>
      <c r="H73" s="54"/>
      <c r="I73" s="52">
        <f t="shared" si="2"/>
        <v>4.8717948717948669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83">
        <v>75</v>
      </c>
      <c r="B74" s="63">
        <f>(402)/1.56</f>
        <v>257.69230769230768</v>
      </c>
      <c r="C74" s="63"/>
      <c r="D74" s="63"/>
      <c r="E74" s="63"/>
      <c r="F74" s="54"/>
      <c r="G74" s="54"/>
      <c r="H74" s="54"/>
      <c r="I74" s="52">
        <f t="shared" si="2"/>
        <v>4.4871794871794863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83">
        <v>80</v>
      </c>
      <c r="B75" s="63">
        <f>(418+18)/1.56</f>
        <v>279.4871794871795</v>
      </c>
      <c r="C75" s="63">
        <v>6</v>
      </c>
      <c r="D75" s="63">
        <f>(18+17)/1.56</f>
        <v>22.435897435897434</v>
      </c>
      <c r="E75" s="63"/>
      <c r="F75" s="54"/>
      <c r="G75" s="54"/>
      <c r="H75" s="54"/>
      <c r="I75" s="52">
        <f t="shared" si="2"/>
        <v>4.3589743589743648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83">
        <v>85</v>
      </c>
      <c r="B76" s="63">
        <f>(432)/1.56</f>
        <v>276.92307692307691</v>
      </c>
      <c r="C76" s="53"/>
      <c r="D76" s="63"/>
      <c r="E76" s="63"/>
      <c r="F76" s="54"/>
      <c r="G76" s="54"/>
      <c r="H76" s="54"/>
      <c r="I76" s="52">
        <f t="shared" si="2"/>
        <v>3.9743589743589722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83">
        <v>90</v>
      </c>
      <c r="B77" s="63">
        <f>(445+17)/1.56</f>
        <v>296.15384615384613</v>
      </c>
      <c r="C77" s="53">
        <v>7</v>
      </c>
      <c r="D77" s="63">
        <f>(17+16)/1.56</f>
        <v>21.153846153846153</v>
      </c>
      <c r="E77" s="63"/>
      <c r="F77" s="54"/>
      <c r="G77" s="54"/>
      <c r="H77" s="54"/>
      <c r="I77" s="52">
        <f t="shared" si="2"/>
        <v>3.8461538461538454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83">
        <v>100</v>
      </c>
      <c r="B78" s="63">
        <f>(467+16)/1.56</f>
        <v>309.61538461538458</v>
      </c>
      <c r="C78" s="53">
        <v>8</v>
      </c>
      <c r="D78" s="63">
        <f>(16+16)/1.56</f>
        <v>20.512820512820511</v>
      </c>
      <c r="E78" s="63"/>
      <c r="F78" s="54"/>
      <c r="G78" s="54"/>
      <c r="H78" s="54"/>
      <c r="I78" s="52">
        <f t="shared" si="2"/>
        <v>3.4615384615384586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283">
        <v>110</v>
      </c>
      <c r="B79" s="63">
        <f>(486+15)/1.56</f>
        <v>321.15384615384613</v>
      </c>
      <c r="C79" s="53">
        <v>9</v>
      </c>
      <c r="D79" s="63">
        <f>(15+15)/1.56</f>
        <v>19.23076923076923</v>
      </c>
      <c r="E79" s="63"/>
      <c r="F79" s="54"/>
      <c r="G79" s="54"/>
      <c r="H79" s="54"/>
      <c r="I79" s="52">
        <f t="shared" si="2"/>
        <v>3.2051282051282044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283">
        <v>120</v>
      </c>
      <c r="B80" s="63">
        <f>(502+14)/1.56</f>
        <v>330.76923076923077</v>
      </c>
      <c r="C80" s="53">
        <v>10</v>
      </c>
      <c r="D80" s="63">
        <f>(14+14)/1.56</f>
        <v>17.948717948717949</v>
      </c>
      <c r="E80" s="63"/>
      <c r="F80" s="54"/>
      <c r="G80" s="54"/>
      <c r="H80" s="54"/>
      <c r="I80" s="52">
        <f t="shared" si="2"/>
        <v>2.8846153846153868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283">
        <v>130</v>
      </c>
      <c r="B81" s="63">
        <f>(516+13)/1.56</f>
        <v>339.10256410256409</v>
      </c>
      <c r="C81" s="53">
        <v>11</v>
      </c>
      <c r="D81" s="63">
        <f>B81</f>
        <v>339.10256410256409</v>
      </c>
      <c r="E81" s="63"/>
      <c r="F81" s="54"/>
      <c r="G81" s="54"/>
      <c r="H81" s="54"/>
      <c r="I81" s="52">
        <f t="shared" si="2"/>
        <v>2.6282051282051269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17</v>
      </c>
      <c r="B88" s="63">
        <f>164.23/1.3</f>
        <v>126.33076923076922</v>
      </c>
      <c r="C88" s="63">
        <v>1</v>
      </c>
      <c r="D88" s="63">
        <f>(164.23-109.52)/1.3</f>
        <v>42.084615384615375</v>
      </c>
      <c r="E88" s="54"/>
      <c r="F88" s="54">
        <v>0.5</v>
      </c>
      <c r="G88" s="54">
        <v>0.5</v>
      </c>
      <c r="H88" s="54"/>
      <c r="I88" s="56">
        <f>IFERROR(B88/A88,"")</f>
        <v>7.4312217194570129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23</v>
      </c>
      <c r="B89" s="63">
        <f>225.95/1.3</f>
        <v>173.80769230769229</v>
      </c>
      <c r="C89" s="63">
        <v>2</v>
      </c>
      <c r="D89" s="63">
        <f>(225.95-155.62)/1.3</f>
        <v>54.099999999999987</v>
      </c>
      <c r="E89" s="54"/>
      <c r="F89" s="54">
        <v>0.5</v>
      </c>
      <c r="G89" s="54">
        <v>0.5</v>
      </c>
      <c r="H89" s="54"/>
      <c r="I89" s="56">
        <f t="shared" ref="I89:I107" si="3">IF(A89&lt;&gt;0,(B89-(B88-D88))/(A89-A88),"")</f>
        <v>14.926923076923075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29</v>
      </c>
      <c r="B90" s="63">
        <f>273.19/1.3</f>
        <v>210.14615384615385</v>
      </c>
      <c r="C90" s="63">
        <v>3</v>
      </c>
      <c r="D90" s="63">
        <f>(273.19-211.23)/1.3</f>
        <v>47.661538461538463</v>
      </c>
      <c r="E90" s="54">
        <v>0.6</v>
      </c>
      <c r="F90" s="54">
        <v>0.2</v>
      </c>
      <c r="G90" s="54">
        <v>0.2</v>
      </c>
      <c r="H90" s="54"/>
      <c r="I90" s="56">
        <f t="shared" si="3"/>
        <v>15.073076923076925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36</v>
      </c>
      <c r="B91" s="63">
        <f>341.35/1.3</f>
        <v>262.57692307692309</v>
      </c>
      <c r="C91" s="63">
        <v>4</v>
      </c>
      <c r="D91" s="63">
        <f>(341.35-257.43)/1.3</f>
        <v>64.553846153846166</v>
      </c>
      <c r="E91" s="54"/>
      <c r="F91" s="54"/>
      <c r="G91" s="54"/>
      <c r="H91" s="54"/>
      <c r="I91" s="56">
        <f t="shared" si="3"/>
        <v>14.298901098901101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44</v>
      </c>
      <c r="B92" s="63">
        <f>394.1/1.3</f>
        <v>303.15384615384619</v>
      </c>
      <c r="C92" s="63">
        <v>5</v>
      </c>
      <c r="D92" s="63">
        <f>(394.1-310.28)/1.3</f>
        <v>64.476923076923114</v>
      </c>
      <c r="E92" s="54"/>
      <c r="F92" s="54"/>
      <c r="G92" s="54"/>
      <c r="H92" s="54"/>
      <c r="I92" s="56">
        <f t="shared" si="3"/>
        <v>13.141346153846158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52</v>
      </c>
      <c r="B93" s="63">
        <f>431.04/1.3</f>
        <v>331.56923076923078</v>
      </c>
      <c r="C93" s="63">
        <v>6</v>
      </c>
      <c r="D93" s="63">
        <f>(431.36-351.04)/1.3</f>
        <v>61.784615384615378</v>
      </c>
      <c r="E93" s="54"/>
      <c r="F93" s="54"/>
      <c r="G93" s="54"/>
      <c r="H93" s="54"/>
      <c r="I93" s="56">
        <f t="shared" si="3"/>
        <v>11.611538461538466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60</v>
      </c>
      <c r="B94" s="63">
        <f>459.55/1.3</f>
        <v>353.5</v>
      </c>
      <c r="C94" s="63">
        <v>7</v>
      </c>
      <c r="D94" s="63">
        <f>B94</f>
        <v>353.5</v>
      </c>
      <c r="E94" s="54"/>
      <c r="F94" s="54"/>
      <c r="G94" s="54"/>
      <c r="H94" s="54"/>
      <c r="I94" s="56">
        <f t="shared" si="3"/>
        <v>10.464423076923076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chevelu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maritime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287.05726996114242</v>
      </c>
      <c r="T3" s="62">
        <f>IF('Données projet'!E9&gt;30,$R$33-$H$33,LOOKUP('Données projet'!$E$9,$A$3:$A$203,R3:R203)-LOOKUP('Données projet'!$E$9,$A$3:$A$203,$H$3:$H$203))</f>
        <v>229.06617320689003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493.70175665335978</v>
      </c>
      <c r="AO3" s="62">
        <f>IF('Données projet'!E10&gt;30,$AM$33-$H$33,LOOKUP('Données projet'!$E$10,$A$3:$A$203,AM3:AM203)-LOOKUP('Données projet'!$E$10,$A$3:$A$203,$H$3:$H$203))</f>
        <v>325.12357781685949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260.02504691866199</v>
      </c>
      <c r="BJ3" s="62">
        <f>IF('Données projet'!E11&gt;30,$BH$33-$H$33,LOOKUP('Données projet'!$E$11,$A$3:$A$203,BH3:BH203)-LOOKUP('Données projet'!$E$11,$A$3:$A$203,$H$3:$H$203))</f>
        <v>270.11268336406368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5.9083916083916082</v>
      </c>
      <c r="N4" s="14">
        <f>IF('Données projet'!$A$36&gt;35,N3+M4-V3,IF(A4&lt;'Données projet'!$A$36,$K$205^A4,IF(A4='Données projet'!$A$36,'Données projet'!$B$36,N3+M4-V3)))</f>
        <v>1.2476305424001204</v>
      </c>
      <c r="O4" s="14">
        <f>N4*VLOOKUP('Données projet'!$B$9,Paramètres!$A$1:$I$89,3,0)*VLOOKUP('Données projet'!$B$9,Paramètres!$A$1:$I$89,5,0)</f>
        <v>0.74608306435527205</v>
      </c>
      <c r="P4" s="14">
        <f>EXP(-1.0587+0.8836*LN(O4)+0.284)</f>
        <v>0.35575156458325191</v>
      </c>
      <c r="Q4" s="22">
        <f t="shared" ref="Q4:Q34" si="2">(O4+P4)*0.475*44/12</f>
        <v>1.9190286454012624</v>
      </c>
      <c r="R4" s="62">
        <f t="shared" si="0"/>
        <v>259.80791753429014</v>
      </c>
      <c r="S4" s="62">
        <f ca="1">AVERAGE(OFFSET($R$3,0,0,'Données projet'!$E$9+1,1))-AVERAGE(OFFSET($H$3,0,0,'Données projet'!$E$9+1,1))</f>
        <v>287.05726996114242</v>
      </c>
      <c r="T4" s="62">
        <f>$T$3</f>
        <v>229.06617320689003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2.0085470085470085</v>
      </c>
      <c r="AI4" s="14">
        <f>IF('Données projet'!$A$62&gt;35,AI3+AH4-AQ3,IF(A4&lt;'Données projet'!$A$62,$AF$205^A4,IF(A4='Données projet'!$A$62,'Données projet'!$B$62,AI3+AH4-AQ3)))</f>
        <v>1.2548684989282006</v>
      </c>
      <c r="AJ4" s="14">
        <f>AI4*VLOOKUP('Données projet'!$B$10,Paramètres!$A$1:$I$89,3,0)*VLOOKUP('Données projet'!$B$10,Paramètres!$A$1:$I$89,5,0)</f>
        <v>1.3115885550797555</v>
      </c>
      <c r="AK4" s="14">
        <f>EXP(-1.0587+0.8836*LN(AJ4)+0.284)</f>
        <v>0.5856498554818651</v>
      </c>
      <c r="AL4" s="22">
        <f t="shared" ref="AL4:AL67" si="4">(AJ4+AK4)*0.475*44/12</f>
        <v>3.3043568983948219</v>
      </c>
      <c r="AM4" s="62">
        <f t="shared" ref="AM4:AM67" si="5">AL4+(AD4+AE4)*44/12</f>
        <v>261.19324578728367</v>
      </c>
      <c r="AN4" s="62">
        <f ca="1">AVERAGE(OFFSET($AM$3,0,0,'Données projet'!$E$10+1,1))-AVERAGE(OFFSET($H$3,0,0,'Données projet'!$E$10+1,1))</f>
        <v>493.70175665335978</v>
      </c>
      <c r="AO4" s="62">
        <f>$AO$3</f>
        <v>325.12357781685949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7.4312217194570129</v>
      </c>
      <c r="BD4" s="13">
        <f>IF('Données projet'!$A$88&gt;35,BD3+BC4-BL3,IF(A4&lt;'Données projet'!$A$88,$BA$205^A4,IF(A4='Données projet'!$A$88,'Données projet'!$B$88,BD3+BC4-BL3)))</f>
        <v>1.3292852468636394</v>
      </c>
      <c r="BE4" s="14">
        <f>BD4*VLOOKUP('Données projet'!$B$11,Paramètres!$A$1:$I$89,3,0)*VLOOKUP('Données projet'!$B$11,Paramètres!$A$1:$I$89,5,0)</f>
        <v>0.79491257762445644</v>
      </c>
      <c r="BF4" s="14">
        <f>EXP(-1.0587+0.8836*LN(BE4)+0.284)</f>
        <v>0.37624805113513943</v>
      </c>
      <c r="BG4" s="22">
        <f t="shared" ref="BG4:BG67" si="7">(BE4+BF4)*0.475*44/12</f>
        <v>2.0397714284229629</v>
      </c>
      <c r="BH4" s="62">
        <f t="shared" ref="BH4:BH67" si="8">BG4+(AY4+AZ4)*44/12</f>
        <v>259.92866031731182</v>
      </c>
      <c r="BI4" s="62">
        <f ca="1">AVERAGE(OFFSET($BH$3,0,0,'Données projet'!$E$11+1,1))-AVERAGE(OFFSET($H$3,0,0,'Données projet'!$E$11+1,1))</f>
        <v>260.02504691866199</v>
      </c>
      <c r="BJ4" s="62">
        <f>$BJ$3</f>
        <v>270.11268336406368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5.9083916083916082</v>
      </c>
      <c r="N5" s="14">
        <f>IF('Données projet'!$A$36&gt;35,N4+M5-V4,IF(A5&lt;'Données projet'!$A$36,$K$205^A5,IF(A5='Données projet'!$A$36,'Données projet'!$B$36,N4+M5-V4)))</f>
        <v>1.5565819703296186</v>
      </c>
      <c r="O5" s="14">
        <f>N5*VLOOKUP('Données projet'!$B$9,Paramètres!$A$1:$I$89,3,0)*VLOOKUP('Données projet'!$B$9,Paramètres!$A$1:$I$89,5,0)</f>
        <v>0.93083601825711204</v>
      </c>
      <c r="P5" s="14">
        <f t="shared" ref="P5:P68" si="33">EXP(-1.0587+0.8836*LN(O5)+0.284)</f>
        <v>0.43256204175421276</v>
      </c>
      <c r="Q5" s="22">
        <f t="shared" si="2"/>
        <v>2.3745849545197242</v>
      </c>
      <c r="R5" s="62">
        <f t="shared" si="0"/>
        <v>261.48569606563086</v>
      </c>
      <c r="S5" s="62">
        <f ca="1">AVERAGE(OFFSET($R$3,0,0,'Données projet'!$E$9+1,1))-AVERAGE(OFFSET($H$3,0,0,'Données projet'!$E$9+1,1))</f>
        <v>287.05726996114242</v>
      </c>
      <c r="T5" s="62">
        <f t="shared" ref="T5:T68" si="34">$T$3</f>
        <v>229.06617320689003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2.0085470085470085</v>
      </c>
      <c r="AI5" s="14">
        <f>IF('Données projet'!$A$62&gt;35,AI4+AH5-AQ4,IF(A5&lt;'Données projet'!$A$62,$AF$205^A5,IF(A5='Données projet'!$A$62,'Données projet'!$B$62,AI4+AH5-AQ4)))</f>
        <v>1.5746949496023155</v>
      </c>
      <c r="AJ5" s="14">
        <f>AI5*VLOOKUP('Données projet'!$B$10,Paramètres!$A$1:$I$89,3,0)*VLOOKUP('Données projet'!$B$10,Paramètres!$A$1:$I$89,5,0)</f>
        <v>1.6458711613243404</v>
      </c>
      <c r="AK5" s="14">
        <f t="shared" ref="AK5:AK68" si="35">EXP(-1.0587+0.8836*LN(AJ5)+0.284)</f>
        <v>0.71574681686586372</v>
      </c>
      <c r="AL5" s="22">
        <f t="shared" si="4"/>
        <v>4.1131513120146055</v>
      </c>
      <c r="AM5" s="62">
        <f t="shared" si="5"/>
        <v>263.22426242312577</v>
      </c>
      <c r="AN5" s="62">
        <f ca="1">AVERAGE(OFFSET($AM$3,0,0,'Données projet'!$E$10+1,1))-AVERAGE(OFFSET($H$3,0,0,'Données projet'!$E$10+1,1))</f>
        <v>493.70175665335978</v>
      </c>
      <c r="AO5" s="62">
        <f t="shared" ref="AO5:AO68" si="36">$AO$3</f>
        <v>325.12357781685949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7.4312217194570129</v>
      </c>
      <c r="BD5" s="13">
        <f>IF('Données projet'!$A$88&gt;35,BD4+BC5-BL4,IF(A5&lt;'Données projet'!$A$88,$BA$205^A5,IF(A5='Données projet'!$A$88,'Données projet'!$B$88,BD4+BC5-BL4)))</f>
        <v>1.7669992675293267</v>
      </c>
      <c r="BE5" s="14">
        <f>BD5*VLOOKUP('Données projet'!$B$11,Paramètres!$A$1:$I$89,3,0)*VLOOKUP('Données projet'!$B$11,Paramètres!$A$1:$I$89,5,0)</f>
        <v>1.0566655619825374</v>
      </c>
      <c r="BF5" s="14">
        <f t="shared" ref="BF5:BF68" si="37">EXP(-1.0587+0.8836*LN(BE5)+0.284)</f>
        <v>0.48384169076702271</v>
      </c>
      <c r="BG5" s="22">
        <f t="shared" si="7"/>
        <v>2.6830501318721502</v>
      </c>
      <c r="BH5" s="62">
        <f t="shared" si="8"/>
        <v>261.79416124298331</v>
      </c>
      <c r="BI5" s="62">
        <f ca="1">AVERAGE(OFFSET($BH$3,0,0,'Données projet'!$E$11+1,1))-AVERAGE(OFFSET($H$3,0,0,'Données projet'!$E$11+1,1))</f>
        <v>260.02504691866199</v>
      </c>
      <c r="BJ5" s="62">
        <f t="shared" ref="BJ5:BJ68" si="38">$BJ$3</f>
        <v>270.11268336406368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5.9083916083916082</v>
      </c>
      <c r="N6" s="14">
        <f>IF('Données projet'!$A$36&gt;35,N5+M6-V5,IF(A6&lt;'Données projet'!$A$36,$K$205^A6,IF(A6='Données projet'!$A$36,'Données projet'!$B$36,N5+M6-V5)))</f>
        <v>1.9420392079325903</v>
      </c>
      <c r="O6" s="14">
        <f>N6*VLOOKUP('Données projet'!$B$9,Paramètres!$A$1:$I$89,3,0)*VLOOKUP('Données projet'!$B$9,Paramètres!$A$1:$I$89,5,0)</f>
        <v>1.1613394463436892</v>
      </c>
      <c r="P6" s="14">
        <f t="shared" si="33"/>
        <v>0.52595670291925423</v>
      </c>
      <c r="Q6" s="22">
        <f t="shared" si="2"/>
        <v>2.938707459966293</v>
      </c>
      <c r="R6" s="62">
        <f t="shared" si="0"/>
        <v>263.2720407932996</v>
      </c>
      <c r="S6" s="62">
        <f ca="1">AVERAGE(OFFSET($R$3,0,0,'Données projet'!$E$9+1,1))-AVERAGE(OFFSET($H$3,0,0,'Données projet'!$E$9+1,1))</f>
        <v>287.05726996114242</v>
      </c>
      <c r="T6" s="62">
        <f t="shared" si="34"/>
        <v>229.06617320689003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2.0085470085470085</v>
      </c>
      <c r="AI6" s="14">
        <f>IF('Données projet'!$A$62&gt;35,AI5+AH6-AQ5,IF(A6&lt;'Données projet'!$A$62,$AF$205^A6,IF(A6='Données projet'!$A$62,'Données projet'!$B$62,AI5+AH6-AQ5)))</f>
        <v>1.9760350876772761</v>
      </c>
      <c r="AJ6" s="14">
        <f>AI6*VLOOKUP('Données projet'!$B$10,Paramètres!$A$1:$I$89,3,0)*VLOOKUP('Données projet'!$B$10,Paramètres!$A$1:$I$89,5,0)</f>
        <v>2.0653518736402892</v>
      </c>
      <c r="AK6" s="14">
        <f t="shared" si="35"/>
        <v>0.87474367330306557</v>
      </c>
      <c r="AL6" s="22">
        <f t="shared" si="4"/>
        <v>5.1206664109263427</v>
      </c>
      <c r="AM6" s="62">
        <f t="shared" si="5"/>
        <v>265.45399974425965</v>
      </c>
      <c r="AN6" s="62">
        <f ca="1">AVERAGE(OFFSET($AM$3,0,0,'Données projet'!$E$10+1,1))-AVERAGE(OFFSET($H$3,0,0,'Données projet'!$E$10+1,1))</f>
        <v>493.70175665335978</v>
      </c>
      <c r="AO6" s="62">
        <f t="shared" si="36"/>
        <v>325.12357781685949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7.4312217194570129</v>
      </c>
      <c r="BD6" s="13">
        <f>IF('Données projet'!$A$88&gt;35,BD5+BC6-BL5,IF(A6&lt;'Données projet'!$A$88,$BA$205^A6,IF(A6='Données projet'!$A$88,'Données projet'!$B$88,BD5+BC6-BL5)))</f>
        <v>2.3488460575455909</v>
      </c>
      <c r="BE6" s="14">
        <f>BD6*VLOOKUP('Données projet'!$B$11,Paramètres!$A$1:$I$89,3,0)*VLOOKUP('Données projet'!$B$11,Paramètres!$A$1:$I$89,5,0)</f>
        <v>1.4046099424122636</v>
      </c>
      <c r="BF6" s="14">
        <f t="shared" si="37"/>
        <v>0.62220330714804695</v>
      </c>
      <c r="BG6" s="22">
        <f t="shared" si="7"/>
        <v>3.5300330763175403</v>
      </c>
      <c r="BH6" s="62">
        <f t="shared" si="8"/>
        <v>263.86336640965084</v>
      </c>
      <c r="BI6" s="62">
        <f ca="1">AVERAGE(OFFSET($BH$3,0,0,'Données projet'!$E$11+1,1))-AVERAGE(OFFSET($H$3,0,0,'Données projet'!$E$11+1,1))</f>
        <v>260.02504691866199</v>
      </c>
      <c r="BJ6" s="62">
        <f t="shared" si="38"/>
        <v>270.11268336406368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5.9083916083916082</v>
      </c>
      <c r="N7" s="14">
        <f>IF('Données projet'!$A$36&gt;35,N6+M7-V6,IF(A7&lt;'Données projet'!$A$36,$K$205^A7,IF(A7='Données projet'!$A$36,'Données projet'!$B$36,N6+M7-V6)))</f>
        <v>2.4229474303552379</v>
      </c>
      <c r="O7" s="14">
        <f>N7*VLOOKUP('Données projet'!$B$9,Paramètres!$A$1:$I$89,3,0)*VLOOKUP('Données projet'!$B$9,Paramètres!$A$1:$I$89,5,0)</f>
        <v>1.4489225633524323</v>
      </c>
      <c r="P7" s="14">
        <f t="shared" si="33"/>
        <v>0.63951624655701411</v>
      </c>
      <c r="Q7" s="22">
        <f t="shared" si="2"/>
        <v>3.6373642605922853</v>
      </c>
      <c r="R7" s="62">
        <f t="shared" si="0"/>
        <v>265.19291981614782</v>
      </c>
      <c r="S7" s="62">
        <f ca="1">AVERAGE(OFFSET($R$3,0,0,'Données projet'!$E$9+1,1))-AVERAGE(OFFSET($H$3,0,0,'Données projet'!$E$9+1,1))</f>
        <v>287.05726996114242</v>
      </c>
      <c r="T7" s="62">
        <f t="shared" si="34"/>
        <v>229.06617320689003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2.0085470085470085</v>
      </c>
      <c r="AI7" s="14">
        <f>IF('Données projet'!$A$62&gt;35,AI6+AH7-AQ6,IF(A7&lt;'Données projet'!$A$62,$AF$205^A7,IF(A7='Données projet'!$A$62,'Données projet'!$B$62,AI6+AH7-AQ6)))</f>
        <v>2.4796641843030387</v>
      </c>
      <c r="AJ7" s="14">
        <f>AI7*VLOOKUP('Données projet'!$B$10,Paramètres!$A$1:$I$89,3,0)*VLOOKUP('Données projet'!$B$10,Paramètres!$A$1:$I$89,5,0)</f>
        <v>2.5917450054335363</v>
      </c>
      <c r="AK7" s="14">
        <f t="shared" si="35"/>
        <v>1.069060282146026</v>
      </c>
      <c r="AL7" s="22">
        <f t="shared" si="4"/>
        <v>6.375902542534404</v>
      </c>
      <c r="AM7" s="62">
        <f t="shared" si="5"/>
        <v>267.93145809808993</v>
      </c>
      <c r="AN7" s="62">
        <f ca="1">AVERAGE(OFFSET($AM$3,0,0,'Données projet'!$E$10+1,1))-AVERAGE(OFFSET($H$3,0,0,'Données projet'!$E$10+1,1))</f>
        <v>493.70175665335978</v>
      </c>
      <c r="AO7" s="62">
        <f t="shared" si="36"/>
        <v>325.12357781685949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7.4312217194570129</v>
      </c>
      <c r="BD7" s="13">
        <f>IF('Données projet'!$A$88&gt;35,BD6+BC7-BL6,IF(A7&lt;'Données projet'!$A$88,$BA$205^A7,IF(A7='Données projet'!$A$88,'Données projet'!$B$88,BD6+BC7-BL6)))</f>
        <v>3.1222864114491768</v>
      </c>
      <c r="BE7" s="14">
        <f>BD7*VLOOKUP('Données projet'!$B$11,Paramètres!$A$1:$I$89,3,0)*VLOOKUP('Données projet'!$B$11,Paramètres!$A$1:$I$89,5,0)</f>
        <v>1.8671272740466078</v>
      </c>
      <c r="BF7" s="14">
        <f t="shared" si="37"/>
        <v>0.80013145376589556</v>
      </c>
      <c r="BG7" s="22">
        <f t="shared" si="7"/>
        <v>4.6454756176067766</v>
      </c>
      <c r="BH7" s="62">
        <f t="shared" si="8"/>
        <v>266.20103117316233</v>
      </c>
      <c r="BI7" s="62">
        <f ca="1">AVERAGE(OFFSET($BH$3,0,0,'Données projet'!$E$11+1,1))-AVERAGE(OFFSET($H$3,0,0,'Données projet'!$E$11+1,1))</f>
        <v>260.02504691866199</v>
      </c>
      <c r="BJ7" s="62">
        <f t="shared" si="38"/>
        <v>270.11268336406368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5.9083916083916082</v>
      </c>
      <c r="N8" s="14">
        <f>IF('Données projet'!$A$36&gt;35,N7+M8-V7,IF(A8&lt;'Données projet'!$A$36,$K$205^A8,IF(A8='Données projet'!$A$36,'Données projet'!$B$36,N7+M8-V7)))</f>
        <v>3.0229432167410835</v>
      </c>
      <c r="O8" s="14">
        <f>N8*VLOOKUP('Données projet'!$B$9,Paramètres!$A$1:$I$89,3,0)*VLOOKUP('Données projet'!$B$9,Paramètres!$A$1:$I$89,5,0)</f>
        <v>1.807720043611168</v>
      </c>
      <c r="P8" s="14">
        <f t="shared" si="33"/>
        <v>0.7775944813334934</v>
      </c>
      <c r="Q8" s="22">
        <f t="shared" si="2"/>
        <v>4.5027561309452855</v>
      </c>
      <c r="R8" s="62">
        <f t="shared" si="0"/>
        <v>267.28053390872304</v>
      </c>
      <c r="S8" s="62">
        <f ca="1">AVERAGE(OFFSET($R$3,0,0,'Données projet'!$E$9+1,1))-AVERAGE(OFFSET($H$3,0,0,'Données projet'!$E$9+1,1))</f>
        <v>287.05726996114242</v>
      </c>
      <c r="T8" s="62">
        <f t="shared" si="34"/>
        <v>229.06617320689003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2.0085470085470085</v>
      </c>
      <c r="AI8" s="14">
        <f>IF('Données projet'!$A$62&gt;35,AI7+AH8-AQ7,IF(A8&lt;'Données projet'!$A$62,$AF$205^A8,IF(A8='Données projet'!$A$62,'Données projet'!$B$62,AI7+AH8-AQ7)))</f>
        <v>3.1116524728023753</v>
      </c>
      <c r="AJ8" s="14">
        <f>AI8*VLOOKUP('Données projet'!$B$10,Paramètres!$A$1:$I$89,3,0)*VLOOKUP('Données projet'!$B$10,Paramètres!$A$1:$I$89,5,0)</f>
        <v>3.2522991645730426</v>
      </c>
      <c r="AK8" s="14">
        <f t="shared" si="35"/>
        <v>1.3065426155602187</v>
      </c>
      <c r="AL8" s="22">
        <f t="shared" si="4"/>
        <v>7.9399827670654304</v>
      </c>
      <c r="AM8" s="62">
        <f t="shared" si="5"/>
        <v>270.7177605448432</v>
      </c>
      <c r="AN8" s="62">
        <f ca="1">AVERAGE(OFFSET($AM$3,0,0,'Données projet'!$E$10+1,1))-AVERAGE(OFFSET($H$3,0,0,'Données projet'!$E$10+1,1))</f>
        <v>493.70175665335978</v>
      </c>
      <c r="AO8" s="62">
        <f t="shared" si="36"/>
        <v>325.12357781685949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7.4312217194570129</v>
      </c>
      <c r="BD8" s="13">
        <f>IF('Données projet'!$A$88&gt;35,BD7+BC8-BL7,IF(A8&lt;'Données projet'!$A$88,$BA$205^A8,IF(A8='Données projet'!$A$88,'Données projet'!$B$88,BD7+BC8-BL7)))</f>
        <v>4.1504092632222056</v>
      </c>
      <c r="BE8" s="14">
        <f>BD8*VLOOKUP('Données projet'!$B$11,Paramètres!$A$1:$I$89,3,0)*VLOOKUP('Données projet'!$B$11,Paramètres!$A$1:$I$89,5,0)</f>
        <v>2.4819447394068792</v>
      </c>
      <c r="BF8" s="14">
        <f t="shared" si="37"/>
        <v>1.0289407593154982</v>
      </c>
      <c r="BG8" s="22">
        <f t="shared" si="7"/>
        <v>6.1147922436081394</v>
      </c>
      <c r="BH8" s="62">
        <f t="shared" si="8"/>
        <v>268.89257002138589</v>
      </c>
      <c r="BI8" s="62">
        <f ca="1">AVERAGE(OFFSET($BH$3,0,0,'Données projet'!$E$11+1,1))-AVERAGE(OFFSET($H$3,0,0,'Données projet'!$E$11+1,1))</f>
        <v>260.02504691866199</v>
      </c>
      <c r="BJ8" s="62">
        <f t="shared" si="38"/>
        <v>270.11268336406368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5.9083916083916082</v>
      </c>
      <c r="N9" s="14">
        <f>IF('Données projet'!$A$36&gt;35,N8+M9-V8,IF(A9&lt;'Données projet'!$A$36,$K$205^A9,IF(A9='Données projet'!$A$36,'Données projet'!$B$36,N8+M9-V8)))</f>
        <v>3.7715162851474426</v>
      </c>
      <c r="O9" s="14">
        <f>N9*VLOOKUP('Données projet'!$B$9,Paramètres!$A$1:$I$89,3,0)*VLOOKUP('Données projet'!$B$9,Paramètres!$A$1:$I$89,5,0)</f>
        <v>2.255366738518171</v>
      </c>
      <c r="P9" s="14">
        <f t="shared" si="33"/>
        <v>0.9454852486634967</v>
      </c>
      <c r="Q9" s="22">
        <f t="shared" si="2"/>
        <v>5.5748172110080709</v>
      </c>
      <c r="R9" s="62">
        <f t="shared" si="0"/>
        <v>269.57481721100805</v>
      </c>
      <c r="S9" s="62">
        <f ca="1">AVERAGE(OFFSET($R$3,0,0,'Données projet'!$E$9+1,1))-AVERAGE(OFFSET($H$3,0,0,'Données projet'!$E$9+1,1))</f>
        <v>287.05726996114242</v>
      </c>
      <c r="T9" s="62">
        <f t="shared" si="34"/>
        <v>229.06617320689003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2.0085470085470085</v>
      </c>
      <c r="AI9" s="14">
        <f>IF('Données projet'!$A$62&gt;35,AI8+AH9-AQ8,IF(A9&lt;'Données projet'!$A$62,$AF$205^A9,IF(A9='Données projet'!$A$62,'Données projet'!$B$62,AI8+AH9-AQ8)))</f>
        <v>3.9047146677317404</v>
      </c>
      <c r="AJ9" s="14">
        <f>AI9*VLOOKUP('Données projet'!$B$10,Paramètres!$A$1:$I$89,3,0)*VLOOKUP('Données projet'!$B$10,Paramètres!$A$1:$I$89,5,0)</f>
        <v>4.0812077707132151</v>
      </c>
      <c r="AK9" s="14">
        <f t="shared" si="35"/>
        <v>1.5967795593792025</v>
      </c>
      <c r="AL9" s="22">
        <f t="shared" si="4"/>
        <v>9.8891612665776254</v>
      </c>
      <c r="AM9" s="62">
        <f t="shared" si="5"/>
        <v>273.88916126657762</v>
      </c>
      <c r="AN9" s="62">
        <f ca="1">AVERAGE(OFFSET($AM$3,0,0,'Données projet'!$E$10+1,1))-AVERAGE(OFFSET($H$3,0,0,'Données projet'!$E$10+1,1))</f>
        <v>493.70175665335978</v>
      </c>
      <c r="AO9" s="62">
        <f t="shared" si="36"/>
        <v>325.12357781685949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7.4312217194570129</v>
      </c>
      <c r="BD9" s="13">
        <f>IF('Données projet'!$A$88&gt;35,BD8+BC9-BL8,IF(A9&lt;'Données projet'!$A$88,$BA$205^A9,IF(A9='Données projet'!$A$88,'Données projet'!$B$88,BD8+BC9-BL8)))</f>
        <v>5.5170778020474653</v>
      </c>
      <c r="BE9" s="14">
        <f>BD9*VLOOKUP('Données projet'!$B$11,Paramètres!$A$1:$I$89,3,0)*VLOOKUP('Données projet'!$B$11,Paramètres!$A$1:$I$89,5,0)</f>
        <v>3.2992125256243843</v>
      </c>
      <c r="BF9" s="14">
        <f t="shared" si="37"/>
        <v>1.3231814362474952</v>
      </c>
      <c r="BG9" s="22">
        <f t="shared" si="7"/>
        <v>8.0506694835935235</v>
      </c>
      <c r="BH9" s="62">
        <f t="shared" si="8"/>
        <v>272.05066948359354</v>
      </c>
      <c r="BI9" s="62">
        <f ca="1">AVERAGE(OFFSET($BH$3,0,0,'Données projet'!$E$11+1,1))-AVERAGE(OFFSET($H$3,0,0,'Données projet'!$E$11+1,1))</f>
        <v>260.02504691866199</v>
      </c>
      <c r="BJ9" s="62">
        <f t="shared" si="38"/>
        <v>270.11268336406368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5.9083916083916082</v>
      </c>
      <c r="N10" s="14">
        <f>IF('Données projet'!$A$36&gt;35,N9+M10-V9,IF(A10&lt;'Données projet'!$A$36,$K$205^A10,IF(A10='Données projet'!$A$36,'Données projet'!$B$36,N9+M10-V9)))</f>
        <v>4.7054589085093914</v>
      </c>
      <c r="O10" s="14">
        <f>N10*VLOOKUP('Données projet'!$B$9,Paramètres!$A$1:$I$89,3,0)*VLOOKUP('Données projet'!$B$9,Paramètres!$A$1:$I$89,5,0)</f>
        <v>2.8138644272886166</v>
      </c>
      <c r="P10" s="14">
        <f t="shared" si="33"/>
        <v>1.1496253855959169</v>
      </c>
      <c r="Q10" s="22">
        <f t="shared" si="2"/>
        <v>6.9030780907738958</v>
      </c>
      <c r="R10" s="62">
        <f t="shared" si="0"/>
        <v>272.1253003129961</v>
      </c>
      <c r="S10" s="62">
        <f ca="1">AVERAGE(OFFSET($R$3,0,0,'Données projet'!$E$9+1,1))-AVERAGE(OFFSET($H$3,0,0,'Données projet'!$E$9+1,1))</f>
        <v>287.05726996114242</v>
      </c>
      <c r="T10" s="62">
        <f t="shared" si="34"/>
        <v>229.06617320689003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2.0085470085470085</v>
      </c>
      <c r="AI10" s="14">
        <f>IF('Données projet'!$A$62&gt;35,AI9+AH10-AQ9,IF(A10&lt;'Données projet'!$A$62,$AF$205^A10,IF(A10='Données projet'!$A$62,'Données projet'!$B$62,AI9+AH10-AQ9)))</f>
        <v>4.899903433839456</v>
      </c>
      <c r="AJ10" s="14">
        <f>AI10*VLOOKUP('Données projet'!$B$10,Paramètres!$A$1:$I$89,3,0)*VLOOKUP('Données projet'!$B$10,Paramètres!$A$1:$I$89,5,0)</f>
        <v>5.1213790690489995</v>
      </c>
      <c r="AK10" s="14">
        <f t="shared" si="35"/>
        <v>1.9514900860374758</v>
      </c>
      <c r="AL10" s="22">
        <f t="shared" si="4"/>
        <v>12.318580445108942</v>
      </c>
      <c r="AM10" s="62">
        <f t="shared" si="5"/>
        <v>277.54080266733115</v>
      </c>
      <c r="AN10" s="62">
        <f ca="1">AVERAGE(OFFSET($AM$3,0,0,'Données projet'!$E$10+1,1))-AVERAGE(OFFSET($H$3,0,0,'Données projet'!$E$10+1,1))</f>
        <v>493.70175665335978</v>
      </c>
      <c r="AO10" s="62">
        <f t="shared" si="36"/>
        <v>325.12357781685949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7.4312217194570129</v>
      </c>
      <c r="BD10" s="13">
        <f>IF('Données projet'!$A$88&gt;35,BD9+BC10-BL9,IF(A10&lt;'Données projet'!$A$88,$BA$205^A10,IF(A10='Données projet'!$A$88,'Données projet'!$B$88,BD9+BC10-BL9)))</f>
        <v>7.3337701280605696</v>
      </c>
      <c r="BE10" s="14">
        <f>BD10*VLOOKUP('Données projet'!$B$11,Paramètres!$A$1:$I$89,3,0)*VLOOKUP('Données projet'!$B$11,Paramètres!$A$1:$I$89,5,0)</f>
        <v>4.3855945365802205</v>
      </c>
      <c r="BF10" s="14">
        <f t="shared" si="37"/>
        <v>1.7015645433219191</v>
      </c>
      <c r="BG10" s="22">
        <f t="shared" si="7"/>
        <v>10.601802064162893</v>
      </c>
      <c r="BH10" s="62">
        <f t="shared" si="8"/>
        <v>275.82402428638511</v>
      </c>
      <c r="BI10" s="62">
        <f ca="1">AVERAGE(OFFSET($BH$3,0,0,'Données projet'!$E$11+1,1))-AVERAGE(OFFSET($H$3,0,0,'Données projet'!$E$11+1,1))</f>
        <v>260.02504691866199</v>
      </c>
      <c r="BJ10" s="62">
        <f t="shared" si="38"/>
        <v>270.11268336406368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5.9083916083916082</v>
      </c>
      <c r="N11" s="14">
        <f>IF('Données projet'!$A$36&gt;35,N10+M11-V10,IF(A11&lt;'Données projet'!$A$36,$K$205^A11,IF(A11='Données projet'!$A$36,'Données projet'!$B$36,N10+M11-V10)))</f>
        <v>5.8706742502650497</v>
      </c>
      <c r="O11" s="14">
        <f>N11*VLOOKUP('Données projet'!$B$9,Paramètres!$A$1:$I$89,3,0)*VLOOKUP('Données projet'!$B$9,Paramètres!$A$1:$I$89,5,0)</f>
        <v>3.5106632016584998</v>
      </c>
      <c r="P11" s="14">
        <f t="shared" si="33"/>
        <v>1.3978415095050716</v>
      </c>
      <c r="Q11" s="22">
        <f t="shared" si="2"/>
        <v>8.5489790386098861</v>
      </c>
      <c r="R11" s="62">
        <f t="shared" si="0"/>
        <v>274.99342348305436</v>
      </c>
      <c r="S11" s="62">
        <f ca="1">AVERAGE(OFFSET($R$3,0,0,'Données projet'!$E$9+1,1))-AVERAGE(OFFSET($H$3,0,0,'Données projet'!$E$9+1,1))</f>
        <v>287.05726996114242</v>
      </c>
      <c r="T11" s="62">
        <f t="shared" si="34"/>
        <v>229.06617320689003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2.0085470085470085</v>
      </c>
      <c r="AI11" s="14">
        <f>IF('Données projet'!$A$62&gt;35,AI10+AH11-AQ10,IF(A11&lt;'Données projet'!$A$62,$AF$205^A11,IF(A11='Données projet'!$A$62,'Données projet'!$B$62,AI10+AH11-AQ10)))</f>
        <v>6.1487344669152542</v>
      </c>
      <c r="AJ11" s="14">
        <f>AI11*VLOOKUP('Données projet'!$B$10,Paramètres!$A$1:$I$89,3,0)*VLOOKUP('Données projet'!$B$10,Paramètres!$A$1:$I$89,5,0)</f>
        <v>6.4266572648198244</v>
      </c>
      <c r="AK11" s="14">
        <f t="shared" si="35"/>
        <v>2.3849964345630501</v>
      </c>
      <c r="AL11" s="22">
        <f t="shared" si="4"/>
        <v>15.346963526425172</v>
      </c>
      <c r="AM11" s="62">
        <f t="shared" si="5"/>
        <v>281.79140797086961</v>
      </c>
      <c r="AN11" s="62">
        <f ca="1">AVERAGE(OFFSET($AM$3,0,0,'Données projet'!$E$10+1,1))-AVERAGE(OFFSET($H$3,0,0,'Données projet'!$E$10+1,1))</f>
        <v>493.70175665335978</v>
      </c>
      <c r="AO11" s="62">
        <f t="shared" si="36"/>
        <v>325.12357781685949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7.4312217194570129</v>
      </c>
      <c r="BD11" s="13">
        <f>IF('Données projet'!$A$88&gt;35,BD10+BC11-BL10,IF(A11&lt;'Données projet'!$A$88,$BA$205^A11,IF(A11='Données projet'!$A$88,'Données projet'!$B$88,BD10+BC11-BL10)))</f>
        <v>9.748672435120179</v>
      </c>
      <c r="BE11" s="14">
        <f>BD11*VLOOKUP('Données projet'!$B$11,Paramètres!$A$1:$I$89,3,0)*VLOOKUP('Données projet'!$B$11,Paramètres!$A$1:$I$89,5,0)</f>
        <v>5.8297061162018684</v>
      </c>
      <c r="BF11" s="14">
        <f t="shared" si="37"/>
        <v>2.1881518405377438</v>
      </c>
      <c r="BG11" s="22">
        <f t="shared" si="7"/>
        <v>13.96443594132149</v>
      </c>
      <c r="BH11" s="62">
        <f t="shared" si="8"/>
        <v>280.40888038576594</v>
      </c>
      <c r="BI11" s="62">
        <f ca="1">AVERAGE(OFFSET($BH$3,0,0,'Données projet'!$E$11+1,1))-AVERAGE(OFFSET($H$3,0,0,'Données projet'!$E$11+1,1))</f>
        <v>260.02504691866199</v>
      </c>
      <c r="BJ11" s="62">
        <f t="shared" si="38"/>
        <v>270.11268336406368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5.9083916083916082</v>
      </c>
      <c r="N12" s="14">
        <f>IF('Données projet'!$A$36&gt;35,N11+M12-V11,IF(A12&lt;'Données projet'!$A$36,$K$205^A12,IF(A12='Données projet'!$A$36,'Données projet'!$B$36,N11+M12-V11)))</f>
        <v>7.3244324991126044</v>
      </c>
      <c r="O12" s="14">
        <f>N12*VLOOKUP('Données projet'!$B$9,Paramètres!$A$1:$I$89,3,0)*VLOOKUP('Données projet'!$B$9,Paramètres!$A$1:$I$89,5,0)</f>
        <v>4.3800106344693379</v>
      </c>
      <c r="P12" s="14">
        <f t="shared" si="33"/>
        <v>1.6996500861735646</v>
      </c>
      <c r="Q12" s="22">
        <f t="shared" si="2"/>
        <v>10.588742421786387</v>
      </c>
      <c r="R12" s="62">
        <f t="shared" si="0"/>
        <v>278.25540908845306</v>
      </c>
      <c r="S12" s="62">
        <f ca="1">AVERAGE(OFFSET($R$3,0,0,'Données projet'!$E$9+1,1))-AVERAGE(OFFSET($H$3,0,0,'Données projet'!$E$9+1,1))</f>
        <v>287.05726996114242</v>
      </c>
      <c r="T12" s="62">
        <f t="shared" si="34"/>
        <v>229.06617320689003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2.0085470085470085</v>
      </c>
      <c r="AI12" s="14">
        <f>IF('Données projet'!$A$62&gt;35,AI11+AH12-AQ11,IF(A12&lt;'Données projet'!$A$62,$AF$205^A12,IF(A12='Données projet'!$A$62,'Données projet'!$B$62,AI11+AH12-AQ11)))</f>
        <v>7.715853190806035</v>
      </c>
      <c r="AJ12" s="14">
        <f>AI12*VLOOKUP('Données projet'!$B$10,Paramètres!$A$1:$I$89,3,0)*VLOOKUP('Données projet'!$B$10,Paramètres!$A$1:$I$89,5,0)</f>
        <v>8.0646097550304692</v>
      </c>
      <c r="AK12" s="14">
        <f t="shared" si="35"/>
        <v>2.9148024033411493</v>
      </c>
      <c r="AL12" s="22">
        <f t="shared" si="4"/>
        <v>19.122476175830567</v>
      </c>
      <c r="AM12" s="62">
        <f t="shared" si="5"/>
        <v>286.78914284249726</v>
      </c>
      <c r="AN12" s="62">
        <f ca="1">AVERAGE(OFFSET($AM$3,0,0,'Données projet'!$E$10+1,1))-AVERAGE(OFFSET($H$3,0,0,'Données projet'!$E$10+1,1))</f>
        <v>493.70175665335978</v>
      </c>
      <c r="AO12" s="62">
        <f t="shared" si="36"/>
        <v>325.12357781685949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7.4312217194570129</v>
      </c>
      <c r="BD12" s="13">
        <f>IF('Données projet'!$A$88&gt;35,BD11+BC12-BL11,IF(A12&lt;'Données projet'!$A$88,$BA$205^A12,IF(A12='Données projet'!$A$88,'Données projet'!$B$88,BD11+BC12-BL11)))</f>
        <v>12.958766444511483</v>
      </c>
      <c r="BE12" s="14">
        <f>BD12*VLOOKUP('Données projet'!$B$11,Paramètres!$A$1:$I$89,3,0)*VLOOKUP('Données projet'!$B$11,Paramètres!$A$1:$I$89,5,0)</f>
        <v>7.7493423338178671</v>
      </c>
      <c r="BF12" s="14">
        <f t="shared" si="37"/>
        <v>2.8138859005026107</v>
      </c>
      <c r="BG12" s="22">
        <f t="shared" si="7"/>
        <v>18.397622508108167</v>
      </c>
      <c r="BH12" s="62">
        <f t="shared" si="8"/>
        <v>286.06428917477484</v>
      </c>
      <c r="BI12" s="62">
        <f ca="1">AVERAGE(OFFSET($BH$3,0,0,'Données projet'!$E$11+1,1))-AVERAGE(OFFSET($H$3,0,0,'Données projet'!$E$11+1,1))</f>
        <v>260.02504691866199</v>
      </c>
      <c r="BJ12" s="62">
        <f t="shared" si="38"/>
        <v>270.11268336406368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5.9083916083916082</v>
      </c>
      <c r="N13" s="14">
        <f>IF('Données projet'!$A$36&gt;35,N12+M13-V12,IF(A13&lt;'Données projet'!$A$36,$K$205^A13,IF(A13='Données projet'!$A$36,'Données projet'!$B$36,N12+M13-V12)))</f>
        <v>9.1381856916409276</v>
      </c>
      <c r="O13" s="14">
        <f>N13*VLOOKUP('Données projet'!$B$9,Paramètres!$A$1:$I$89,3,0)*VLOOKUP('Données projet'!$B$9,Paramètres!$A$1:$I$89,5,0)</f>
        <v>5.4646350436012749</v>
      </c>
      <c r="P13" s="14">
        <f t="shared" si="33"/>
        <v>2.0666222857072225</v>
      </c>
      <c r="Q13" s="22">
        <f t="shared" si="2"/>
        <v>13.116939848545632</v>
      </c>
      <c r="R13" s="62">
        <f t="shared" si="0"/>
        <v>282.00582873743451</v>
      </c>
      <c r="S13" s="62">
        <f ca="1">AVERAGE(OFFSET($R$3,0,0,'Données projet'!$E$9+1,1))-AVERAGE(OFFSET($H$3,0,0,'Données projet'!$E$9+1,1))</f>
        <v>287.05726996114242</v>
      </c>
      <c r="T13" s="62">
        <f t="shared" si="34"/>
        <v>229.06617320689003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2.0085470085470085</v>
      </c>
      <c r="AI13" s="14">
        <f>IF('Données projet'!$A$62&gt;35,AI12+AH13-AQ12,IF(A13&lt;'Données projet'!$A$62,$AF$205^A13,IF(A13='Données projet'!$A$62,'Données projet'!$B$62,AI12+AH13-AQ12)))</f>
        <v>9.6823811114971363</v>
      </c>
      <c r="AJ13" s="14">
        <f>AI13*VLOOKUP('Données projet'!$B$10,Paramètres!$A$1:$I$89,3,0)*VLOOKUP('Données projet'!$B$10,Paramètres!$A$1:$I$89,5,0)</f>
        <v>10.120024737736808</v>
      </c>
      <c r="AK13" s="14">
        <f t="shared" si="35"/>
        <v>3.5623001055261061</v>
      </c>
      <c r="AL13" s="22">
        <f t="shared" si="4"/>
        <v>23.830049102016243</v>
      </c>
      <c r="AM13" s="62">
        <f t="shared" si="5"/>
        <v>292.71893799090509</v>
      </c>
      <c r="AN13" s="62">
        <f ca="1">AVERAGE(OFFSET($AM$3,0,0,'Données projet'!$E$10+1,1))-AVERAGE(OFFSET($H$3,0,0,'Données projet'!$E$10+1,1))</f>
        <v>493.70175665335978</v>
      </c>
      <c r="AO13" s="62">
        <f t="shared" si="36"/>
        <v>325.12357781685949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7.4312217194570129</v>
      </c>
      <c r="BD13" s="13">
        <f>IF('Données projet'!$A$88&gt;35,BD12+BC13-BL12,IF(A13&lt;'Données projet'!$A$88,$BA$205^A13,IF(A13='Données projet'!$A$88,'Données projet'!$B$88,BD12+BC13-BL12)))</f>
        <v>17.225897052240693</v>
      </c>
      <c r="BE13" s="14">
        <f>BD13*VLOOKUP('Données projet'!$B$11,Paramètres!$A$1:$I$89,3,0)*VLOOKUP('Données projet'!$B$11,Paramètres!$A$1:$I$89,5,0)</f>
        <v>10.301086437239935</v>
      </c>
      <c r="BF13" s="14">
        <f t="shared" si="37"/>
        <v>3.6185577775542006</v>
      </c>
      <c r="BG13" s="22">
        <f t="shared" si="7"/>
        <v>24.243380340766453</v>
      </c>
      <c r="BH13" s="62">
        <f t="shared" si="8"/>
        <v>293.13226922965532</v>
      </c>
      <c r="BI13" s="62">
        <f ca="1">AVERAGE(OFFSET($BH$3,0,0,'Données projet'!$E$11+1,1))-AVERAGE(OFFSET($H$3,0,0,'Données projet'!$E$11+1,1))</f>
        <v>260.02504691866199</v>
      </c>
      <c r="BJ13" s="62">
        <f t="shared" si="38"/>
        <v>270.11268336406368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5.9083916083916082</v>
      </c>
      <c r="N14" s="14">
        <f>IF('Données projet'!$A$36&gt;35,N13+M14-V13,IF(A14&lt;'Données projet'!$A$36,$K$205^A14,IF(A14='Données projet'!$A$36,'Données projet'!$B$36,N13+M14-V13)))</f>
        <v>11.401079571014991</v>
      </c>
      <c r="O14" s="14">
        <f>N14*VLOOKUP('Données projet'!$B$9,Paramètres!$A$1:$I$89,3,0)*VLOOKUP('Données projet'!$B$9,Paramètres!$A$1:$I$89,5,0)</f>
        <v>6.8178455834669647</v>
      </c>
      <c r="P14" s="14">
        <f t="shared" si="33"/>
        <v>2.5128276146515063</v>
      </c>
      <c r="Q14" s="22">
        <f t="shared" si="2"/>
        <v>16.250922486723002</v>
      </c>
      <c r="R14" s="62">
        <f t="shared" si="0"/>
        <v>286.36203359783417</v>
      </c>
      <c r="S14" s="62">
        <f ca="1">AVERAGE(OFFSET($R$3,0,0,'Données projet'!$E$9+1,1))-AVERAGE(OFFSET($H$3,0,0,'Données projet'!$E$9+1,1))</f>
        <v>287.05726996114242</v>
      </c>
      <c r="T14" s="62">
        <f t="shared" si="34"/>
        <v>229.06617320689003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2.0085470085470085</v>
      </c>
      <c r="AI14" s="14">
        <f>IF('Données projet'!$A$62&gt;35,AI13+AH14-AQ13,IF(A14&lt;'Données projet'!$A$62,$AF$205^A14,IF(A14='Données projet'!$A$62,'Données projet'!$B$62,AI13+AH14-AQ13)))</f>
        <v>12.150115051435174</v>
      </c>
      <c r="AJ14" s="14">
        <f>AI14*VLOOKUP('Données projet'!$B$10,Paramètres!$A$1:$I$89,3,0)*VLOOKUP('Données projet'!$B$10,Paramètres!$A$1:$I$89,5,0)</f>
        <v>12.699300251760045</v>
      </c>
      <c r="AK14" s="14">
        <f t="shared" si="35"/>
        <v>4.3536337239482048</v>
      </c>
      <c r="AL14" s="22">
        <f t="shared" si="4"/>
        <v>29.700526674358532</v>
      </c>
      <c r="AM14" s="62">
        <f t="shared" si="5"/>
        <v>299.81163778546966</v>
      </c>
      <c r="AN14" s="62">
        <f ca="1">AVERAGE(OFFSET($AM$3,0,0,'Données projet'!$E$10+1,1))-AVERAGE(OFFSET($H$3,0,0,'Données projet'!$E$10+1,1))</f>
        <v>493.70175665335978</v>
      </c>
      <c r="AO14" s="62">
        <f t="shared" si="36"/>
        <v>325.12357781685949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7.4312217194570129</v>
      </c>
      <c r="BD14" s="13">
        <f>IF('Données projet'!$A$88&gt;35,BD13+BC14-BL13,IF(A14&lt;'Données projet'!$A$88,$BA$205^A14,IF(A14='Données projet'!$A$88,'Données projet'!$B$88,BD13+BC14-BL13)))</f>
        <v>22.89813081553541</v>
      </c>
      <c r="BE14" s="14">
        <f>BD14*VLOOKUP('Données projet'!$B$11,Paramètres!$A$1:$I$89,3,0)*VLOOKUP('Données projet'!$B$11,Paramètres!$A$1:$I$89,5,0)</f>
        <v>13.693082227690176</v>
      </c>
      <c r="BF14" s="14">
        <f t="shared" si="37"/>
        <v>4.6533373606794726</v>
      </c>
      <c r="BG14" s="22">
        <f t="shared" si="7"/>
        <v>31.953347449743802</v>
      </c>
      <c r="BH14" s="62">
        <f t="shared" si="8"/>
        <v>302.06445856085497</v>
      </c>
      <c r="BI14" s="62">
        <f ca="1">AVERAGE(OFFSET($BH$3,0,0,'Données projet'!$E$11+1,1))-AVERAGE(OFFSET($H$3,0,0,'Données projet'!$E$11+1,1))</f>
        <v>260.02504691866199</v>
      </c>
      <c r="BJ14" s="62">
        <f t="shared" si="38"/>
        <v>270.11268336406368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5.9083916083916082</v>
      </c>
      <c r="N15" s="14">
        <f>IF('Données projet'!$A$36&gt;35,N14+M15-V14,IF(A15&lt;'Données projet'!$A$36,$K$205^A15,IF(A15='Données projet'!$A$36,'Données projet'!$B$36,N14+M15-V14)))</f>
        <v>14.224335089132365</v>
      </c>
      <c r="O15" s="14">
        <f>N15*VLOOKUP('Données projet'!$B$9,Paramètres!$A$1:$I$89,3,0)*VLOOKUP('Données projet'!$B$9,Paramètres!$A$1:$I$89,5,0)</f>
        <v>8.5061523833011545</v>
      </c>
      <c r="P15" s="14">
        <f t="shared" si="33"/>
        <v>3.0553733329137835</v>
      </c>
      <c r="Q15" s="22">
        <f t="shared" si="2"/>
        <v>20.136323955741016</v>
      </c>
      <c r="R15" s="62">
        <f t="shared" si="0"/>
        <v>291.46965728907435</v>
      </c>
      <c r="S15" s="62">
        <f ca="1">AVERAGE(OFFSET($R$3,0,0,'Données projet'!$E$9+1,1))-AVERAGE(OFFSET($H$3,0,0,'Données projet'!$E$9+1,1))</f>
        <v>287.05726996114242</v>
      </c>
      <c r="T15" s="62">
        <f t="shared" si="34"/>
        <v>229.06617320689003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2.0085470085470085</v>
      </c>
      <c r="AI15" s="14">
        <f>IF('Données projet'!$A$62&gt;35,AI14+AH15-AQ14,IF(A15&lt;'Données projet'!$A$62,$AF$205^A15,IF(A15='Données projet'!$A$62,'Données projet'!$B$62,AI14+AH15-AQ14)))</f>
        <v>15.246796636399393</v>
      </c>
      <c r="AJ15" s="14">
        <f>AI15*VLOOKUP('Données projet'!$B$10,Paramètres!$A$1:$I$89,3,0)*VLOOKUP('Données projet'!$B$10,Paramètres!$A$1:$I$89,5,0)</f>
        <v>15.935951844364647</v>
      </c>
      <c r="AK15" s="14">
        <f t="shared" si="35"/>
        <v>5.3207551415716088</v>
      </c>
      <c r="AL15" s="22">
        <f t="shared" si="4"/>
        <v>37.022098000505643</v>
      </c>
      <c r="AM15" s="62">
        <f t="shared" si="5"/>
        <v>308.35543133383896</v>
      </c>
      <c r="AN15" s="62">
        <f ca="1">AVERAGE(OFFSET($AM$3,0,0,'Données projet'!$E$10+1,1))-AVERAGE(OFFSET($H$3,0,0,'Données projet'!$E$10+1,1))</f>
        <v>493.70175665335978</v>
      </c>
      <c r="AO15" s="62">
        <f t="shared" si="36"/>
        <v>325.12357781685949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7.4312217194570129</v>
      </c>
      <c r="BD15" s="13">
        <f>IF('Données projet'!$A$88&gt;35,BD14+BC15-BL14,IF(A15&lt;'Données projet'!$A$88,$BA$205^A15,IF(A15='Données projet'!$A$88,'Données projet'!$B$88,BD14+BC15-BL14)))</f>
        <v>30.438147473844893</v>
      </c>
      <c r="BE15" s="14">
        <f>BD15*VLOOKUP('Données projet'!$B$11,Paramètres!$A$1:$I$89,3,0)*VLOOKUP('Données projet'!$B$11,Paramètres!$A$1:$I$89,5,0)</f>
        <v>18.202012189359248</v>
      </c>
      <c r="BF15" s="14">
        <f t="shared" si="37"/>
        <v>5.984027317903192</v>
      </c>
      <c r="BG15" s="22">
        <f t="shared" si="7"/>
        <v>42.124018808482084</v>
      </c>
      <c r="BH15" s="62">
        <f t="shared" si="8"/>
        <v>313.45735214181542</v>
      </c>
      <c r="BI15" s="62">
        <f ca="1">AVERAGE(OFFSET($BH$3,0,0,'Données projet'!$E$11+1,1))-AVERAGE(OFFSET($H$3,0,0,'Données projet'!$E$11+1,1))</f>
        <v>260.02504691866199</v>
      </c>
      <c r="BJ15" s="62">
        <f t="shared" si="38"/>
        <v>270.11268336406368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5.9083916083916082</v>
      </c>
      <c r="N16" s="14">
        <f>IF('Données projet'!$A$36&gt;35,N15+M16-V15,IF(A16&lt;'Données projet'!$A$36,$K$205^A16,IF(A16='Données projet'!$A$36,'Données projet'!$B$36,N15+M16-V15)))</f>
        <v>17.746714902535278</v>
      </c>
      <c r="O16" s="14">
        <f>N16*VLOOKUP('Données projet'!$B$9,Paramètres!$A$1:$I$89,3,0)*VLOOKUP('Données projet'!$B$9,Paramètres!$A$1:$I$89,5,0)</f>
        <v>10.612535511716098</v>
      </c>
      <c r="P16" s="14">
        <f t="shared" si="33"/>
        <v>3.7150603364311414</v>
      </c>
      <c r="Q16" s="22">
        <f t="shared" si="2"/>
        <v>24.953896102189773</v>
      </c>
      <c r="R16" s="62">
        <f t="shared" si="0"/>
        <v>297.50945165774533</v>
      </c>
      <c r="S16" s="62">
        <f ca="1">AVERAGE(OFFSET($R$3,0,0,'Données projet'!$E$9+1,1))-AVERAGE(OFFSET($H$3,0,0,'Données projet'!$E$9+1,1))</f>
        <v>287.05726996114242</v>
      </c>
      <c r="T16" s="62">
        <f t="shared" si="34"/>
        <v>229.06617320689003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2.0085470085470085</v>
      </c>
      <c r="AI16" s="14">
        <f>IF('Données projet'!$A$62&gt;35,AI15+AH16-AQ15,IF(A16&lt;'Données projet'!$A$62,$AF$205^A16,IF(A16='Données projet'!$A$62,'Données projet'!$B$62,AI15+AH16-AQ15)))</f>
        <v>19.132724808582047</v>
      </c>
      <c r="AJ16" s="14">
        <f>AI16*VLOOKUP('Données projet'!$B$10,Paramètres!$A$1:$I$89,3,0)*VLOOKUP('Données projet'!$B$10,Paramètres!$A$1:$I$89,5,0)</f>
        <v>19.997523969929958</v>
      </c>
      <c r="AK16" s="14">
        <f t="shared" si="35"/>
        <v>6.5027140709684383</v>
      </c>
      <c r="AL16" s="22">
        <f t="shared" si="4"/>
        <v>46.154581254564704</v>
      </c>
      <c r="AM16" s="62">
        <f t="shared" si="5"/>
        <v>318.71013681012028</v>
      </c>
      <c r="AN16" s="62">
        <f ca="1">AVERAGE(OFFSET($AM$3,0,0,'Données projet'!$E$10+1,1))-AVERAGE(OFFSET($H$3,0,0,'Données projet'!$E$10+1,1))</f>
        <v>493.70175665335978</v>
      </c>
      <c r="AO16" s="62">
        <f t="shared" si="36"/>
        <v>325.12357781685949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7.4312217194570129</v>
      </c>
      <c r="BD16" s="13">
        <f>IF('Données projet'!$A$88&gt;35,BD15+BC16-BL15,IF(A16&lt;'Données projet'!$A$88,$BA$205^A16,IF(A16='Données projet'!$A$88,'Données projet'!$B$88,BD15+BC16-BL15)))</f>
        <v>40.460980378841768</v>
      </c>
      <c r="BE16" s="14">
        <f>BD16*VLOOKUP('Données projet'!$B$11,Paramètres!$A$1:$I$89,3,0)*VLOOKUP('Données projet'!$B$11,Paramètres!$A$1:$I$89,5,0)</f>
        <v>24.195666266547377</v>
      </c>
      <c r="BF16" s="14">
        <f t="shared" si="37"/>
        <v>7.6952475537219458</v>
      </c>
      <c r="BG16" s="22">
        <f t="shared" si="7"/>
        <v>55.543341570302402</v>
      </c>
      <c r="BH16" s="62">
        <f t="shared" si="8"/>
        <v>328.09889712585795</v>
      </c>
      <c r="BI16" s="62">
        <f ca="1">AVERAGE(OFFSET($BH$3,0,0,'Données projet'!$E$11+1,1))-AVERAGE(OFFSET($H$3,0,0,'Données projet'!$E$11+1,1))</f>
        <v>260.02504691866199</v>
      </c>
      <c r="BJ16" s="62">
        <f t="shared" si="38"/>
        <v>270.11268336406368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5.9083916083916082</v>
      </c>
      <c r="N17" s="14">
        <f>IF('Données projet'!$A$36&gt;35,N16+M17-V16,IF(A17&lt;'Données projet'!$A$36,$K$205^A17,IF(A17='Données projet'!$A$36,'Données projet'!$B$36,N16+M17-V16)))</f>
        <v>22.141343539670387</v>
      </c>
      <c r="O17" s="14">
        <f>N17*VLOOKUP('Données projet'!$B$9,Paramètres!$A$1:$I$89,3,0)*VLOOKUP('Données projet'!$B$9,Paramètres!$A$1:$I$89,5,0)</f>
        <v>13.240523436722894</v>
      </c>
      <c r="P17" s="14">
        <f t="shared" si="33"/>
        <v>4.5171806517541881</v>
      </c>
      <c r="Q17" s="22">
        <f t="shared" si="2"/>
        <v>30.928001287430916</v>
      </c>
      <c r="R17" s="62">
        <f t="shared" si="0"/>
        <v>304.70577906520867</v>
      </c>
      <c r="S17" s="62">
        <f ca="1">AVERAGE(OFFSET($R$3,0,0,'Données projet'!$E$9+1,1))-AVERAGE(OFFSET($H$3,0,0,'Données projet'!$E$9+1,1))</f>
        <v>287.05726996114242</v>
      </c>
      <c r="T17" s="62">
        <f t="shared" si="34"/>
        <v>229.06617320689003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2.0085470085470085</v>
      </c>
      <c r="AI17" s="14">
        <f>IF('Données projet'!$A$62&gt;35,AI16+AH17-AQ16,IF(A17&lt;'Données projet'!$A$62,$AF$205^A17,IF(A17='Données projet'!$A$62,'Données projet'!$B$62,AI16+AH17-AQ16)))</f>
        <v>24.009053660951697</v>
      </c>
      <c r="AJ17" s="14">
        <f>AI17*VLOOKUP('Données projet'!$B$10,Paramètres!$A$1:$I$89,3,0)*VLOOKUP('Données projet'!$B$10,Paramètres!$A$1:$I$89,5,0)</f>
        <v>25.094262886426712</v>
      </c>
      <c r="AK17" s="14">
        <f t="shared" si="35"/>
        <v>7.9472347747017285</v>
      </c>
      <c r="AL17" s="22">
        <f t="shared" si="4"/>
        <v>57.547275093132022</v>
      </c>
      <c r="AM17" s="62">
        <f t="shared" si="5"/>
        <v>331.32505287090981</v>
      </c>
      <c r="AN17" s="62">
        <f ca="1">AVERAGE(OFFSET($AM$3,0,0,'Données projet'!$E$10+1,1))-AVERAGE(OFFSET($H$3,0,0,'Données projet'!$E$10+1,1))</f>
        <v>493.70175665335978</v>
      </c>
      <c r="AO17" s="62">
        <f t="shared" si="36"/>
        <v>325.12357781685949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7.4312217194570129</v>
      </c>
      <c r="BD17" s="13">
        <f>IF('Données projet'!$A$88&gt;35,BD16+BC17-BL16,IF(A17&lt;'Données projet'!$A$88,$BA$205^A17,IF(A17='Données projet'!$A$88,'Données projet'!$B$88,BD16+BC17-BL16)))</f>
        <v>53.784184291233551</v>
      </c>
      <c r="BE17" s="14">
        <f>BD17*VLOOKUP('Données projet'!$B$11,Paramètres!$A$1:$I$89,3,0)*VLOOKUP('Données projet'!$B$11,Paramètres!$A$1:$I$89,5,0)</f>
        <v>32.162942206157666</v>
      </c>
      <c r="BF17" s="14">
        <f t="shared" si="37"/>
        <v>9.8958162734145461</v>
      </c>
      <c r="BG17" s="22">
        <f t="shared" si="7"/>
        <v>73.252337685254929</v>
      </c>
      <c r="BH17" s="62">
        <f t="shared" si="8"/>
        <v>347.0301154630327</v>
      </c>
      <c r="BI17" s="62">
        <f ca="1">AVERAGE(OFFSET($BH$3,0,0,'Données projet'!$E$11+1,1))-AVERAGE(OFFSET($H$3,0,0,'Données projet'!$E$11+1,1))</f>
        <v>260.02504691866199</v>
      </c>
      <c r="BJ17" s="62">
        <f t="shared" si="38"/>
        <v>270.11268336406368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5.9083916083916082</v>
      </c>
      <c r="N18" s="14">
        <f>IF('Données projet'!$A$36&gt;35,N17+M18-V17,IF(A18&lt;'Données projet'!$A$36,$K$205^A18,IF(A18='Données projet'!$A$36,'Données projet'!$B$36,N17+M18-V17)))</f>
        <v>27.62421644986637</v>
      </c>
      <c r="O18" s="14">
        <f>N18*VLOOKUP('Données projet'!$B$9,Paramètres!$A$1:$I$89,3,0)*VLOOKUP('Données projet'!$B$9,Paramètres!$A$1:$I$89,5,0)</f>
        <v>16.519281437020091</v>
      </c>
      <c r="P18" s="14">
        <f t="shared" si="33"/>
        <v>5.4924871180381194</v>
      </c>
      <c r="Q18" s="22">
        <f t="shared" si="2"/>
        <v>38.337163566726382</v>
      </c>
      <c r="R18" s="62">
        <f t="shared" si="0"/>
        <v>313.33716356672636</v>
      </c>
      <c r="S18" s="62">
        <f ca="1">AVERAGE(OFFSET($R$3,0,0,'Données projet'!$E$9+1,1))-AVERAGE(OFFSET($H$3,0,0,'Données projet'!$E$9+1,1))</f>
        <v>287.05726996114242</v>
      </c>
      <c r="T18" s="62">
        <f t="shared" si="34"/>
        <v>229.06617320689003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30.128205128205128</v>
      </c>
      <c r="AG18" s="13">
        <f>VLOOKUP(A18,'Données projet'!$A$61:$I$81,9,0)</f>
        <v>2.0085470085470085</v>
      </c>
      <c r="AH18" s="13">
        <f t="array" ref="AH18">INDEX(AG:AG,MIN(IF(ISNUMBER(AG18:AG214),ROW(AG18:AG214),"")))</f>
        <v>2.0085470085470085</v>
      </c>
      <c r="AI18" s="14">
        <f>IF('Données projet'!$A$62&gt;35,AI17+AH18-AQ17,IF(A18&lt;'Données projet'!$A$62,$AF$205^A18,IF(A18='Données projet'!$A$62,'Données projet'!$B$62,AI17+AH18-AQ17)))</f>
        <v>30.128205128205128</v>
      </c>
      <c r="AJ18" s="14">
        <f>AI18*VLOOKUP('Données projet'!$B$10,Paramètres!$A$1:$I$89,3,0)*VLOOKUP('Données projet'!$B$10,Paramètres!$A$1:$I$89,5,0)</f>
        <v>31.490000000000006</v>
      </c>
      <c r="AK18" s="14">
        <f t="shared" si="35"/>
        <v>9.7126430402655597</v>
      </c>
      <c r="AL18" s="22">
        <f t="shared" si="4"/>
        <v>71.761269961795847</v>
      </c>
      <c r="AM18" s="62">
        <f t="shared" si="5"/>
        <v>346.76126996179585</v>
      </c>
      <c r="AN18" s="62">
        <f ca="1">AVERAGE(OFFSET($AM$3,0,0,'Données projet'!$E$10+1,1))-AVERAGE(OFFSET($H$3,0,0,'Données projet'!$E$10+1,1))</f>
        <v>493.70175665335978</v>
      </c>
      <c r="AO18" s="62">
        <f t="shared" si="36"/>
        <v>325.12357781685949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7.4312217194570129</v>
      </c>
      <c r="BD18" s="13">
        <f>IF('Données projet'!$A$88&gt;35,BD17+BC18-BL17,IF(A18&lt;'Données projet'!$A$88,$BA$205^A18,IF(A18='Données projet'!$A$88,'Données projet'!$B$88,BD17+BC18-BL17)))</f>
        <v>71.494522692931866</v>
      </c>
      <c r="BE18" s="14">
        <f>BD18*VLOOKUP('Données projet'!$B$11,Paramètres!$A$1:$I$89,3,0)*VLOOKUP('Données projet'!$B$11,Paramètres!$A$1:$I$89,5,0)</f>
        <v>42.753724570373258</v>
      </c>
      <c r="BF18" s="14">
        <f t="shared" si="37"/>
        <v>12.725669841487028</v>
      </c>
      <c r="BG18" s="22">
        <f t="shared" si="7"/>
        <v>96.626611933989992</v>
      </c>
      <c r="BH18" s="62">
        <f t="shared" si="8"/>
        <v>371.62661193398998</v>
      </c>
      <c r="BI18" s="62">
        <f ca="1">AVERAGE(OFFSET($BH$3,0,0,'Données projet'!$E$11+1,1))-AVERAGE(OFFSET($H$3,0,0,'Données projet'!$E$11+1,1))</f>
        <v>260.02504691866199</v>
      </c>
      <c r="BJ18" s="62">
        <f t="shared" si="38"/>
        <v>270.11268336406368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5.9083916083916082</v>
      </c>
      <c r="N19" s="14">
        <f>IF('Données projet'!$A$36&gt;35,N18+M19-V18,IF(A19&lt;'Données projet'!$A$36,$K$205^A19,IF(A19='Données projet'!$A$36,'Données projet'!$B$36,N18+M19-V18)))</f>
        <v>34.464816152725106</v>
      </c>
      <c r="O19" s="14">
        <f>N19*VLOOKUP('Données projet'!$B$9,Paramètres!$A$1:$I$89,3,0)*VLOOKUP('Données projet'!$B$9,Paramètres!$A$1:$I$89,5,0)</f>
        <v>20.609960059329616</v>
      </c>
      <c r="P19" s="14">
        <f t="shared" si="33"/>
        <v>6.6783724334999919</v>
      </c>
      <c r="Q19" s="22">
        <f t="shared" si="2"/>
        <v>47.527179091678228</v>
      </c>
      <c r="R19" s="62">
        <f t="shared" si="0"/>
        <v>323.74940131390048</v>
      </c>
      <c r="S19" s="62">
        <f ca="1">AVERAGE(OFFSET($R$3,0,0,'Données projet'!$E$9+1,1))-AVERAGE(OFFSET($H$3,0,0,'Données projet'!$E$9+1,1))</f>
        <v>287.05726996114242</v>
      </c>
      <c r="T19" s="62">
        <f t="shared" si="34"/>
        <v>229.06617320689003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5.7692307692307683</v>
      </c>
      <c r="AI19" s="14">
        <f>IF('Données projet'!$A$62&gt;35,AI18+AH19-AQ18,IF(A19&lt;'Données projet'!$A$62,$AF$205^A19,IF(A19='Données projet'!$A$62,'Données projet'!$B$62,AI18+AH19-AQ18)))</f>
        <v>35.897435897435898</v>
      </c>
      <c r="AJ19" s="14">
        <f>AI19*VLOOKUP('Données projet'!$B$10,Paramètres!$A$1:$I$89,3,0)*VLOOKUP('Données projet'!$B$10,Paramètres!$A$1:$I$89,5,0)</f>
        <v>37.520000000000003</v>
      </c>
      <c r="AK19" s="14">
        <f t="shared" si="35"/>
        <v>11.338894152047692</v>
      </c>
      <c r="AL19" s="22">
        <f t="shared" si="4"/>
        <v>85.095907314816401</v>
      </c>
      <c r="AM19" s="62">
        <f t="shared" si="5"/>
        <v>361.31812953703866</v>
      </c>
      <c r="AN19" s="62">
        <f ca="1">AVERAGE(OFFSET($AM$3,0,0,'Données projet'!$E$10+1,1))-AVERAGE(OFFSET($H$3,0,0,'Données projet'!$E$10+1,1))</f>
        <v>493.70175665335978</v>
      </c>
      <c r="AO19" s="62">
        <f t="shared" si="36"/>
        <v>325.12357781685949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7.4312217194570129</v>
      </c>
      <c r="BD19" s="13">
        <f>IF('Données projet'!$A$88&gt;35,BD18+BC19-BL18,IF(A19&lt;'Données projet'!$A$88,$BA$205^A19,IF(A19='Données projet'!$A$88,'Données projet'!$B$88,BD18+BC19-BL18)))</f>
        <v>95.036614247271999</v>
      </c>
      <c r="BE19" s="14">
        <f>BD19*VLOOKUP('Données projet'!$B$11,Paramètres!$A$1:$I$89,3,0)*VLOOKUP('Données projet'!$B$11,Paramètres!$A$1:$I$89,5,0)</f>
        <v>56.831895319868664</v>
      </c>
      <c r="BF19" s="14">
        <f t="shared" si="37"/>
        <v>16.364761474967661</v>
      </c>
      <c r="BG19" s="22">
        <f t="shared" si="7"/>
        <v>127.4841772510066</v>
      </c>
      <c r="BH19" s="62">
        <f t="shared" si="8"/>
        <v>403.70639947322883</v>
      </c>
      <c r="BI19" s="62">
        <f ca="1">AVERAGE(OFFSET($BH$3,0,0,'Données projet'!$E$11+1,1))-AVERAGE(OFFSET($H$3,0,0,'Données projet'!$E$11+1,1))</f>
        <v>260.02504691866199</v>
      </c>
      <c r="BJ19" s="62">
        <f t="shared" si="38"/>
        <v>270.11268336406368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5.9083916083916082</v>
      </c>
      <c r="N20" s="14">
        <f>IF('Données projet'!$A$36&gt;35,N19+M20-V19,IF(A20&lt;'Données projet'!$A$36,$K$205^A20,IF(A20='Données projet'!$A$36,'Données projet'!$B$36,N19+M20-V19)))</f>
        <v>42.999357270344852</v>
      </c>
      <c r="O20" s="14">
        <f>N20*VLOOKUP('Données projet'!$B$9,Paramètres!$A$1:$I$89,3,0)*VLOOKUP('Données projet'!$B$9,Paramètres!$A$1:$I$89,5,0)</f>
        <v>25.71361564766622</v>
      </c>
      <c r="P20" s="14">
        <f t="shared" si="33"/>
        <v>8.1203027703164814</v>
      </c>
      <c r="Q20" s="22">
        <f t="shared" si="2"/>
        <v>58.927407911319868</v>
      </c>
      <c r="R20" s="62">
        <f t="shared" si="0"/>
        <v>336.3718523557643</v>
      </c>
      <c r="S20" s="62">
        <f ca="1">AVERAGE(OFFSET($R$3,0,0,'Données projet'!$E$9+1,1))-AVERAGE(OFFSET($H$3,0,0,'Données projet'!$E$9+1,1))</f>
        <v>287.05726996114242</v>
      </c>
      <c r="T20" s="62">
        <f t="shared" si="34"/>
        <v>229.06617320689003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5.7692307692307683</v>
      </c>
      <c r="AI20" s="14">
        <f>IF('Données projet'!$A$62&gt;35,AI19+AH20-AQ19,IF(A20&lt;'Données projet'!$A$62,$AF$205^A20,IF(A20='Données projet'!$A$62,'Données projet'!$B$62,AI19+AH20-AQ19)))</f>
        <v>41.666666666666664</v>
      </c>
      <c r="AJ20" s="14">
        <f>AI20*VLOOKUP('Données projet'!$B$10,Paramètres!$A$1:$I$89,3,0)*VLOOKUP('Données projet'!$B$10,Paramètres!$A$1:$I$89,5,0)</f>
        <v>43.550000000000004</v>
      </c>
      <c r="AK20" s="14">
        <f t="shared" si="35"/>
        <v>12.934868040345785</v>
      </c>
      <c r="AL20" s="22">
        <f t="shared" si="4"/>
        <v>98.377811836935564</v>
      </c>
      <c r="AM20" s="62">
        <f t="shared" si="5"/>
        <v>375.82225628138002</v>
      </c>
      <c r="AN20" s="62">
        <f ca="1">AVERAGE(OFFSET($AM$3,0,0,'Données projet'!$E$10+1,1))-AVERAGE(OFFSET($H$3,0,0,'Données projet'!$E$10+1,1))</f>
        <v>493.70175665335978</v>
      </c>
      <c r="AO20" s="62">
        <f t="shared" si="36"/>
        <v>325.12357781685949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126.33076923076922</v>
      </c>
      <c r="BB20" s="13">
        <f>VLOOKUP(A20,'Données projet'!$A$87:$I$107,9,0)</f>
        <v>7.4312217194570129</v>
      </c>
      <c r="BC20" s="13">
        <f t="array" ref="BC20">INDEX(BB:BB,MIN(IF(ISNUMBER(BB20:BB216),ROW(BB20:BB216),"")))</f>
        <v>7.4312217194570129</v>
      </c>
      <c r="BD20" s="13">
        <f>IF('Données projet'!$A$88&gt;35,BD19+BC20-BL19,IF(A20&lt;'Données projet'!$A$88,$BA$205^A20,IF(A20='Données projet'!$A$88,'Données projet'!$B$88,BD19+BC20-BL19)))</f>
        <v>126.33076923076922</v>
      </c>
      <c r="BE20" s="14">
        <f>BD20*VLOOKUP('Données projet'!$B$11,Paramètres!$A$1:$I$89,3,0)*VLOOKUP('Données projet'!$B$11,Paramètres!$A$1:$I$89,5,0)</f>
        <v>75.5458</v>
      </c>
      <c r="BF20" s="14">
        <f t="shared" si="37"/>
        <v>21.044504648353485</v>
      </c>
      <c r="BG20" s="22">
        <f t="shared" si="7"/>
        <v>168.22811392921565</v>
      </c>
      <c r="BH20" s="62">
        <f t="shared" si="8"/>
        <v>445.67255837366008</v>
      </c>
      <c r="BI20" s="62">
        <f ca="1">AVERAGE(OFFSET($BH$3,0,0,'Données projet'!$E$11+1,1))-AVERAGE(OFFSET($H$3,0,0,'Données projet'!$E$11+1,1))</f>
        <v>260.02504691866199</v>
      </c>
      <c r="BJ20" s="62">
        <f t="shared" si="38"/>
        <v>270.11268336406368</v>
      </c>
      <c r="BK20" s="16">
        <f>IF(ISNA(VLOOKUP(A20,'Données projet'!$A$87:$I$107,3,0)),0,VLOOKUP(A20,'Données projet'!$A$87:$I$107,3,0))</f>
        <v>1</v>
      </c>
      <c r="BL20" s="16">
        <f>IF(ISNA(VLOOKUP(A20,'Données projet'!$A$87:$I$107,4,0)),0,VLOOKUP(A20,'Données projet'!$A$87:$I$107,4,0))</f>
        <v>42.084615384615375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0.22500000000000001</v>
      </c>
      <c r="BO20" s="17">
        <f>IF(ISNA(VLOOKUP(A20,'Données projet'!$A$87:$I$107,7,0)),0%,VLOOKUP(A20,'Données projet'!$A$87:$I$107,7,0))</f>
        <v>0.5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7.4820750970079972</v>
      </c>
      <c r="BR20" s="23">
        <f>EXP(-LN(2)/2)*BR19+(1-EXP(-LN(2)/2))/(LN(2)/2)*BL20*BO20*VLOOKUP('Données projet'!$B$11,Paramètres!$A$1:$I$89,3,0)*0.475*44/12</f>
        <v>14.247218669464777</v>
      </c>
      <c r="BS20" s="24">
        <f t="shared" si="9"/>
        <v>21.729293766472775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5.9083916083916082</v>
      </c>
      <c r="N21" s="14">
        <f>IF('Données projet'!$A$36&gt;35,N20+M21-V20,IF(A21&lt;'Données projet'!$A$36,$K$205^A21,IF(A21='Données projet'!$A$36,'Données projet'!$B$36,N20+M21-V20)))</f>
        <v>53.64731143405691</v>
      </c>
      <c r="O21" s="14">
        <f>N21*VLOOKUP('Données projet'!$B$9,Paramètres!$A$1:$I$89,3,0)*VLOOKUP('Données projet'!$B$9,Paramètres!$A$1:$I$89,5,0)</f>
        <v>32.081092237566033</v>
      </c>
      <c r="P21" s="14">
        <f t="shared" si="33"/>
        <v>9.8735609219464049</v>
      </c>
      <c r="Q21" s="22">
        <f t="shared" si="2"/>
        <v>73.071020919484155</v>
      </c>
      <c r="R21" s="62">
        <f t="shared" si="0"/>
        <v>351.73768758615086</v>
      </c>
      <c r="S21" s="62">
        <f ca="1">AVERAGE(OFFSET($R$3,0,0,'Données projet'!$E$9+1,1))-AVERAGE(OFFSET($H$3,0,0,'Données projet'!$E$9+1,1))</f>
        <v>287.05726996114242</v>
      </c>
      <c r="T21" s="62">
        <f t="shared" si="34"/>
        <v>229.06617320689003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5.7692307692307683</v>
      </c>
      <c r="AI21" s="14">
        <f>IF('Données projet'!$A$62&gt;35,AI20+AH21-AQ20,IF(A21&lt;'Données projet'!$A$62,$AF$205^A21,IF(A21='Données projet'!$A$62,'Données projet'!$B$62,AI20+AH21-AQ20)))</f>
        <v>47.435897435897431</v>
      </c>
      <c r="AJ21" s="14">
        <f>AI21*VLOOKUP('Données projet'!$B$10,Paramètres!$A$1:$I$89,3,0)*VLOOKUP('Données projet'!$B$10,Paramètres!$A$1:$I$89,5,0)</f>
        <v>49.58</v>
      </c>
      <c r="AK21" s="14">
        <f t="shared" si="35"/>
        <v>14.505239638165149</v>
      </c>
      <c r="AL21" s="22">
        <f t="shared" si="4"/>
        <v>111.61512570313762</v>
      </c>
      <c r="AM21" s="62">
        <f t="shared" si="5"/>
        <v>390.28179236980429</v>
      </c>
      <c r="AN21" s="62">
        <f ca="1">AVERAGE(OFFSET($AM$3,0,0,'Données projet'!$E$10+1,1))-AVERAGE(OFFSET($H$3,0,0,'Données projet'!$E$10+1,1))</f>
        <v>493.70175665335978</v>
      </c>
      <c r="AO21" s="62">
        <f t="shared" si="36"/>
        <v>325.12357781685949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14.926923076923075</v>
      </c>
      <c r="BD21" s="13">
        <f>IF('Données projet'!$A$88&gt;35,BD20+BC21-BL20,IF(A21&lt;'Données projet'!$A$88,$BA$205^A21,IF(A21='Données projet'!$A$88,'Données projet'!$B$88,BD20+BC21-BL20)))</f>
        <v>99.173076923076934</v>
      </c>
      <c r="BE21" s="14">
        <f>BD21*VLOOKUP('Données projet'!$B$11,Paramètres!$A$1:$I$89,3,0)*VLOOKUP('Données projet'!$B$11,Paramètres!$A$1:$I$89,5,0)</f>
        <v>59.305500000000016</v>
      </c>
      <c r="BF21" s="14">
        <f t="shared" si="37"/>
        <v>16.992558820122873</v>
      </c>
      <c r="BG21" s="22">
        <f t="shared" si="7"/>
        <v>132.88578577838067</v>
      </c>
      <c r="BH21" s="62">
        <f t="shared" si="8"/>
        <v>411.55245244504738</v>
      </c>
      <c r="BI21" s="62">
        <f ca="1">AVERAGE(OFFSET($BH$3,0,0,'Données projet'!$E$11+1,1))-AVERAGE(OFFSET($H$3,0,0,'Données projet'!$E$11+1,1))</f>
        <v>260.02504691866199</v>
      </c>
      <c r="BJ21" s="62">
        <f t="shared" si="38"/>
        <v>270.11268336406368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7.2774773600150846</v>
      </c>
      <c r="BR21" s="23">
        <f>EXP(-LN(2)/2)*BR20+(1-EXP(-LN(2)/2))/(LN(2)/2)*BL21*BO21*VLOOKUP('Données projet'!$B$11,Paramètres!$A$1:$I$89,3,0)*0.475*44/12</f>
        <v>10.074304934226125</v>
      </c>
      <c r="BS21" s="24">
        <f t="shared" si="9"/>
        <v>17.351782294241211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5.9083916083916082</v>
      </c>
      <c r="N22" s="14">
        <f>IF('Données projet'!$A$36&gt;35,N21+M22-V21,IF(A22&lt;'Données projet'!$A$36,$K$205^A22,IF(A22='Données projet'!$A$36,'Données projet'!$B$36,N21+M22-V21)))</f>
        <v>66.932024262780615</v>
      </c>
      <c r="O22" s="14">
        <f>N22*VLOOKUP('Données projet'!$B$9,Paramètres!$A$1:$I$89,3,0)*VLOOKUP('Données projet'!$B$9,Paramètres!$A$1:$I$89,5,0)</f>
        <v>40.025350509142811</v>
      </c>
      <c r="P22" s="14">
        <f t="shared" si="33"/>
        <v>12.005365814160106</v>
      </c>
      <c r="Q22" s="22">
        <f t="shared" si="2"/>
        <v>90.620164263085925</v>
      </c>
      <c r="R22" s="62">
        <f t="shared" si="0"/>
        <v>370.5090531519748</v>
      </c>
      <c r="S22" s="62">
        <f ca="1">AVERAGE(OFFSET($R$3,0,0,'Données projet'!$E$9+1,1))-AVERAGE(OFFSET($H$3,0,0,'Données projet'!$E$9+1,1))</f>
        <v>287.05726996114242</v>
      </c>
      <c r="T22" s="62">
        <f t="shared" si="34"/>
        <v>229.06617320689003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5.7692307692307683</v>
      </c>
      <c r="AI22" s="14">
        <f>IF('Données projet'!$A$62&gt;35,AI21+AH22-AQ21,IF(A22&lt;'Données projet'!$A$62,$AF$205^A22,IF(A22='Données projet'!$A$62,'Données projet'!$B$62,AI21+AH22-AQ21)))</f>
        <v>53.205128205128197</v>
      </c>
      <c r="AJ22" s="14">
        <f>AI22*VLOOKUP('Données projet'!$B$10,Paramètres!$A$1:$I$89,3,0)*VLOOKUP('Données projet'!$B$10,Paramètres!$A$1:$I$89,5,0)</f>
        <v>55.61</v>
      </c>
      <c r="AK22" s="14">
        <f t="shared" si="35"/>
        <v>16.053478951715945</v>
      </c>
      <c r="AL22" s="22">
        <f t="shared" si="4"/>
        <v>124.81389250757191</v>
      </c>
      <c r="AM22" s="62">
        <f t="shared" si="5"/>
        <v>404.70278139646075</v>
      </c>
      <c r="AN22" s="62">
        <f ca="1">AVERAGE(OFFSET($AM$3,0,0,'Données projet'!$E$10+1,1))-AVERAGE(OFFSET($H$3,0,0,'Données projet'!$E$10+1,1))</f>
        <v>493.70175665335978</v>
      </c>
      <c r="AO22" s="62">
        <f t="shared" si="36"/>
        <v>325.12357781685949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14.926923076923075</v>
      </c>
      <c r="BD22" s="13">
        <f>IF('Données projet'!$A$88&gt;35,BD21+BC22-BL21,IF(A22&lt;'Données projet'!$A$88,$BA$205^A22,IF(A22='Données projet'!$A$88,'Données projet'!$B$88,BD21+BC22-BL21)))</f>
        <v>114.10000000000001</v>
      </c>
      <c r="BE22" s="14">
        <f>BD22*VLOOKUP('Données projet'!$B$11,Paramètres!$A$1:$I$89,3,0)*VLOOKUP('Données projet'!$B$11,Paramètres!$A$1:$I$89,5,0)</f>
        <v>68.231800000000007</v>
      </c>
      <c r="BF22" s="14">
        <f t="shared" si="37"/>
        <v>19.233699497264624</v>
      </c>
      <c r="BG22" s="22">
        <f t="shared" si="7"/>
        <v>152.3357449577359</v>
      </c>
      <c r="BH22" s="62">
        <f t="shared" si="8"/>
        <v>432.22463384662478</v>
      </c>
      <c r="BI22" s="62">
        <f ca="1">AVERAGE(OFFSET($BH$3,0,0,'Données projet'!$E$11+1,1))-AVERAGE(OFFSET($H$3,0,0,'Données projet'!$E$11+1,1))</f>
        <v>260.02504691866199</v>
      </c>
      <c r="BJ22" s="62">
        <f t="shared" si="38"/>
        <v>270.11268336406368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7.0784743588995704</v>
      </c>
      <c r="BR22" s="23">
        <f>EXP(-LN(2)/2)*BR21+(1-EXP(-LN(2)/2))/(LN(2)/2)*BL22*BO22*VLOOKUP('Données projet'!$B$11,Paramètres!$A$1:$I$89,3,0)*0.475*44/12</f>
        <v>7.1236093347323894</v>
      </c>
      <c r="BS22" s="24">
        <f t="shared" si="9"/>
        <v>14.202083693631959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5.9083916083916082</v>
      </c>
      <c r="N23" s="14">
        <f>IF('Données projet'!$A$36&gt;35,N22+M23-V22,IF(A23&lt;'Données projet'!$A$36,$K$205^A23,IF(A23='Données projet'!$A$36,'Données projet'!$B$36,N22+M23-V22)))</f>
        <v>83.506437734910989</v>
      </c>
      <c r="O23" s="14">
        <f>N23*VLOOKUP('Données projet'!$B$9,Paramètres!$A$1:$I$89,3,0)*VLOOKUP('Données projet'!$B$9,Paramètres!$A$1:$I$89,5,0)</f>
        <v>49.936849765476779</v>
      </c>
      <c r="P23" s="14">
        <f t="shared" si="33"/>
        <v>14.597449640629918</v>
      </c>
      <c r="Q23" s="22">
        <f t="shared" si="2"/>
        <v>112.39723813230249</v>
      </c>
      <c r="R23" s="62">
        <f t="shared" si="0"/>
        <v>393.50834924341365</v>
      </c>
      <c r="S23" s="62">
        <f ca="1">AVERAGE(OFFSET($R$3,0,0,'Données projet'!$E$9+1,1))-AVERAGE(OFFSET($H$3,0,0,'Données projet'!$E$9+1,1))</f>
        <v>287.05726996114242</v>
      </c>
      <c r="T23" s="62">
        <f t="shared" si="34"/>
        <v>229.06617320689003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58.974358974358971</v>
      </c>
      <c r="AG23" s="13">
        <f>VLOOKUP(A23,'Données projet'!$A$61:$I$81,9,0)</f>
        <v>5.7692307692307683</v>
      </c>
      <c r="AH23" s="13">
        <f t="array" ref="AH23">INDEX(AG:AG,MIN(IF(ISNUMBER(AG23:AG219),ROW(AG23:AG219),"")))</f>
        <v>5.7692307692307683</v>
      </c>
      <c r="AI23" s="14">
        <f>IF('Données projet'!$A$62&gt;35,AI22+AH23-AQ22,IF(A23&lt;'Données projet'!$A$62,$AF$205^A23,IF(A23='Données projet'!$A$62,'Données projet'!$B$62,AI22+AH23-AQ22)))</f>
        <v>58.974358974358964</v>
      </c>
      <c r="AJ23" s="14">
        <f>AI23*VLOOKUP('Données projet'!$B$10,Paramètres!$A$1:$I$89,3,0)*VLOOKUP('Données projet'!$B$10,Paramètres!$A$1:$I$89,5,0)</f>
        <v>61.64</v>
      </c>
      <c r="AK23" s="14">
        <f t="shared" si="35"/>
        <v>17.582259466632539</v>
      </c>
      <c r="AL23" s="22">
        <f t="shared" si="4"/>
        <v>137.97876857105169</v>
      </c>
      <c r="AM23" s="62">
        <f t="shared" si="5"/>
        <v>419.08987968216286</v>
      </c>
      <c r="AN23" s="62">
        <f ca="1">AVERAGE(OFFSET($AM$3,0,0,'Données projet'!$E$10+1,1))-AVERAGE(OFFSET($H$3,0,0,'Données projet'!$E$10+1,1))</f>
        <v>493.70175665335978</v>
      </c>
      <c r="AO23" s="62">
        <f t="shared" si="36"/>
        <v>325.12357781685949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14.926923076923075</v>
      </c>
      <c r="BD23" s="13">
        <f>IF('Données projet'!$A$88&gt;35,BD22+BC23-BL22,IF(A23&lt;'Données projet'!$A$88,$BA$205^A23,IF(A23='Données projet'!$A$88,'Données projet'!$B$88,BD22+BC23-BL22)))</f>
        <v>129.02692307692308</v>
      </c>
      <c r="BE23" s="14">
        <f>BD23*VLOOKUP('Données projet'!$B$11,Paramètres!$A$1:$I$89,3,0)*VLOOKUP('Données projet'!$B$11,Paramètres!$A$1:$I$89,5,0)</f>
        <v>77.158100000000005</v>
      </c>
      <c r="BF23" s="14">
        <f t="shared" si="37"/>
        <v>21.440868838738705</v>
      </c>
      <c r="BG23" s="22">
        <f t="shared" si="7"/>
        <v>171.72653739413659</v>
      </c>
      <c r="BH23" s="62">
        <f t="shared" si="8"/>
        <v>452.83764850524773</v>
      </c>
      <c r="BI23" s="62">
        <f ca="1">AVERAGE(OFFSET($BH$3,0,0,'Données projet'!$E$11+1,1))-AVERAGE(OFFSET($H$3,0,0,'Données projet'!$E$11+1,1))</f>
        <v>260.02504691866199</v>
      </c>
      <c r="BJ23" s="62">
        <f t="shared" si="38"/>
        <v>270.11268336406368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6.8849131053146735</v>
      </c>
      <c r="BR23" s="23">
        <f>EXP(-LN(2)/2)*BR22+(1-EXP(-LN(2)/2))/(LN(2)/2)*BL23*BO23*VLOOKUP('Données projet'!$B$11,Paramètres!$A$1:$I$89,3,0)*0.475*44/12</f>
        <v>5.0371524671130636</v>
      </c>
      <c r="BS23" s="24">
        <f t="shared" si="9"/>
        <v>11.922065572427737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5.9083916083916082</v>
      </c>
      <c r="N24" s="14">
        <f>IF('Données projet'!$A$36&gt;35,N23+M24-V23,IF(A24&lt;'Données projet'!$A$36,$K$205^A24,IF(A24='Données projet'!$A$36,'Données projet'!$B$36,N23+M24-V23)))</f>
        <v>104.18518220510889</v>
      </c>
      <c r="O24" s="14">
        <f>N24*VLOOKUP('Données projet'!$B$9,Paramètres!$A$1:$I$89,3,0)*VLOOKUP('Données projet'!$B$9,Paramètres!$A$1:$I$89,5,0)</f>
        <v>62.302738958655119</v>
      </c>
      <c r="P24" s="14">
        <f t="shared" si="33"/>
        <v>17.749191429002199</v>
      </c>
      <c r="Q24" s="22">
        <f t="shared" si="2"/>
        <v>139.42377875850318</v>
      </c>
      <c r="R24" s="62">
        <f t="shared" si="0"/>
        <v>421.75711209183646</v>
      </c>
      <c r="S24" s="62">
        <f ca="1">AVERAGE(OFFSET($R$3,0,0,'Données projet'!$E$9+1,1))-AVERAGE(OFFSET($H$3,0,0,'Données projet'!$E$9+1,1))</f>
        <v>287.05726996114242</v>
      </c>
      <c r="T24" s="62">
        <f t="shared" si="34"/>
        <v>229.06617320689003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6.5384615384615374</v>
      </c>
      <c r="AI24" s="14">
        <f>IF('Données projet'!$A$62&gt;35,AI23+AH24-AQ23,IF(A24&lt;'Données projet'!$A$62,$AF$205^A24,IF(A24='Données projet'!$A$62,'Données projet'!$B$62,AI23+AH24-AQ23)))</f>
        <v>65.512820512820497</v>
      </c>
      <c r="AJ24" s="14">
        <f>AI24*VLOOKUP('Données projet'!$B$10,Paramètres!$A$1:$I$89,3,0)*VLOOKUP('Données projet'!$B$10,Paramètres!$A$1:$I$89,5,0)</f>
        <v>68.47399999999999</v>
      </c>
      <c r="AK24" s="14">
        <f t="shared" si="35"/>
        <v>19.294013233443497</v>
      </c>
      <c r="AL24" s="22">
        <f t="shared" si="4"/>
        <v>152.8626230482474</v>
      </c>
      <c r="AM24" s="62">
        <f t="shared" si="5"/>
        <v>435.19595638158069</v>
      </c>
      <c r="AN24" s="62">
        <f ca="1">AVERAGE(OFFSET($AM$3,0,0,'Données projet'!$E$10+1,1))-AVERAGE(OFFSET($H$3,0,0,'Données projet'!$E$10+1,1))</f>
        <v>493.70175665335978</v>
      </c>
      <c r="AO24" s="62">
        <f t="shared" si="36"/>
        <v>325.12357781685949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14.926923076923075</v>
      </c>
      <c r="BD24" s="13">
        <f>IF('Données projet'!$A$88&gt;35,BD23+BC24-BL23,IF(A24&lt;'Données projet'!$A$88,$BA$205^A24,IF(A24='Données projet'!$A$88,'Données projet'!$B$88,BD23+BC24-BL23)))</f>
        <v>143.95384615384614</v>
      </c>
      <c r="BE24" s="14">
        <f>BD24*VLOOKUP('Données projet'!$B$11,Paramètres!$A$1:$I$89,3,0)*VLOOKUP('Données projet'!$B$11,Paramètres!$A$1:$I$89,5,0)</f>
        <v>86.084400000000002</v>
      </c>
      <c r="BF24" s="14">
        <f t="shared" si="37"/>
        <v>23.618445758177199</v>
      </c>
      <c r="BG24" s="22">
        <f t="shared" si="7"/>
        <v>191.06578969549196</v>
      </c>
      <c r="BH24" s="62">
        <f t="shared" si="8"/>
        <v>473.39912302882527</v>
      </c>
      <c r="BI24" s="62">
        <f ca="1">AVERAGE(OFFSET($BH$3,0,0,'Données projet'!$E$11+1,1))-AVERAGE(OFFSET($H$3,0,0,'Données projet'!$E$11+1,1))</f>
        <v>260.02504691866199</v>
      </c>
      <c r="BJ24" s="62">
        <f t="shared" si="38"/>
        <v>270.11268336406368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6.696644794387999</v>
      </c>
      <c r="BR24" s="23">
        <f>EXP(-LN(2)/2)*BR23+(1-EXP(-LN(2)/2))/(LN(2)/2)*BL24*BO24*VLOOKUP('Données projet'!$B$11,Paramètres!$A$1:$I$89,3,0)*0.475*44/12</f>
        <v>3.5618046673661952</v>
      </c>
      <c r="BS24" s="24">
        <f t="shared" si="9"/>
        <v>10.258449461754195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129.98461538461538</v>
      </c>
      <c r="L25" s="13">
        <f>VLOOKUP(A25,'Données projet'!$A$35:$I$55,9,0)</f>
        <v>5.9083916083916082</v>
      </c>
      <c r="M25" s="13">
        <f t="array" ref="M25">INDEX(L:L,MIN(IF(ISNUMBER(L25:L221),ROW(L25:L221),"")))</f>
        <v>5.9083916083916082</v>
      </c>
      <c r="N25" s="14">
        <f>IF('Données projet'!$A$36&gt;35,N24+M25-V24,IF(A25&lt;'Données projet'!$A$36,$K$205^A25,IF(A25='Données projet'!$A$36,'Données projet'!$B$36,N24+M25-V24)))</f>
        <v>129.98461538461538</v>
      </c>
      <c r="O25" s="14">
        <f>N25*VLOOKUP('Données projet'!$B$9,Paramètres!$A$1:$I$89,3,0)*VLOOKUP('Données projet'!$B$9,Paramètres!$A$1:$I$89,5,0)</f>
        <v>77.730800000000002</v>
      </c>
      <c r="P25" s="14">
        <f t="shared" si="33"/>
        <v>21.581427176601697</v>
      </c>
      <c r="Q25" s="22">
        <f t="shared" si="2"/>
        <v>172.96879566591463</v>
      </c>
      <c r="R25" s="62">
        <f t="shared" si="0"/>
        <v>456.52435122147017</v>
      </c>
      <c r="S25" s="62">
        <f ca="1">AVERAGE(OFFSET($R$3,0,0,'Données projet'!$E$9+1,1))-AVERAGE(OFFSET($H$3,0,0,'Données projet'!$E$9+1,1))</f>
        <v>287.05726996114242</v>
      </c>
      <c r="T25" s="62">
        <f t="shared" si="34"/>
        <v>229.06617320689003</v>
      </c>
      <c r="U25" s="16">
        <f>IF(ISNA(VLOOKUP(A25,'Données projet'!$A$35:$I$55,3,0)),0,VLOOKUP(A25,'Données projet'!$A$35:$I$55,3,0))</f>
        <v>1</v>
      </c>
      <c r="V25" s="16">
        <f>IF(ISNA(VLOOKUP(A25,'Données projet'!$A$35:$I$55,4,0)),0,VLOOKUP(A25,'Données projet'!$A$35:$I$55,4,0))</f>
        <v>52.746153846153838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0.22500000000000001</v>
      </c>
      <c r="Y25" s="17">
        <f>IF(ISNA(VLOOKUP(A25,'Données projet'!$A$35:$I$55,7,0)),0%,VLOOKUP(A25,'Données projet'!$A$35:$I$55,7,0))</f>
        <v>0.5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9.377552356092826</v>
      </c>
      <c r="AB25" s="23">
        <f>EXP(-LN(2)/2)*AB24+(1-EXP(-LN(2)/2))/(LN(2)/2)*V25*Y25*VLOOKUP('Données projet'!$B$9,Paramètres!$A$1:$I$89,3,0)*0.475*44/12</f>
        <v>17.856548787519642</v>
      </c>
      <c r="AC25" s="24">
        <f t="shared" si="3"/>
        <v>27.23410114361247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6.5384615384615374</v>
      </c>
      <c r="AI25" s="14">
        <f>IF('Données projet'!$A$62&gt;35,AI24+AH25-AQ24,IF(A25&lt;'Données projet'!$A$62,$AF$205^A25,IF(A25='Données projet'!$A$62,'Données projet'!$B$62,AI24+AH25-AQ24)))</f>
        <v>72.05128205128203</v>
      </c>
      <c r="AJ25" s="14">
        <f>AI25*VLOOKUP('Données projet'!$B$10,Paramètres!$A$1:$I$89,3,0)*VLOOKUP('Données projet'!$B$10,Paramètres!$A$1:$I$89,5,0)</f>
        <v>75.307999999999979</v>
      </c>
      <c r="AK25" s="14">
        <f t="shared" si="35"/>
        <v>20.985961565400835</v>
      </c>
      <c r="AL25" s="22">
        <f t="shared" si="4"/>
        <v>167.71198305973977</v>
      </c>
      <c r="AM25" s="62">
        <f t="shared" si="5"/>
        <v>451.26753861529528</v>
      </c>
      <c r="AN25" s="62">
        <f ca="1">AVERAGE(OFFSET($AM$3,0,0,'Données projet'!$E$10+1,1))-AVERAGE(OFFSET($H$3,0,0,'Données projet'!$E$10+1,1))</f>
        <v>493.70175665335978</v>
      </c>
      <c r="AO25" s="62">
        <f t="shared" si="36"/>
        <v>325.12357781685949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14.926923076923075</v>
      </c>
      <c r="BD25" s="13">
        <f>IF('Données projet'!$A$88&gt;35,BD24+BC25-BL24,IF(A25&lt;'Données projet'!$A$88,$BA$205^A25,IF(A25='Données projet'!$A$88,'Données projet'!$B$88,BD24+BC25-BL24)))</f>
        <v>158.8807692307692</v>
      </c>
      <c r="BE25" s="14">
        <f>BD25*VLOOKUP('Données projet'!$B$11,Paramètres!$A$1:$I$89,3,0)*VLOOKUP('Données projet'!$B$11,Paramètres!$A$1:$I$89,5,0)</f>
        <v>95.0107</v>
      </c>
      <c r="BF25" s="14">
        <f t="shared" si="37"/>
        <v>25.769848277327686</v>
      </c>
      <c r="BG25" s="22">
        <f t="shared" si="7"/>
        <v>210.3594549163457</v>
      </c>
      <c r="BH25" s="62">
        <f t="shared" si="8"/>
        <v>493.91501047190127</v>
      </c>
      <c r="BI25" s="62">
        <f ca="1">AVERAGE(OFFSET($BH$3,0,0,'Données projet'!$E$11+1,1))-AVERAGE(OFFSET($H$3,0,0,'Données projet'!$E$11+1,1))</f>
        <v>260.02504691866199</v>
      </c>
      <c r="BJ25" s="62">
        <f t="shared" si="38"/>
        <v>270.11268336406368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6.513524690324215</v>
      </c>
      <c r="BR25" s="23">
        <f>EXP(-LN(2)/2)*BR24+(1-EXP(-LN(2)/2))/(LN(2)/2)*BL25*BO25*VLOOKUP('Données projet'!$B$11,Paramètres!$A$1:$I$89,3,0)*0.475*44/12</f>
        <v>2.5185762335565318</v>
      </c>
      <c r="BS25" s="24">
        <f t="shared" si="9"/>
        <v>9.0321009238807477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12.695384615384615</v>
      </c>
      <c r="N26" s="14">
        <f>IF('Données projet'!$A$36&gt;35,N25+M26-V25,IF(A26&lt;'Données projet'!$A$36,$K$205^A26,IF(A26='Données projet'!$A$36,'Données projet'!$B$36,N25+M26-V25)))</f>
        <v>89.933846153846162</v>
      </c>
      <c r="O26" s="14">
        <f>N26*VLOOKUP('Données projet'!$B$9,Paramètres!$A$1:$I$89,3,0)*VLOOKUP('Données projet'!$B$9,Paramètres!$A$1:$I$89,5,0)</f>
        <v>53.780440000000013</v>
      </c>
      <c r="P26" s="14">
        <f t="shared" si="33"/>
        <v>15.5858948320701</v>
      </c>
      <c r="Q26" s="22">
        <f t="shared" si="2"/>
        <v>120.81303316585546</v>
      </c>
      <c r="R26" s="62">
        <f t="shared" si="0"/>
        <v>405.59081094363324</v>
      </c>
      <c r="S26" s="62">
        <f ca="1">AVERAGE(OFFSET($R$3,0,0,'Données projet'!$E$9+1,1))-AVERAGE(OFFSET($H$3,0,0,'Données projet'!$E$9+1,1))</f>
        <v>287.05726996114242</v>
      </c>
      <c r="T26" s="62">
        <f t="shared" si="34"/>
        <v>229.06617320689003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9.1211226937714223</v>
      </c>
      <c r="AB26" s="23">
        <f>EXP(-LN(2)/2)*AB25+(1-EXP(-LN(2)/2))/(LN(2)/2)*V26*Y26*VLOOKUP('Données projet'!$B$9,Paramètres!$A$1:$I$89,3,0)*0.475*44/12</f>
        <v>12.626486736243564</v>
      </c>
      <c r="AC26" s="24">
        <f t="shared" si="3"/>
        <v>21.747609430014986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6.5384615384615374</v>
      </c>
      <c r="AI26" s="14">
        <f>IF('Données projet'!$A$62&gt;35,AI25+AH26-AQ25,IF(A26&lt;'Données projet'!$A$62,$AF$205^A26,IF(A26='Données projet'!$A$62,'Données projet'!$B$62,AI25+AH26-AQ25)))</f>
        <v>78.589743589743563</v>
      </c>
      <c r="AJ26" s="14">
        <f>AI26*VLOOKUP('Données projet'!$B$10,Paramètres!$A$1:$I$89,3,0)*VLOOKUP('Données projet'!$B$10,Paramètres!$A$1:$I$89,5,0)</f>
        <v>82.141999999999982</v>
      </c>
      <c r="AK26" s="14">
        <f t="shared" si="35"/>
        <v>22.660106151503225</v>
      </c>
      <c r="AL26" s="22">
        <f t="shared" si="4"/>
        <v>182.53033488053475</v>
      </c>
      <c r="AM26" s="62">
        <f t="shared" si="5"/>
        <v>467.30811265831255</v>
      </c>
      <c r="AN26" s="62">
        <f ca="1">AVERAGE(OFFSET($AM$3,0,0,'Données projet'!$E$10+1,1))-AVERAGE(OFFSET($H$3,0,0,'Données projet'!$E$10+1,1))</f>
        <v>493.70175665335978</v>
      </c>
      <c r="AO26" s="62">
        <f t="shared" si="36"/>
        <v>325.12357781685949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173.80769230769229</v>
      </c>
      <c r="BB26" s="13">
        <f>VLOOKUP(A26,'Données projet'!$A$87:$I$107,9,0)</f>
        <v>14.926923076923075</v>
      </c>
      <c r="BC26" s="13">
        <f t="array" ref="BC26">INDEX(BB:BB,MIN(IF(ISNUMBER(BB26:BB222),ROW(BB26:BB222),"")))</f>
        <v>14.926923076923075</v>
      </c>
      <c r="BD26" s="13">
        <f>IF('Données projet'!$A$88&gt;35,BD25+BC26-BL25,IF(A26&lt;'Données projet'!$A$88,$BA$205^A26,IF(A26='Données projet'!$A$88,'Données projet'!$B$88,BD25+BC26-BL25)))</f>
        <v>173.80769230769226</v>
      </c>
      <c r="BE26" s="14">
        <f>BD26*VLOOKUP('Données projet'!$B$11,Paramètres!$A$1:$I$89,3,0)*VLOOKUP('Données projet'!$B$11,Paramètres!$A$1:$I$89,5,0)</f>
        <v>103.93699999999998</v>
      </c>
      <c r="BF26" s="14">
        <f t="shared" si="37"/>
        <v>27.897815230264825</v>
      </c>
      <c r="BG26" s="22">
        <f t="shared" si="7"/>
        <v>229.61230319271121</v>
      </c>
      <c r="BH26" s="62">
        <f t="shared" si="8"/>
        <v>514.39008097048895</v>
      </c>
      <c r="BI26" s="62">
        <f ca="1">AVERAGE(OFFSET($BH$3,0,0,'Données projet'!$E$11+1,1))-AVERAGE(OFFSET($H$3,0,0,'Données projet'!$E$11+1,1))</f>
        <v>260.02504691866199</v>
      </c>
      <c r="BJ26" s="62">
        <f t="shared" si="38"/>
        <v>270.11268336406368</v>
      </c>
      <c r="BK26" s="16">
        <f>IF(ISNA(VLOOKUP(A26,'Données projet'!$A$87:$I$107,3,0)),0,VLOOKUP(A26,'Données projet'!$A$87:$I$107,3,0))</f>
        <v>2</v>
      </c>
      <c r="BL26" s="16">
        <f>IF(ISNA(VLOOKUP(A26,'Données projet'!$A$87:$I$107,4,0)),0,VLOOKUP(A26,'Données projet'!$A$87:$I$107,4,0))</f>
        <v>54.099999999999987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0.22500000000000001</v>
      </c>
      <c r="BO26" s="17">
        <f>IF(ISNA(VLOOKUP(A26,'Données projet'!$A$87:$I$107,7,0)),0%,VLOOKUP(A26,'Données projet'!$A$87:$I$107,7,0))</f>
        <v>0.5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15.953659896191899</v>
      </c>
      <c r="BR26" s="23">
        <f>EXP(-LN(2)/2)*BR25+(1-EXP(-LN(2)/2))/(LN(2)/2)*BL26*BO26*VLOOKUP('Données projet'!$B$11,Paramètres!$A$1:$I$89,3,0)*0.475*44/12</f>
        <v>20.095778755241454</v>
      </c>
      <c r="BS26" s="24">
        <f t="shared" si="9"/>
        <v>36.049438651433356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12.695384615384615</v>
      </c>
      <c r="N27" s="14">
        <f>IF('Données projet'!$A$36&gt;35,N26+M27-V26,IF(A27&lt;'Données projet'!$A$36,$K$205^A27,IF(A27='Données projet'!$A$36,'Données projet'!$B$36,N26+M27-V26)))</f>
        <v>102.62923076923077</v>
      </c>
      <c r="O27" s="14">
        <f>N27*VLOOKUP('Données projet'!$B$9,Paramètres!$A$1:$I$89,3,0)*VLOOKUP('Données projet'!$B$9,Paramètres!$A$1:$I$89,5,0)</f>
        <v>61.372280000000011</v>
      </c>
      <c r="P27" s="14">
        <f t="shared" si="33"/>
        <v>17.514766499235456</v>
      </c>
      <c r="Q27" s="22">
        <f t="shared" si="2"/>
        <v>137.39493931950179</v>
      </c>
      <c r="R27" s="62">
        <f t="shared" si="0"/>
        <v>423.39493931950176</v>
      </c>
      <c r="S27" s="62">
        <f ca="1">AVERAGE(OFFSET($R$3,0,0,'Données projet'!$E$9+1,1))-AVERAGE(OFFSET($H$3,0,0,'Données projet'!$E$9+1,1))</f>
        <v>287.05726996114242</v>
      </c>
      <c r="T27" s="62">
        <f t="shared" si="34"/>
        <v>229.06617320689003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8.8717051140512471</v>
      </c>
      <c r="AB27" s="23">
        <f>EXP(-LN(2)/2)*AB26+(1-EXP(-LN(2)/2))/(LN(2)/2)*V27*Y27*VLOOKUP('Données projet'!$B$9,Paramètres!$A$1:$I$89,3,0)*0.475*44/12</f>
        <v>8.928274393759823</v>
      </c>
      <c r="AC27" s="24">
        <f t="shared" si="3"/>
        <v>17.79997950781107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6.5384615384615374</v>
      </c>
      <c r="AI27" s="14">
        <f>IF('Données projet'!$A$62&gt;35,AI26+AH27-AQ26,IF(A27&lt;'Données projet'!$A$62,$AF$205^A27,IF(A27='Données projet'!$A$62,'Données projet'!$B$62,AI26+AH27-AQ26)))</f>
        <v>85.128205128205096</v>
      </c>
      <c r="AJ27" s="14">
        <f>AI27*VLOOKUP('Données projet'!$B$10,Paramètres!$A$1:$I$89,3,0)*VLOOKUP('Données projet'!$B$10,Paramètres!$A$1:$I$89,5,0)</f>
        <v>88.975999999999971</v>
      </c>
      <c r="AK27" s="14">
        <f t="shared" si="35"/>
        <v>24.318096618795476</v>
      </c>
      <c r="AL27" s="22">
        <f t="shared" si="4"/>
        <v>197.32055161106871</v>
      </c>
      <c r="AM27" s="62">
        <f t="shared" si="5"/>
        <v>483.32055161106871</v>
      </c>
      <c r="AN27" s="62">
        <f ca="1">AVERAGE(OFFSET($AM$3,0,0,'Données projet'!$E$10+1,1))-AVERAGE(OFFSET($H$3,0,0,'Données projet'!$E$10+1,1))</f>
        <v>493.70175665335978</v>
      </c>
      <c r="AO27" s="62">
        <f t="shared" si="36"/>
        <v>325.12357781685949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15.073076923076925</v>
      </c>
      <c r="BD27" s="13">
        <f>IF('Données projet'!$A$88&gt;35,BD26+BC27-BL26,IF(A27&lt;'Données projet'!$A$88,$BA$205^A27,IF(A27='Données projet'!$A$88,'Données projet'!$B$88,BD26+BC27-BL26)))</f>
        <v>134.78076923076921</v>
      </c>
      <c r="BE27" s="14">
        <f>BD27*VLOOKUP('Données projet'!$B$11,Paramètres!$A$1:$I$89,3,0)*VLOOKUP('Données projet'!$B$11,Paramètres!$A$1:$I$89,5,0)</f>
        <v>80.598899999999986</v>
      </c>
      <c r="BF27" s="14">
        <f t="shared" si="37"/>
        <v>22.283554667877272</v>
      </c>
      <c r="BG27" s="22">
        <f t="shared" si="7"/>
        <v>179.18694187988618</v>
      </c>
      <c r="BH27" s="62">
        <f t="shared" si="8"/>
        <v>465.18694187988615</v>
      </c>
      <c r="BI27" s="62">
        <f ca="1">AVERAGE(OFFSET($BH$3,0,0,'Données projet'!$E$11+1,1))-AVERAGE(OFFSET($H$3,0,0,'Données projet'!$E$11+1,1))</f>
        <v>260.02504691866199</v>
      </c>
      <c r="BJ27" s="62">
        <f t="shared" si="38"/>
        <v>270.11268336406368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15.51740622736402</v>
      </c>
      <c r="BR27" s="23">
        <f>EXP(-LN(2)/2)*BR26+(1-EXP(-LN(2)/2))/(LN(2)/2)*BL27*BO27*VLOOKUP('Données projet'!$B$11,Paramètres!$A$1:$I$89,3,0)*0.475*44/12</f>
        <v>14.20986143105579</v>
      </c>
      <c r="BS27" s="24">
        <f t="shared" si="9"/>
        <v>29.727267658419812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12.695384615384615</v>
      </c>
      <c r="N28" s="14">
        <f>IF('Données projet'!$A$36&gt;35,N27+M28-V27,IF(A28&lt;'Données projet'!$A$36,$K$205^A28,IF(A28='Données projet'!$A$36,'Données projet'!$B$36,N27+M28-V27)))</f>
        <v>115.32461538461538</v>
      </c>
      <c r="O28" s="14">
        <f>N28*VLOOKUP('Données projet'!$B$9,Paramètres!$A$1:$I$89,3,0)*VLOOKUP('Données projet'!$B$9,Paramètres!$A$1:$I$89,5,0)</f>
        <v>68.964120000000008</v>
      </c>
      <c r="P28" s="14">
        <f t="shared" si="33"/>
        <v>19.415989273317052</v>
      </c>
      <c r="Q28" s="22">
        <f t="shared" si="2"/>
        <v>153.92869031769388</v>
      </c>
      <c r="R28" s="62">
        <f t="shared" si="0"/>
        <v>441.15091253991613</v>
      </c>
      <c r="S28" s="62">
        <f ca="1">AVERAGE(OFFSET($R$3,0,0,'Données projet'!$E$9+1,1))-AVERAGE(OFFSET($H$3,0,0,'Données projet'!$E$9+1,1))</f>
        <v>287.05726996114242</v>
      </c>
      <c r="T28" s="62">
        <f t="shared" si="34"/>
        <v>229.06617320689003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8.6291078711648197</v>
      </c>
      <c r="AB28" s="23">
        <f>EXP(-LN(2)/2)*AB27+(1-EXP(-LN(2)/2))/(LN(2)/2)*V28*Y28*VLOOKUP('Données projet'!$B$9,Paramètres!$A$1:$I$89,3,0)*0.475*44/12</f>
        <v>6.3132433681217828</v>
      </c>
      <c r="AC28" s="24">
        <f t="shared" si="3"/>
        <v>14.942351239286602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91.666666666666657</v>
      </c>
      <c r="AG28" s="13">
        <f>VLOOKUP(A28,'Données projet'!$A$61:$I$81,9,0)</f>
        <v>6.5384615384615374</v>
      </c>
      <c r="AH28" s="13">
        <f t="array" ref="AH28">INDEX(AG:AG,MIN(IF(ISNUMBER(AG28:AG224),ROW(AG28:AG224),"")))</f>
        <v>6.5384615384615374</v>
      </c>
      <c r="AI28" s="14">
        <f>IF('Données projet'!$A$62&gt;35,AI27+AH28-AQ27,IF(A28&lt;'Données projet'!$A$62,$AF$205^A28,IF(A28='Données projet'!$A$62,'Données projet'!$B$62,AI27+AH28-AQ27)))</f>
        <v>91.666666666666629</v>
      </c>
      <c r="AJ28" s="14">
        <f>AI28*VLOOKUP('Données projet'!$B$10,Paramètres!$A$1:$I$89,3,0)*VLOOKUP('Données projet'!$B$10,Paramètres!$A$1:$I$89,5,0)</f>
        <v>95.80999999999996</v>
      </c>
      <c r="AK28" s="14">
        <f t="shared" si="35"/>
        <v>25.961314793499493</v>
      </c>
      <c r="AL28" s="22">
        <f t="shared" si="4"/>
        <v>212.08503993201154</v>
      </c>
      <c r="AM28" s="62">
        <f t="shared" si="5"/>
        <v>499.30726215423374</v>
      </c>
      <c r="AN28" s="62">
        <f ca="1">AVERAGE(OFFSET($AM$3,0,0,'Données projet'!$E$10+1,1))-AVERAGE(OFFSET($H$3,0,0,'Données projet'!$E$10+1,1))</f>
        <v>493.70175665335978</v>
      </c>
      <c r="AO28" s="62">
        <f t="shared" si="36"/>
        <v>325.12357781685949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15.073076923076925</v>
      </c>
      <c r="BD28" s="13">
        <f>IF('Données projet'!$A$88&gt;35,BD27+BC28-BL27,IF(A28&lt;'Données projet'!$A$88,$BA$205^A28,IF(A28='Données projet'!$A$88,'Données projet'!$B$88,BD27+BC28-BL27)))</f>
        <v>149.85384615384612</v>
      </c>
      <c r="BE28" s="14">
        <f>BD28*VLOOKUP('Données projet'!$B$11,Paramètres!$A$1:$I$89,3,0)*VLOOKUP('Données projet'!$B$11,Paramètres!$A$1:$I$89,5,0)</f>
        <v>89.6126</v>
      </c>
      <c r="BF28" s="14">
        <f t="shared" si="37"/>
        <v>24.471769998555317</v>
      </c>
      <c r="BG28" s="22">
        <f t="shared" si="7"/>
        <v>198.69694441415049</v>
      </c>
      <c r="BH28" s="62">
        <f t="shared" si="8"/>
        <v>485.91916663637272</v>
      </c>
      <c r="BI28" s="62">
        <f ca="1">AVERAGE(OFFSET($BH$3,0,0,'Données projet'!$E$11+1,1))-AVERAGE(OFFSET($H$3,0,0,'Données projet'!$E$11+1,1))</f>
        <v>260.02504691866199</v>
      </c>
      <c r="BJ28" s="62">
        <f t="shared" si="38"/>
        <v>270.11268336406368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15.093081938051823</v>
      </c>
      <c r="BR28" s="23">
        <f>EXP(-LN(2)/2)*BR27+(1-EXP(-LN(2)/2))/(LN(2)/2)*BL28*BO28*VLOOKUP('Données projet'!$B$11,Paramètres!$A$1:$I$89,3,0)*0.475*44/12</f>
        <v>10.047889377620729</v>
      </c>
      <c r="BS28" s="24">
        <f t="shared" si="9"/>
        <v>25.140971315672552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12.695384615384615</v>
      </c>
      <c r="N29" s="14">
        <f>IF('Données projet'!$A$36&gt;35,N28+M29-V28,IF(A29&lt;'Données projet'!$A$36,$K$205^A29,IF(A29='Données projet'!$A$36,'Données projet'!$B$36,N28+M29-V28)))</f>
        <v>128.02000000000001</v>
      </c>
      <c r="O29" s="14">
        <f>N29*VLOOKUP('Données projet'!$B$9,Paramètres!$A$1:$I$89,3,0)*VLOOKUP('Données projet'!$B$9,Paramètres!$A$1:$I$89,5,0)</f>
        <v>76.555960000000013</v>
      </c>
      <c r="P29" s="14">
        <f t="shared" si="33"/>
        <v>21.292953972936246</v>
      </c>
      <c r="Q29" s="22">
        <f t="shared" si="2"/>
        <v>170.42019183619729</v>
      </c>
      <c r="R29" s="62">
        <f t="shared" si="0"/>
        <v>458.86463628064178</v>
      </c>
      <c r="S29" s="62">
        <f ca="1">AVERAGE(OFFSET($R$3,0,0,'Données projet'!$E$9+1,1))-AVERAGE(OFFSET($H$3,0,0,'Données projet'!$E$9+1,1))</f>
        <v>287.05726996114242</v>
      </c>
      <c r="T29" s="62">
        <f t="shared" si="34"/>
        <v>229.06617320689003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8.3931444626427574</v>
      </c>
      <c r="AB29" s="23">
        <f>EXP(-LN(2)/2)*AB28+(1-EXP(-LN(2)/2))/(LN(2)/2)*V29*Y29*VLOOKUP('Données projet'!$B$9,Paramètres!$A$1:$I$89,3,0)*0.475*44/12</f>
        <v>4.4641371968799124</v>
      </c>
      <c r="AC29" s="24">
        <f t="shared" si="3"/>
        <v>12.85728165952267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6.7948717948717956</v>
      </c>
      <c r="AI29" s="14">
        <f>IF('Données projet'!$A$62&gt;35,AI28+AH29-AQ28,IF(A29&lt;'Données projet'!$A$62,$AF$205^A29,IF(A29='Données projet'!$A$62,'Données projet'!$B$62,AI28+AH29-AQ28)))</f>
        <v>98.461538461538424</v>
      </c>
      <c r="AJ29" s="14">
        <f>AI29*VLOOKUP('Données projet'!$B$10,Paramètres!$A$1:$I$89,3,0)*VLOOKUP('Données projet'!$B$10,Paramètres!$A$1:$I$89,5,0)</f>
        <v>102.91199999999996</v>
      </c>
      <c r="AK29" s="14">
        <f t="shared" si="35"/>
        <v>27.65457819507073</v>
      </c>
      <c r="AL29" s="22">
        <f t="shared" si="4"/>
        <v>227.40345702308142</v>
      </c>
      <c r="AM29" s="62">
        <f t="shared" si="5"/>
        <v>515.84790146752584</v>
      </c>
      <c r="AN29" s="62">
        <f ca="1">AVERAGE(OFFSET($AM$3,0,0,'Données projet'!$E$10+1,1))-AVERAGE(OFFSET($H$3,0,0,'Données projet'!$E$10+1,1))</f>
        <v>493.70175665335978</v>
      </c>
      <c r="AO29" s="62">
        <f t="shared" si="36"/>
        <v>325.12357781685949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15.073076923076925</v>
      </c>
      <c r="BD29" s="13">
        <f>IF('Données projet'!$A$88&gt;35,BD28+BC29-BL28,IF(A29&lt;'Données projet'!$A$88,$BA$205^A29,IF(A29='Données projet'!$A$88,'Données projet'!$B$88,BD28+BC29-BL28)))</f>
        <v>164.92692307692306</v>
      </c>
      <c r="BE29" s="14">
        <f>BD29*VLOOKUP('Données projet'!$B$11,Paramètres!$A$1:$I$89,3,0)*VLOOKUP('Données projet'!$B$11,Paramètres!$A$1:$I$89,5,0)</f>
        <v>98.626300000000001</v>
      </c>
      <c r="BF29" s="14">
        <f t="shared" si="37"/>
        <v>26.634469472597342</v>
      </c>
      <c r="BG29" s="22">
        <f t="shared" si="7"/>
        <v>218.16250683144037</v>
      </c>
      <c r="BH29" s="62">
        <f t="shared" si="8"/>
        <v>506.60695127588485</v>
      </c>
      <c r="BI29" s="62">
        <f ca="1">AVERAGE(OFFSET($BH$3,0,0,'Données projet'!$E$11+1,1))-AVERAGE(OFFSET($H$3,0,0,'Données projet'!$E$11+1,1))</f>
        <v>260.02504691866199</v>
      </c>
      <c r="BJ29" s="62">
        <f t="shared" si="38"/>
        <v>270.11268336406368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14.680360818745113</v>
      </c>
      <c r="BR29" s="23">
        <f>EXP(-LN(2)/2)*BR28+(1-EXP(-LN(2)/2))/(LN(2)/2)*BL29*BO29*VLOOKUP('Données projet'!$B$11,Paramètres!$A$1:$I$89,3,0)*0.475*44/12</f>
        <v>7.1049307155278969</v>
      </c>
      <c r="BS29" s="24">
        <f t="shared" si="9"/>
        <v>21.785291534273011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140.71538461538461</v>
      </c>
      <c r="L30" s="13">
        <f>VLOOKUP(A30,'Données projet'!$A$35:$I$55,9,0)</f>
        <v>12.695384615384615</v>
      </c>
      <c r="M30" s="13">
        <f t="array" ref="M30">INDEX(L:L,MIN(IF(ISNUMBER(L30:L226),ROW(L30:L226),"")))</f>
        <v>12.695384615384615</v>
      </c>
      <c r="N30" s="14">
        <f>IF('Données projet'!$A$36&gt;35,N29+M30-V29,IF(A30&lt;'Données projet'!$A$36,$K$205^A30,IF(A30='Données projet'!$A$36,'Données projet'!$B$36,N29+M30-V29)))</f>
        <v>140.71538461538464</v>
      </c>
      <c r="O30" s="14">
        <f>N30*VLOOKUP('Données projet'!$B$9,Paramètres!$A$1:$I$89,3,0)*VLOOKUP('Données projet'!$B$9,Paramètres!$A$1:$I$89,5,0)</f>
        <v>84.147800000000018</v>
      </c>
      <c r="P30" s="14">
        <f t="shared" si="33"/>
        <v>23.148340019013897</v>
      </c>
      <c r="Q30" s="22">
        <f t="shared" si="2"/>
        <v>186.8741105331159</v>
      </c>
      <c r="R30" s="62">
        <f t="shared" si="0"/>
        <v>476.54077719978261</v>
      </c>
      <c r="S30" s="62">
        <f ca="1">AVERAGE(OFFSET($R$3,0,0,'Données projet'!$E$9+1,1))-AVERAGE(OFFSET($H$3,0,0,'Données projet'!$E$9+1,1))</f>
        <v>287.05726996114242</v>
      </c>
      <c r="T30" s="62">
        <f t="shared" si="34"/>
        <v>229.06617320689003</v>
      </c>
      <c r="U30" s="16">
        <f>IF(ISNA(VLOOKUP(A30,'Données projet'!$A$35:$I$55,3,0)),0,VLOOKUP(A30,'Données projet'!$A$35:$I$55,3,0))</f>
        <v>2</v>
      </c>
      <c r="V30" s="16">
        <f>IF(ISNA(VLOOKUP(A30,'Données projet'!$A$35:$I$55,4,0)),0,VLOOKUP(A30,'Données projet'!$A$35:$I$55,4,0))</f>
        <v>34.646153846153844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0.22500000000000001</v>
      </c>
      <c r="Y30" s="17">
        <f>IF(ISNA(VLOOKUP(A30,'Données projet'!$A$35:$I$55,7,0)),0%,VLOOKUP(A30,'Données projet'!$A$35:$I$55,7,0))</f>
        <v>0.5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14.323250783856185</v>
      </c>
      <c r="AB30" s="23">
        <f>EXP(-LN(2)/2)*AB29+(1-EXP(-LN(2)/2))/(LN(2)/2)*V30*Y30*VLOOKUP('Données projet'!$B$9,Paramètres!$A$1:$I$89,3,0)*0.475*44/12</f>
        <v>14.885642500597056</v>
      </c>
      <c r="AC30" s="24">
        <f t="shared" si="3"/>
        <v>29.208893284453239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6.7948717948717956</v>
      </c>
      <c r="AI30" s="14">
        <f>IF('Données projet'!$A$62&gt;35,AI29+AH30-AQ29,IF(A30&lt;'Données projet'!$A$62,$AF$205^A30,IF(A30='Données projet'!$A$62,'Données projet'!$B$62,AI29+AH30-AQ29)))</f>
        <v>105.25641025641022</v>
      </c>
      <c r="AJ30" s="14">
        <f>AI30*VLOOKUP('Données projet'!$B$10,Paramètres!$A$1:$I$89,3,0)*VLOOKUP('Données projet'!$B$10,Paramètres!$A$1:$I$89,5,0)</f>
        <v>110.01399999999998</v>
      </c>
      <c r="AK30" s="14">
        <f t="shared" si="35"/>
        <v>29.334283057323191</v>
      </c>
      <c r="AL30" s="22">
        <f t="shared" si="4"/>
        <v>242.69825965817117</v>
      </c>
      <c r="AM30" s="62">
        <f t="shared" si="5"/>
        <v>532.36492632483782</v>
      </c>
      <c r="AN30" s="62">
        <f ca="1">AVERAGE(OFFSET($AM$3,0,0,'Données projet'!$E$10+1,1))-AVERAGE(OFFSET($H$3,0,0,'Données projet'!$E$10+1,1))</f>
        <v>493.70175665335978</v>
      </c>
      <c r="AO30" s="62">
        <f t="shared" si="36"/>
        <v>325.12357781685949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15.073076923076925</v>
      </c>
      <c r="BD30" s="13">
        <f>IF('Données projet'!$A$88&gt;35,BD29+BC30-BL29,IF(A30&lt;'Données projet'!$A$88,$BA$205^A30,IF(A30='Données projet'!$A$88,'Données projet'!$B$88,BD29+BC30-BL29)))</f>
        <v>180</v>
      </c>
      <c r="BE30" s="14">
        <f>BD30*VLOOKUP('Données projet'!$B$11,Paramètres!$A$1:$I$89,3,0)*VLOOKUP('Données projet'!$B$11,Paramètres!$A$1:$I$89,5,0)</f>
        <v>107.64</v>
      </c>
      <c r="BF30" s="14">
        <f t="shared" si="37"/>
        <v>28.774250263353583</v>
      </c>
      <c r="BG30" s="22">
        <f t="shared" si="7"/>
        <v>237.58815254200749</v>
      </c>
      <c r="BH30" s="62">
        <f t="shared" si="8"/>
        <v>527.25481920867423</v>
      </c>
      <c r="BI30" s="62">
        <f ca="1">AVERAGE(OFFSET($BH$3,0,0,'Données projet'!$E$11+1,1))-AVERAGE(OFFSET($H$3,0,0,'Données projet'!$E$11+1,1))</f>
        <v>260.02504691866199</v>
      </c>
      <c r="BJ30" s="62">
        <f t="shared" si="38"/>
        <v>270.11268336406368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14.278925580149904</v>
      </c>
      <c r="BR30" s="23">
        <f>EXP(-LN(2)/2)*BR29+(1-EXP(-LN(2)/2))/(LN(2)/2)*BL30*BO30*VLOOKUP('Données projet'!$B$11,Paramètres!$A$1:$I$89,3,0)*0.475*44/12</f>
        <v>5.0239446888103654</v>
      </c>
      <c r="BS30" s="24">
        <f t="shared" si="9"/>
        <v>19.30287026896027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12.97179487179487</v>
      </c>
      <c r="N31" s="14">
        <f>IF('Données projet'!$A$36&gt;35,N30+M31-V30,IF(A31&lt;'Données projet'!$A$36,$K$205^A31,IF(A31='Données projet'!$A$36,'Données projet'!$B$36,N30+M31-V30)))</f>
        <v>119.04102564102564</v>
      </c>
      <c r="O31" s="14">
        <f>N31*VLOOKUP('Données projet'!$B$9,Paramètres!$A$1:$I$89,3,0)*VLOOKUP('Données projet'!$B$9,Paramètres!$A$1:$I$89,5,0)</f>
        <v>71.18653333333333</v>
      </c>
      <c r="P31" s="14">
        <f t="shared" si="33"/>
        <v>19.967826748678</v>
      </c>
      <c r="Q31" s="22">
        <f t="shared" si="2"/>
        <v>158.76051047616974</v>
      </c>
      <c r="R31" s="62">
        <f t="shared" si="0"/>
        <v>449.64939936505857</v>
      </c>
      <c r="S31" s="62">
        <f ca="1">AVERAGE(OFFSET($R$3,0,0,'Données projet'!$E$9+1,1))-AVERAGE(OFFSET($H$3,0,0,'Données projet'!$E$9+1,1))</f>
        <v>287.05726996114242</v>
      </c>
      <c r="T31" s="62">
        <f t="shared" si="34"/>
        <v>229.06617320689003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13.931580737944616</v>
      </c>
      <c r="AB31" s="23">
        <f>EXP(-LN(2)/2)*AB30+(1-EXP(-LN(2)/2))/(LN(2)/2)*V31*Y31*VLOOKUP('Données projet'!$B$9,Paramètres!$A$1:$I$89,3,0)*0.475*44/12</f>
        <v>10.525738754490856</v>
      </c>
      <c r="AC31" s="24">
        <f t="shared" si="3"/>
        <v>24.457319492435474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6.7948717948717956</v>
      </c>
      <c r="AI31" s="14">
        <f>IF('Données projet'!$A$62&gt;35,AI30+AH31-AQ30,IF(A31&lt;'Données projet'!$A$62,$AF$205^A31,IF(A31='Données projet'!$A$62,'Données projet'!$B$62,AI30+AH31-AQ30)))</f>
        <v>112.05128205128202</v>
      </c>
      <c r="AJ31" s="14">
        <f>AI31*VLOOKUP('Données projet'!$B$10,Paramètres!$A$1:$I$89,3,0)*VLOOKUP('Données projet'!$B$10,Paramètres!$A$1:$I$89,5,0)</f>
        <v>117.11599999999999</v>
      </c>
      <c r="AK31" s="14">
        <f t="shared" si="35"/>
        <v>31.001404275140228</v>
      </c>
      <c r="AL31" s="22">
        <f t="shared" si="4"/>
        <v>257.97114577920252</v>
      </c>
      <c r="AM31" s="62">
        <f t="shared" si="5"/>
        <v>548.86003466809143</v>
      </c>
      <c r="AN31" s="62">
        <f ca="1">AVERAGE(OFFSET($AM$3,0,0,'Données projet'!$E$10+1,1))-AVERAGE(OFFSET($H$3,0,0,'Données projet'!$E$10+1,1))</f>
        <v>493.70175665335978</v>
      </c>
      <c r="AO31" s="62">
        <f t="shared" si="36"/>
        <v>325.12357781685949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15.073076923076925</v>
      </c>
      <c r="BD31" s="13">
        <f>IF('Données projet'!$A$88&gt;35,BD30+BC31-BL30,IF(A31&lt;'Données projet'!$A$88,$BA$205^A31,IF(A31='Données projet'!$A$88,'Données projet'!$B$88,BD30+BC31-BL30)))</f>
        <v>195.07307692307694</v>
      </c>
      <c r="BE31" s="14">
        <f>BD31*VLOOKUP('Données projet'!$B$11,Paramètres!$A$1:$I$89,3,0)*VLOOKUP('Données projet'!$B$11,Paramètres!$A$1:$I$89,5,0)</f>
        <v>116.65370000000001</v>
      </c>
      <c r="BF31" s="14">
        <f t="shared" si="37"/>
        <v>30.893249762406356</v>
      </c>
      <c r="BG31" s="22">
        <f t="shared" si="7"/>
        <v>256.9776041695244</v>
      </c>
      <c r="BH31" s="62">
        <f t="shared" si="8"/>
        <v>547.8664930584132</v>
      </c>
      <c r="BI31" s="62">
        <f ca="1">AVERAGE(OFFSET($BH$3,0,0,'Données projet'!$E$11+1,1))-AVERAGE(OFFSET($H$3,0,0,'Données projet'!$E$11+1,1))</f>
        <v>260.02504691866199</v>
      </c>
      <c r="BJ31" s="62">
        <f t="shared" si="38"/>
        <v>270.11268336406368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13.888467609264644</v>
      </c>
      <c r="BR31" s="23">
        <f>EXP(-LN(2)/2)*BR30+(1-EXP(-LN(2)/2))/(LN(2)/2)*BL31*BO31*VLOOKUP('Données projet'!$B$11,Paramètres!$A$1:$I$89,3,0)*0.475*44/12</f>
        <v>3.5524653577639489</v>
      </c>
      <c r="BS31" s="24">
        <f t="shared" si="9"/>
        <v>17.440932967028594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12.97179487179487</v>
      </c>
      <c r="N32" s="14">
        <f>IF('Données projet'!$A$36&gt;35,N31+M32-V31,IF(A32&lt;'Données projet'!$A$36,$K$205^A32,IF(A32='Données projet'!$A$36,'Données projet'!$B$36,N31+M32-V31)))</f>
        <v>132.0128205128205</v>
      </c>
      <c r="O32" s="14">
        <f>N32*VLOOKUP('Données projet'!$B$9,Paramètres!$A$1:$I$89,3,0)*VLOOKUP('Données projet'!$B$9,Paramètres!$A$1:$I$89,5,0)</f>
        <v>78.943666666666658</v>
      </c>
      <c r="P32" s="14">
        <f t="shared" si="33"/>
        <v>21.878705672057272</v>
      </c>
      <c r="Q32" s="22">
        <f t="shared" si="2"/>
        <v>175.59896515661083</v>
      </c>
      <c r="R32" s="62">
        <f t="shared" si="0"/>
        <v>467.710076267722</v>
      </c>
      <c r="S32" s="62">
        <f ca="1">AVERAGE(OFFSET($R$3,0,0,'Données projet'!$E$9+1,1))-AVERAGE(OFFSET($H$3,0,0,'Données projet'!$E$9+1,1))</f>
        <v>287.05726996114242</v>
      </c>
      <c r="T32" s="62">
        <f t="shared" si="34"/>
        <v>229.06617320689003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13.55062093003553</v>
      </c>
      <c r="AB32" s="23">
        <f>EXP(-LN(2)/2)*AB31+(1-EXP(-LN(2)/2))/(LN(2)/2)*V32*Y32*VLOOKUP('Données projet'!$B$9,Paramètres!$A$1:$I$89,3,0)*0.475*44/12</f>
        <v>7.4428212502985298</v>
      </c>
      <c r="AC32" s="24">
        <f t="shared" si="3"/>
        <v>20.993442180334061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6.7948717948717956</v>
      </c>
      <c r="AI32" s="14">
        <f>IF('Données projet'!$A$62&gt;35,AI31+AH32-AQ31,IF(A32&lt;'Données projet'!$A$62,$AF$205^A32,IF(A32='Données projet'!$A$62,'Données projet'!$B$62,AI31+AH32-AQ31)))</f>
        <v>118.84615384615381</v>
      </c>
      <c r="AJ32" s="14">
        <f>AI32*VLOOKUP('Données projet'!$B$10,Paramètres!$A$1:$I$89,3,0)*VLOOKUP('Données projet'!$B$10,Paramètres!$A$1:$I$89,5,0)</f>
        <v>124.21799999999999</v>
      </c>
      <c r="AK32" s="14">
        <f t="shared" si="35"/>
        <v>32.656791825983653</v>
      </c>
      <c r="AL32" s="22">
        <f t="shared" si="4"/>
        <v>273.22359576358815</v>
      </c>
      <c r="AM32" s="62">
        <f t="shared" si="5"/>
        <v>565.33470687469935</v>
      </c>
      <c r="AN32" s="62">
        <f ca="1">AVERAGE(OFFSET($AM$3,0,0,'Données projet'!$E$10+1,1))-AVERAGE(OFFSET($H$3,0,0,'Données projet'!$E$10+1,1))</f>
        <v>493.70175665335978</v>
      </c>
      <c r="AO32" s="62">
        <f t="shared" si="36"/>
        <v>325.12357781685949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210.14615384615385</v>
      </c>
      <c r="BB32" s="13">
        <f>VLOOKUP(A32,'Données projet'!$A$87:$I$107,9,0)</f>
        <v>15.073076923076925</v>
      </c>
      <c r="BC32" s="13">
        <f t="array" ref="BC32">INDEX(BB:BB,MIN(IF(ISNUMBER(BB32:BB228),ROW(BB32:BB228),"")))</f>
        <v>15.073076923076925</v>
      </c>
      <c r="BD32" s="13">
        <f>IF('Données projet'!$A$88&gt;35,BD31+BC32-BL31,IF(A32&lt;'Données projet'!$A$88,$BA$205^A32,IF(A32='Données projet'!$A$88,'Données projet'!$B$88,BD31+BC32-BL31)))</f>
        <v>210.14615384615388</v>
      </c>
      <c r="BE32" s="14">
        <f>BD32*VLOOKUP('Données projet'!$B$11,Paramètres!$A$1:$I$89,3,0)*VLOOKUP('Données projet'!$B$11,Paramètres!$A$1:$I$89,5,0)</f>
        <v>125.66740000000003</v>
      </c>
      <c r="BF32" s="14">
        <f t="shared" si="37"/>
        <v>32.993256286656127</v>
      </c>
      <c r="BG32" s="22">
        <f t="shared" si="7"/>
        <v>276.33397636592611</v>
      </c>
      <c r="BH32" s="62">
        <f t="shared" si="8"/>
        <v>568.4450874770373</v>
      </c>
      <c r="BI32" s="62">
        <f ca="1">AVERAGE(OFFSET($BH$3,0,0,'Données projet'!$E$11+1,1))-AVERAGE(OFFSET($H$3,0,0,'Données projet'!$E$11+1,1))</f>
        <v>260.02504691866199</v>
      </c>
      <c r="BJ32" s="62">
        <f t="shared" si="38"/>
        <v>270.11268336406368</v>
      </c>
      <c r="BK32" s="16">
        <f>IF(ISNA(VLOOKUP(A32,'Données projet'!$A$87:$I$107,3,0)),0,VLOOKUP(A32,'Données projet'!$A$87:$I$107,3,0))</f>
        <v>3</v>
      </c>
      <c r="BL32" s="16">
        <f>IF(ISNA(VLOOKUP(A32,'Données projet'!$A$87:$I$107,4,0)),0,VLOOKUP(A32,'Données projet'!$A$87:$I$107,4,0))</f>
        <v>47.661538461538463</v>
      </c>
      <c r="BM32" s="17">
        <f>IF(ISNA(VLOOKUP(A32,'Données projet'!$A$87:$I$107,5,0)),0%,VLOOKUP(A32,'Données projet'!$A$87:$I$107,5,0)*VLOOKUP('Données projet'!$B$11,Paramètres!$A$1:$I$89,7,0))</f>
        <v>0.27</v>
      </c>
      <c r="BN32" s="17">
        <f>IF(ISNA(VLOOKUP(A32,'Données projet'!$A$87:$I$107,6,0)),0%,VLOOKUP(A32,'Données projet'!$A$87:$I$107,6,0)*VLOOKUP('Données projet'!$B$11,Paramètres!$A$1:$I$89,7,0))</f>
        <v>9.0000000000000011E-2</v>
      </c>
      <c r="BO32" s="17">
        <f>IF(ISNA(VLOOKUP(A32,'Données projet'!$A$87:$I$107,7,0)),0%,VLOOKUP(A32,'Données projet'!$A$87:$I$107,7,0))</f>
        <v>0.2</v>
      </c>
      <c r="BP32" s="23">
        <f>EXP(-LN(2)/35)*BP31+(1-EXP(-LN(2)/35))/(LN(2)/35)*BL32*BM32*VLOOKUP('Données projet'!$B$11,Paramètres!$A$1:$I$89,3,0)*0.475*44/12</f>
        <v>10.208486560452011</v>
      </c>
      <c r="BQ32" s="23">
        <f>EXP(-LN(2)/25)*BQ31+(1-EXP(-LN(2)/25))/(LN(2)/25)*Calculateur!BL32*Calculateur!BN32*VLOOKUP('Données projet'!$B$11,Paramètres!$A$1:$I$89,3,0)*0.475*44/12</f>
        <v>16.89811735183493</v>
      </c>
      <c r="BR32" s="23">
        <f>EXP(-LN(2)/2)*BR31+(1-EXP(-LN(2)/2))/(LN(2)/2)*BL32*BO32*VLOOKUP('Données projet'!$B$11,Paramètres!$A$1:$I$89,3,0)*0.475*44/12</f>
        <v>8.9660587546412494</v>
      </c>
      <c r="BS32" s="24">
        <f t="shared" si="9"/>
        <v>36.072662666928196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12.97179487179487</v>
      </c>
      <c r="N33" s="14">
        <f>IF('Données projet'!$A$36&gt;35,N32+M33-V32,IF(A33&lt;'Données projet'!$A$36,$K$205^A33,IF(A33='Données projet'!$A$36,'Données projet'!$B$36,N32+M33-V32)))</f>
        <v>144.98461538461538</v>
      </c>
      <c r="O33" s="14">
        <f>N33*VLOOKUP('Données projet'!$B$9,Paramètres!$A$1:$I$89,3,0)*VLOOKUP('Données projet'!$B$9,Paramètres!$A$1:$I$89,5,0)</f>
        <v>86.700800000000001</v>
      </c>
      <c r="P33" s="14">
        <f t="shared" si="33"/>
        <v>23.767816195343574</v>
      </c>
      <c r="Q33" s="22">
        <f t="shared" si="2"/>
        <v>192.39950654022337</v>
      </c>
      <c r="R33" s="62">
        <f t="shared" si="0"/>
        <v>485.73283987355671</v>
      </c>
      <c r="S33" s="62">
        <f ca="1">AVERAGE(OFFSET($R$3,0,0,'Données projet'!$E$9+1,1))-AVERAGE(OFFSET($H$3,0,0,'Données projet'!$E$9+1,1))</f>
        <v>287.05726996114242</v>
      </c>
      <c r="T33" s="62">
        <f t="shared" si="34"/>
        <v>229.06617320689003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13.180078488107524</v>
      </c>
      <c r="AB33" s="23">
        <f>EXP(-LN(2)/2)*AB32+(1-EXP(-LN(2)/2))/(LN(2)/2)*V33*Y33*VLOOKUP('Données projet'!$B$9,Paramètres!$A$1:$I$89,3,0)*0.475*44/12</f>
        <v>5.2628693772454289</v>
      </c>
      <c r="AC33" s="24">
        <f t="shared" si="3"/>
        <v>18.442947865352952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125.64102564102564</v>
      </c>
      <c r="AG33" s="13">
        <f>VLOOKUP(A33,'Données projet'!$A$61:$I$81,9,0)</f>
        <v>6.7948717948717956</v>
      </c>
      <c r="AH33" s="13">
        <f t="array" ref="AH33">INDEX(AG:AG,MIN(IF(ISNUMBER(AG33:AG229),ROW(AG33:AG229),"")))</f>
        <v>6.7948717948717956</v>
      </c>
      <c r="AI33" s="14">
        <f>IF('Données projet'!$A$62&gt;35,AI32+AH33-AQ32,IF(A33&lt;'Données projet'!$A$62,$AF$205^A33,IF(A33='Données projet'!$A$62,'Données projet'!$B$62,AI32+AH33-AQ32)))</f>
        <v>125.64102564102561</v>
      </c>
      <c r="AJ33" s="14">
        <f>AI33*VLOOKUP('Données projet'!$B$10,Paramètres!$A$1:$I$89,3,0)*VLOOKUP('Données projet'!$B$10,Paramètres!$A$1:$I$89,5,0)</f>
        <v>131.32</v>
      </c>
      <c r="AK33" s="14">
        <f t="shared" si="35"/>
        <v>34.30119300489546</v>
      </c>
      <c r="AL33" s="22">
        <f t="shared" si="4"/>
        <v>288.45691115019287</v>
      </c>
      <c r="AM33" s="62">
        <f t="shared" si="5"/>
        <v>581.79024448352618</v>
      </c>
      <c r="AN33" s="62">
        <f ca="1">AVERAGE(OFFSET($AM$3,0,0,'Données projet'!$E$10+1,1))-AVERAGE(OFFSET($H$3,0,0,'Données projet'!$E$10+1,1))</f>
        <v>493.70175665335978</v>
      </c>
      <c r="AO33" s="62">
        <f t="shared" si="36"/>
        <v>325.12357781685949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28.205128205128204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14.298901098901101</v>
      </c>
      <c r="BD33" s="13">
        <f>IF('Données projet'!$A$88&gt;35,BD32+BC33-BL32,IF(A33&lt;'Données projet'!$A$88,$BA$205^A33,IF(A33='Données projet'!$A$88,'Données projet'!$B$88,BD32+BC33-BL32)))</f>
        <v>176.78351648351651</v>
      </c>
      <c r="BE33" s="14">
        <f>BD33*VLOOKUP('Données projet'!$B$11,Paramètres!$A$1:$I$89,3,0)*VLOOKUP('Données projet'!$B$11,Paramètres!$A$1:$I$89,5,0)</f>
        <v>105.71654285714287</v>
      </c>
      <c r="BF33" s="14">
        <f t="shared" si="37"/>
        <v>28.319447591123378</v>
      </c>
      <c r="BG33" s="22">
        <f t="shared" si="7"/>
        <v>233.44601669739703</v>
      </c>
      <c r="BH33" s="62">
        <f t="shared" si="8"/>
        <v>526.77935003073037</v>
      </c>
      <c r="BI33" s="62">
        <f ca="1">AVERAGE(OFFSET($BH$3,0,0,'Données projet'!$E$11+1,1))-AVERAGE(OFFSET($H$3,0,0,'Données projet'!$E$11+1,1))</f>
        <v>260.02504691866199</v>
      </c>
      <c r="BJ33" s="62">
        <f t="shared" si="38"/>
        <v>270.11268336406368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10.008304365563527</v>
      </c>
      <c r="BQ33" s="23">
        <f>EXP(-LN(2)/25)*BQ32+(1-EXP(-LN(2)/25))/(LN(2)/25)*Calculateur!BL33*Calculateur!BN33*VLOOKUP('Données projet'!$B$11,Paramètres!$A$1:$I$89,3,0)*0.475*44/12</f>
        <v>16.436037444215632</v>
      </c>
      <c r="BR33" s="23">
        <f>EXP(-LN(2)/2)*BR32+(1-EXP(-LN(2)/2))/(LN(2)/2)*BL33*BO33*VLOOKUP('Données projet'!$B$11,Paramètres!$A$1:$I$89,3,0)*0.475*44/12</f>
        <v>6.3399609459238393</v>
      </c>
      <c r="BS33" s="24">
        <f t="shared" si="9"/>
        <v>32.784302755703003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12.97179487179487</v>
      </c>
      <c r="N34" s="14">
        <f>IF('Données projet'!$A$36&gt;35,N33+M34-V33,IF(A34&lt;'Données projet'!$A$36,$K$205^A34,IF(A34='Données projet'!$A$36,'Données projet'!$B$36,N33+M34-V33)))</f>
        <v>157.95641025641027</v>
      </c>
      <c r="O34" s="14">
        <f>N34*VLOOKUP('Données projet'!$B$9,Paramètres!$A$1:$I$89,3,0)*VLOOKUP('Données projet'!$B$9,Paramètres!$A$1:$I$89,5,0)</f>
        <v>94.457933333333344</v>
      </c>
      <c r="P34" s="14">
        <f t="shared" si="33"/>
        <v>25.637327417415943</v>
      </c>
      <c r="Q34" s="22">
        <f t="shared" si="2"/>
        <v>209.16591247422164</v>
      </c>
      <c r="R34" s="62">
        <f t="shared" si="0"/>
        <v>502.49924580755498</v>
      </c>
      <c r="S34" s="62">
        <f ca="1">AVERAGE(OFFSET($R$3,0,0,'Données projet'!$E$9+1,1))-AVERAGE(OFFSET($H$3,0,0,'Données projet'!$E$9+1,1))</f>
        <v>287.05726996114242</v>
      </c>
      <c r="T34" s="62">
        <f t="shared" si="34"/>
        <v>229.06617320689003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12.819668548740019</v>
      </c>
      <c r="AB34" s="23">
        <f>EXP(-LN(2)/2)*AB33+(1-EXP(-LN(2)/2))/(LN(2)/2)*V34*Y34*VLOOKUP('Données projet'!$B$9,Paramètres!$A$1:$I$89,3,0)*0.475*44/12</f>
        <v>3.7214106251492653</v>
      </c>
      <c r="AC34" s="24">
        <f t="shared" si="3"/>
        <v>16.541079173889283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6.7948717948717956</v>
      </c>
      <c r="AI34" s="14">
        <f>IF('Données projet'!$A$62&gt;35,AI33+AH34-AQ33,IF(A34&lt;'Données projet'!$A$62,$AF$205^A34,IF(A34='Données projet'!$A$62,'Données projet'!$B$62,AI33+AH34-AQ33)))</f>
        <v>104.2307692307692</v>
      </c>
      <c r="AJ34" s="14">
        <f>AI34*VLOOKUP('Données projet'!$B$10,Paramètres!$A$1:$I$89,3,0)*VLOOKUP('Données projet'!$B$10,Paramètres!$A$1:$I$89,5,0)</f>
        <v>108.94199999999996</v>
      </c>
      <c r="AK34" s="14">
        <f t="shared" si="35"/>
        <v>29.08157148085148</v>
      </c>
      <c r="AL34" s="22">
        <f t="shared" si="4"/>
        <v>240.39105366248293</v>
      </c>
      <c r="AM34" s="62">
        <f t="shared" si="5"/>
        <v>533.7243869958163</v>
      </c>
      <c r="AN34" s="62">
        <f ca="1">AVERAGE(OFFSET($AM$3,0,0,'Données projet'!$E$10+1,1))-AVERAGE(OFFSET($H$3,0,0,'Données projet'!$E$10+1,1))</f>
        <v>493.70175665335978</v>
      </c>
      <c r="AO34" s="62">
        <f t="shared" si="36"/>
        <v>325.12357781685949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14.298901098901101</v>
      </c>
      <c r="BD34" s="13">
        <f>IF('Données projet'!$A$88&gt;35,BD33+BC34-BL33,IF(A34&lt;'Données projet'!$A$88,$BA$205^A34,IF(A34='Données projet'!$A$88,'Données projet'!$B$88,BD33+BC34-BL33)))</f>
        <v>191.08241758241761</v>
      </c>
      <c r="BE34" s="14">
        <f>BD34*VLOOKUP('Données projet'!$B$11,Paramètres!$A$1:$I$89,3,0)*VLOOKUP('Données projet'!$B$11,Paramètres!$A$1:$I$89,5,0)</f>
        <v>114.26728571428573</v>
      </c>
      <c r="BF34" s="14">
        <f t="shared" si="37"/>
        <v>30.334152496808123</v>
      </c>
      <c r="BG34" s="22">
        <f t="shared" si="7"/>
        <v>251.84750488432181</v>
      </c>
      <c r="BH34" s="62">
        <f t="shared" si="8"/>
        <v>545.18083821765515</v>
      </c>
      <c r="BI34" s="62">
        <f ca="1">AVERAGE(OFFSET($BH$3,0,0,'Données projet'!$E$11+1,1))-AVERAGE(OFFSET($H$3,0,0,'Données projet'!$E$11+1,1))</f>
        <v>260.02504691866199</v>
      </c>
      <c r="BJ34" s="62">
        <f t="shared" si="38"/>
        <v>270.11268336406368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9.8120476214177241</v>
      </c>
      <c r="BQ34" s="23">
        <f>EXP(-LN(2)/25)*BQ33+(1-EXP(-LN(2)/25))/(LN(2)/25)*Calculateur!BL34*Calculateur!BN34*VLOOKUP('Données projet'!$B$11,Paramètres!$A$1:$I$89,3,0)*0.475*44/12</f>
        <v>15.986593135969912</v>
      </c>
      <c r="BR34" s="23">
        <f>EXP(-LN(2)/2)*BR33+(1-EXP(-LN(2)/2))/(LN(2)/2)*BL34*BO34*VLOOKUP('Données projet'!$B$11,Paramètres!$A$1:$I$89,3,0)*0.475*44/12</f>
        <v>4.4830293773206256</v>
      </c>
      <c r="BS34" s="24">
        <f t="shared" si="9"/>
        <v>30.281670134708264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12.97179487179487</v>
      </c>
      <c r="N35" s="14">
        <f>IF('Données projet'!$A$36&gt;35,N34+M35-V34,IF(A35&lt;'Données projet'!$A$36,$K$205^A35,IF(A35='Données projet'!$A$36,'Données projet'!$B$36,N34+M35-V34)))</f>
        <v>170.92820512820515</v>
      </c>
      <c r="O35" s="14">
        <f>N35*VLOOKUP('Données projet'!$B$9,Paramètres!$A$1:$I$89,3,0)*VLOOKUP('Données projet'!$B$9,Paramètres!$A$1:$I$89,5,0)</f>
        <v>102.21506666666667</v>
      </c>
      <c r="P35" s="14">
        <f t="shared" si="33"/>
        <v>27.489031873505194</v>
      </c>
      <c r="Q35" s="22">
        <f t="shared" ref="Q35:Q66" si="53">(O35+P35)*0.475*44/12</f>
        <v>225.90130495746598</v>
      </c>
      <c r="R35" s="62">
        <f t="shared" si="0"/>
        <v>519.23463829079924</v>
      </c>
      <c r="S35" s="62">
        <f ca="1">AVERAGE(OFFSET($R$3,0,0,'Données projet'!$E$9+1,1))-AVERAGE(OFFSET($H$3,0,0,'Données projet'!$E$9+1,1))</f>
        <v>287.05726996114242</v>
      </c>
      <c r="T35" s="62">
        <f t="shared" si="34"/>
        <v>229.06617320689003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12.469114038117654</v>
      </c>
      <c r="AB35" s="23">
        <f>EXP(-LN(2)/2)*AB34+(1-EXP(-LN(2)/2))/(LN(2)/2)*V35*Y35*VLOOKUP('Données projet'!$B$9,Paramètres!$A$1:$I$89,3,0)*0.475*44/12</f>
        <v>2.6314346886227149</v>
      </c>
      <c r="AC35" s="24">
        <f t="shared" si="3"/>
        <v>15.100548726740369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6.7948717948717956</v>
      </c>
      <c r="AI35" s="14">
        <f>IF('Données projet'!$A$62&gt;35,AI34+AH35-AQ34,IF(A35&lt;'Données projet'!$A$62,$AF$205^A35,IF(A35='Données projet'!$A$62,'Données projet'!$B$62,AI34+AH35-AQ34)))</f>
        <v>111.02564102564099</v>
      </c>
      <c r="AJ35" s="14">
        <f>AI35*VLOOKUP('Données projet'!$B$10,Paramètres!$A$1:$I$89,3,0)*VLOOKUP('Données projet'!$B$10,Paramètres!$A$1:$I$89,5,0)</f>
        <v>116.04399999999997</v>
      </c>
      <c r="AK35" s="14">
        <f t="shared" si="35"/>
        <v>30.750534860350001</v>
      </c>
      <c r="AL35" s="22">
        <f t="shared" si="4"/>
        <v>255.66714821510956</v>
      </c>
      <c r="AM35" s="62">
        <f t="shared" si="5"/>
        <v>549.00048154844285</v>
      </c>
      <c r="AN35" s="62">
        <f ca="1">AVERAGE(OFFSET($AM$3,0,0,'Données projet'!$E$10+1,1))-AVERAGE(OFFSET($H$3,0,0,'Données projet'!$E$10+1,1))</f>
        <v>493.70175665335978</v>
      </c>
      <c r="AO35" s="62">
        <f t="shared" si="36"/>
        <v>325.12357781685949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14.298901098901101</v>
      </c>
      <c r="BD35" s="13">
        <f>IF('Données projet'!$A$88&gt;35,BD34+BC35-BL34,IF(A35&lt;'Données projet'!$A$88,$BA$205^A35,IF(A35='Données projet'!$A$88,'Données projet'!$B$88,BD34+BC35-BL34)))</f>
        <v>205.3813186813187</v>
      </c>
      <c r="BE35" s="14">
        <f>BD35*VLOOKUP('Données projet'!$B$11,Paramètres!$A$1:$I$89,3,0)*VLOOKUP('Données projet'!$B$11,Paramètres!$A$1:$I$89,5,0)</f>
        <v>122.81802857142858</v>
      </c>
      <c r="BF35" s="14">
        <f t="shared" si="37"/>
        <v>32.331367630744694</v>
      </c>
      <c r="BG35" s="22">
        <f t="shared" si="7"/>
        <v>270.21853171878513</v>
      </c>
      <c r="BH35" s="62">
        <f t="shared" si="8"/>
        <v>563.5518650521185</v>
      </c>
      <c r="BI35" s="62">
        <f ca="1">AVERAGE(OFFSET($BH$3,0,0,'Données projet'!$E$11+1,1))-AVERAGE(OFFSET($H$3,0,0,'Données projet'!$E$11+1,1))</f>
        <v>260.02504691866199</v>
      </c>
      <c r="BJ35" s="62">
        <f t="shared" si="38"/>
        <v>270.11268336406368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9.619639352319826</v>
      </c>
      <c r="BQ35" s="23">
        <f>EXP(-LN(2)/25)*BQ34+(1-EXP(-LN(2)/25))/(LN(2)/25)*Calculateur!BL35*Calculateur!BN35*VLOOKUP('Données projet'!$B$11,Paramètres!$A$1:$I$89,3,0)*0.475*44/12</f>
        <v>15.549438905968419</v>
      </c>
      <c r="BR35" s="23">
        <f>EXP(-LN(2)/2)*BR34+(1-EXP(-LN(2)/2))/(LN(2)/2)*BL35*BO35*VLOOKUP('Données projet'!$B$11,Paramètres!$A$1:$I$89,3,0)*0.475*44/12</f>
        <v>3.1699804729619201</v>
      </c>
      <c r="BS35" s="24">
        <f t="shared" si="9"/>
        <v>28.339058731250166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>
        <f>VLOOKUP(A36,'Données projet'!$A$35:$I$55,2,0)</f>
        <v>183.89999999999998</v>
      </c>
      <c r="L36" s="13">
        <f>VLOOKUP(A36,'Données projet'!$A$35:$I$55,9,0)</f>
        <v>12.97179487179487</v>
      </c>
      <c r="M36" s="13">
        <f t="array" ref="M36">INDEX(L:L,MIN(IF(ISNUMBER(L36:L232),ROW(L36:L232),"")))</f>
        <v>12.97179487179487</v>
      </c>
      <c r="N36" s="14">
        <f>IF('Données projet'!$A$36&gt;35,N35+M36-V35,IF(A36&lt;'Données projet'!$A$36,$K$205^A36,IF(A36='Données projet'!$A$36,'Données projet'!$B$36,N35+M36-V35)))</f>
        <v>183.90000000000003</v>
      </c>
      <c r="O36" s="14">
        <f>N36*VLOOKUP('Données projet'!$B$9,Paramètres!$A$1:$I$89,3,0)*VLOOKUP('Données projet'!$B$9,Paramètres!$A$1:$I$89,5,0)</f>
        <v>109.97220000000003</v>
      </c>
      <c r="P36" s="14">
        <f t="shared" si="33"/>
        <v>29.324434579377328</v>
      </c>
      <c r="Q36" s="22">
        <f t="shared" si="53"/>
        <v>242.60830522574886</v>
      </c>
      <c r="R36" s="62">
        <f t="shared" si="0"/>
        <v>535.94163855908221</v>
      </c>
      <c r="S36" s="62">
        <f ca="1">AVERAGE(OFFSET($R$3,0,0,'Données projet'!$E$9+1,1))-AVERAGE(OFFSET($H$3,0,0,'Données projet'!$E$9+1,1))</f>
        <v>287.05726996114242</v>
      </c>
      <c r="T36" s="62">
        <f t="shared" si="34"/>
        <v>229.06617320689003</v>
      </c>
      <c r="U36" s="16">
        <f>IF(ISNA(VLOOKUP(A36,'Données projet'!$A$35:$I$55,3,0)),0,VLOOKUP(A36,'Données projet'!$A$35:$I$55,3,0))</f>
        <v>3</v>
      </c>
      <c r="V36" s="16">
        <f>IF(ISNA(VLOOKUP(A36,'Données projet'!$A$35:$I$55,4,0)),0,VLOOKUP(A36,'Données projet'!$A$35:$I$55,4,0))</f>
        <v>43.007692307692302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12.128145459023118</v>
      </c>
      <c r="AB36" s="23">
        <f>EXP(-LN(2)/2)*AB35+(1-EXP(-LN(2)/2))/(LN(2)/2)*V36*Y36*VLOOKUP('Données projet'!$B$9,Paramètres!$A$1:$I$89,3,0)*0.475*44/12</f>
        <v>1.8607053125746331</v>
      </c>
      <c r="AC36" s="24">
        <f t="shared" si="3"/>
        <v>13.98885077159775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6.7948717948717956</v>
      </c>
      <c r="AI36" s="14">
        <f>IF('Données projet'!$A$62&gt;35,AI35+AH36-AQ35,IF(A36&lt;'Données projet'!$A$62,$AF$205^A36,IF(A36='Données projet'!$A$62,'Données projet'!$B$62,AI35+AH36-AQ35)))</f>
        <v>117.82051282051279</v>
      </c>
      <c r="AJ36" s="14">
        <f>AI36*VLOOKUP('Données projet'!$B$10,Paramètres!$A$1:$I$89,3,0)*VLOOKUP('Données projet'!$B$10,Paramètres!$A$1:$I$89,5,0)</f>
        <v>123.14599999999997</v>
      </c>
      <c r="AK36" s="14">
        <f t="shared" si="35"/>
        <v>32.407643337050729</v>
      </c>
      <c r="AL36" s="22">
        <f t="shared" si="4"/>
        <v>270.92259547869656</v>
      </c>
      <c r="AM36" s="62">
        <f t="shared" si="5"/>
        <v>564.25592881202988</v>
      </c>
      <c r="AN36" s="62">
        <f ca="1">AVERAGE(OFFSET($AM$3,0,0,'Données projet'!$E$10+1,1))-AVERAGE(OFFSET($H$3,0,0,'Données projet'!$E$10+1,1))</f>
        <v>493.70175665335978</v>
      </c>
      <c r="AO36" s="62">
        <f t="shared" si="36"/>
        <v>325.12357781685949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14.298901098901101</v>
      </c>
      <c r="BD36" s="13">
        <f>IF('Données projet'!$A$88&gt;35,BD35+BC36-BL35,IF(A36&lt;'Données projet'!$A$88,$BA$205^A36,IF(A36='Données projet'!$A$88,'Données projet'!$B$88,BD35+BC36-BL35)))</f>
        <v>219.6802197802198</v>
      </c>
      <c r="BE36" s="14">
        <f>BD36*VLOOKUP('Données projet'!$B$11,Paramètres!$A$1:$I$89,3,0)*VLOOKUP('Données projet'!$B$11,Paramètres!$A$1:$I$89,5,0)</f>
        <v>131.36877142857145</v>
      </c>
      <c r="BF36" s="14">
        <f t="shared" si="37"/>
        <v>34.312449162076589</v>
      </c>
      <c r="BG36" s="22">
        <f t="shared" si="7"/>
        <v>288.56145919537863</v>
      </c>
      <c r="BH36" s="62">
        <f t="shared" si="8"/>
        <v>581.89479252871195</v>
      </c>
      <c r="BI36" s="62">
        <f ca="1">AVERAGE(OFFSET($BH$3,0,0,'Données projet'!$E$11+1,1))-AVERAGE(OFFSET($H$3,0,0,'Données projet'!$E$11+1,1))</f>
        <v>260.02504691866199</v>
      </c>
      <c r="BJ36" s="62">
        <f t="shared" si="38"/>
        <v>270.11268336406368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9.4310040920214817</v>
      </c>
      <c r="BQ36" s="23">
        <f>EXP(-LN(2)/25)*BQ35+(1-EXP(-LN(2)/25))/(LN(2)/25)*Calculateur!BL36*Calculateur!BN36*VLOOKUP('Données projet'!$B$11,Paramètres!$A$1:$I$89,3,0)*0.475*44/12</f>
        <v>15.124238681375259</v>
      </c>
      <c r="BR36" s="23">
        <f>EXP(-LN(2)/2)*BR35+(1-EXP(-LN(2)/2))/(LN(2)/2)*BL36*BO36*VLOOKUP('Données projet'!$B$11,Paramètres!$A$1:$I$89,3,0)*0.475*44/12</f>
        <v>2.2415146886603132</v>
      </c>
      <c r="BS36" s="24">
        <f t="shared" si="9"/>
        <v>26.796757462057055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12.74038461538462</v>
      </c>
      <c r="N37" s="14">
        <f>IF('Données projet'!$A$36&gt;35,N36+M37-V36,IF(A37&lt;'Données projet'!$A$36,$K$205^A37,IF(A37='Données projet'!$A$36,'Données projet'!$B$36,N36+M37-V36)))</f>
        <v>153.63269230769234</v>
      </c>
      <c r="O37" s="14">
        <f>N37*VLOOKUP('Données projet'!$B$9,Paramètres!$A$1:$I$89,3,0)*VLOOKUP('Données projet'!$B$9,Paramètres!$A$1:$I$89,5,0)</f>
        <v>91.872350000000012</v>
      </c>
      <c r="P37" s="14">
        <f t="shared" si="33"/>
        <v>25.016248165039102</v>
      </c>
      <c r="Q37" s="22">
        <f t="shared" si="53"/>
        <v>203.58097513744312</v>
      </c>
      <c r="R37" s="62">
        <f t="shared" si="0"/>
        <v>496.9143084707764</v>
      </c>
      <c r="S37" s="62">
        <f ca="1">AVERAGE(OFFSET($R$3,0,0,'Données projet'!$E$9+1,1))-AVERAGE(OFFSET($H$3,0,0,'Données projet'!$E$9+1,1))</f>
        <v>287.05726996114242</v>
      </c>
      <c r="T37" s="62">
        <f t="shared" si="34"/>
        <v>229.06617320689003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11.796500683654681</v>
      </c>
      <c r="AB37" s="23">
        <f>EXP(-LN(2)/2)*AB36+(1-EXP(-LN(2)/2))/(LN(2)/2)*V37*Y37*VLOOKUP('Données projet'!$B$9,Paramètres!$A$1:$I$89,3,0)*0.475*44/12</f>
        <v>1.3157173443113577</v>
      </c>
      <c r="AC37" s="24">
        <f t="shared" si="3"/>
        <v>13.112218027966039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6.7948717948717956</v>
      </c>
      <c r="AI37" s="14">
        <f>IF('Données projet'!$A$62&gt;35,AI36+AH37-AQ36,IF(A37&lt;'Données projet'!$A$62,$AF$205^A37,IF(A37='Données projet'!$A$62,'Données projet'!$B$62,AI36+AH37-AQ36)))</f>
        <v>124.61538461538458</v>
      </c>
      <c r="AJ37" s="14">
        <f>AI37*VLOOKUP('Données projet'!$B$10,Paramètres!$A$1:$I$89,3,0)*VLOOKUP('Données projet'!$B$10,Paramètres!$A$1:$I$89,5,0)</f>
        <v>130.24799999999999</v>
      </c>
      <c r="AK37" s="14">
        <f t="shared" si="35"/>
        <v>34.053658492903352</v>
      </c>
      <c r="AL37" s="22">
        <f t="shared" si="4"/>
        <v>286.15872187513997</v>
      </c>
      <c r="AM37" s="62">
        <f t="shared" si="5"/>
        <v>579.49205520847329</v>
      </c>
      <c r="AN37" s="62">
        <f ca="1">AVERAGE(OFFSET($AM$3,0,0,'Données projet'!$E$10+1,1))-AVERAGE(OFFSET($H$3,0,0,'Données projet'!$E$10+1,1))</f>
        <v>493.70175665335978</v>
      </c>
      <c r="AO37" s="62">
        <f t="shared" si="36"/>
        <v>325.12357781685949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14.298901098901101</v>
      </c>
      <c r="BD37" s="13">
        <f>IF('Données projet'!$A$88&gt;35,BD36+BC37-BL36,IF(A37&lt;'Données projet'!$A$88,$BA$205^A37,IF(A37='Données projet'!$A$88,'Données projet'!$B$88,BD36+BC37-BL36)))</f>
        <v>233.9791208791209</v>
      </c>
      <c r="BE37" s="14">
        <f>BD37*VLOOKUP('Données projet'!$B$11,Paramètres!$A$1:$I$89,3,0)*VLOOKUP('Données projet'!$B$11,Paramètres!$A$1:$I$89,5,0)</f>
        <v>139.91951428571431</v>
      </c>
      <c r="BF37" s="14">
        <f t="shared" si="37"/>
        <v>36.278566731027588</v>
      </c>
      <c r="BG37" s="22">
        <f t="shared" si="7"/>
        <v>306.87832443749215</v>
      </c>
      <c r="BH37" s="62">
        <f t="shared" si="8"/>
        <v>600.21165777082547</v>
      </c>
      <c r="BI37" s="62">
        <f ca="1">AVERAGE(OFFSET($BH$3,0,0,'Données projet'!$E$11+1,1))-AVERAGE(OFFSET($H$3,0,0,'Données projet'!$E$11+1,1))</f>
        <v>260.02504691866199</v>
      </c>
      <c r="BJ37" s="62">
        <f t="shared" si="38"/>
        <v>270.11268336406368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9.2460678541214403</v>
      </c>
      <c r="BQ37" s="23">
        <f>EXP(-LN(2)/25)*BQ36+(1-EXP(-LN(2)/25))/(LN(2)/25)*Calculateur!BL37*Calculateur!BN37*VLOOKUP('Données projet'!$B$11,Paramètres!$A$1:$I$89,3,0)*0.475*44/12</f>
        <v>14.710665579283907</v>
      </c>
      <c r="BR37" s="23">
        <f>EXP(-LN(2)/2)*BR36+(1-EXP(-LN(2)/2))/(LN(2)/2)*BL37*BO37*VLOOKUP('Données projet'!$B$11,Paramètres!$A$1:$I$89,3,0)*0.475*44/12</f>
        <v>1.5849902364809605</v>
      </c>
      <c r="BS37" s="24">
        <f t="shared" si="9"/>
        <v>25.541723669886309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12.74038461538462</v>
      </c>
      <c r="N38" s="14">
        <f>IF('Données projet'!$A$36&gt;35,N37+M38-V37,IF(A38&lt;'Données projet'!$A$36,$K$205^A38,IF(A38='Données projet'!$A$36,'Données projet'!$B$36,N37+M38-V37)))</f>
        <v>166.37307692307695</v>
      </c>
      <c r="O38" s="14">
        <f>N38*VLOOKUP('Données projet'!$B$9,Paramètres!$A$1:$I$89,3,0)*VLOOKUP('Données projet'!$B$9,Paramètres!$A$1:$I$89,5,0)</f>
        <v>99.491100000000031</v>
      </c>
      <c r="P38" s="14">
        <f t="shared" si="33"/>
        <v>26.84072316435665</v>
      </c>
      <c r="Q38" s="22">
        <f t="shared" si="53"/>
        <v>220.02792534458789</v>
      </c>
      <c r="R38" s="62">
        <f t="shared" si="0"/>
        <v>513.36125867792123</v>
      </c>
      <c r="S38" s="62">
        <f ca="1">AVERAGE(OFFSET($R$3,0,0,'Données projet'!$E$9+1,1))-AVERAGE(OFFSET($H$3,0,0,'Données projet'!$E$9+1,1))</f>
        <v>287.05726996114242</v>
      </c>
      <c r="T38" s="62">
        <f t="shared" si="34"/>
        <v>229.06617320689003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11.473924752109134</v>
      </c>
      <c r="AB38" s="23">
        <f>EXP(-LN(2)/2)*AB37+(1-EXP(-LN(2)/2))/(LN(2)/2)*V38*Y38*VLOOKUP('Données projet'!$B$9,Paramètres!$A$1:$I$89,3,0)*0.475*44/12</f>
        <v>0.93035265628731667</v>
      </c>
      <c r="AC38" s="24">
        <f t="shared" si="3"/>
        <v>12.404277408396451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131.41025641025641</v>
      </c>
      <c r="AG38" s="13">
        <f>VLOOKUP(A38,'Données projet'!$A$61:$I$81,9,0)</f>
        <v>6.7948717948717956</v>
      </c>
      <c r="AH38" s="13">
        <f t="array" ref="AH38">INDEX(AG:AG,MIN(IF(ISNUMBER(AG38:AG234),ROW(AG38:AG234),"")))</f>
        <v>6.7948717948717956</v>
      </c>
      <c r="AI38" s="14">
        <f>IF('Données projet'!$A$62&gt;35,AI37+AH38-AQ37,IF(A38&lt;'Données projet'!$A$62,$AF$205^A38,IF(A38='Données projet'!$A$62,'Données projet'!$B$62,AI37+AH38-AQ37)))</f>
        <v>131.41025641025638</v>
      </c>
      <c r="AJ38" s="14">
        <f>AI38*VLOOKUP('Données projet'!$B$10,Paramètres!$A$1:$I$89,3,0)*VLOOKUP('Données projet'!$B$10,Paramètres!$A$1:$I$89,5,0)</f>
        <v>137.35</v>
      </c>
      <c r="AK38" s="14">
        <f t="shared" si="35"/>
        <v>35.68925416600387</v>
      </c>
      <c r="AL38" s="22">
        <f t="shared" si="4"/>
        <v>301.37670100579004</v>
      </c>
      <c r="AM38" s="62">
        <f t="shared" si="5"/>
        <v>594.71003433912335</v>
      </c>
      <c r="AN38" s="62">
        <f ca="1">AVERAGE(OFFSET($AM$3,0,0,'Données projet'!$E$10+1,1))-AVERAGE(OFFSET($H$3,0,0,'Données projet'!$E$10+1,1))</f>
        <v>493.70175665335978</v>
      </c>
      <c r="AO38" s="62">
        <f t="shared" si="36"/>
        <v>325.12357781685949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14.298901098901101</v>
      </c>
      <c r="BD38" s="13">
        <f>IF('Données projet'!$A$88&gt;35,BD37+BC38-BL37,IF(A38&lt;'Données projet'!$A$88,$BA$205^A38,IF(A38='Données projet'!$A$88,'Données projet'!$B$88,BD37+BC38-BL37)))</f>
        <v>248.278021978022</v>
      </c>
      <c r="BE38" s="14">
        <f>BD38*VLOOKUP('Données projet'!$B$11,Paramètres!$A$1:$I$89,3,0)*VLOOKUP('Données projet'!$B$11,Paramètres!$A$1:$I$89,5,0)</f>
        <v>148.47025714285718</v>
      </c>
      <c r="BF38" s="14">
        <f t="shared" si="37"/>
        <v>38.230738941903269</v>
      </c>
      <c r="BG38" s="22">
        <f t="shared" si="7"/>
        <v>325.17090151429107</v>
      </c>
      <c r="BH38" s="62">
        <f t="shared" si="8"/>
        <v>618.50423484762439</v>
      </c>
      <c r="BI38" s="62">
        <f ca="1">AVERAGE(OFFSET($BH$3,0,0,'Données projet'!$E$11+1,1))-AVERAGE(OFFSET($H$3,0,0,'Données projet'!$E$11+1,1))</f>
        <v>260.02504691866199</v>
      </c>
      <c r="BJ38" s="62">
        <f t="shared" si="38"/>
        <v>270.11268336406368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9.0647581030466515</v>
      </c>
      <c r="BQ38" s="23">
        <f>EXP(-LN(2)/25)*BQ37+(1-EXP(-LN(2)/25))/(LN(2)/25)*Calculateur!BL38*Calculateur!BN38*VLOOKUP('Données projet'!$B$11,Paramètres!$A$1:$I$89,3,0)*0.475*44/12</f>
        <v>14.308401655418107</v>
      </c>
      <c r="BR38" s="23">
        <f>EXP(-LN(2)/2)*BR37+(1-EXP(-LN(2)/2))/(LN(2)/2)*BL38*BO38*VLOOKUP('Données projet'!$B$11,Paramètres!$A$1:$I$89,3,0)*0.475*44/12</f>
        <v>1.1207573443301568</v>
      </c>
      <c r="BS38" s="24">
        <f t="shared" si="9"/>
        <v>24.493917102794917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12.74038461538462</v>
      </c>
      <c r="N39" s="14">
        <f>IF('Données projet'!$A$36&gt;35,N38+M39-V38,IF(A39&lt;'Données projet'!$A$36,$K$205^A39,IF(A39='Données projet'!$A$36,'Données projet'!$B$36,N38+M39-V38)))</f>
        <v>179.11346153846156</v>
      </c>
      <c r="O39" s="14">
        <f>N39*VLOOKUP('Données projet'!$B$9,Paramètres!$A$1:$I$89,3,0)*VLOOKUP('Données projet'!$B$9,Paramètres!$A$1:$I$89,5,0)</f>
        <v>107.10985000000002</v>
      </c>
      <c r="P39" s="14">
        <f t="shared" si="33"/>
        <v>28.64899110170736</v>
      </c>
      <c r="Q39" s="22">
        <f t="shared" si="53"/>
        <v>236.44664825214033</v>
      </c>
      <c r="R39" s="62">
        <f t="shared" si="0"/>
        <v>529.77998158547371</v>
      </c>
      <c r="S39" s="62">
        <f ca="1">AVERAGE(OFFSET($R$3,0,0,'Données projet'!$E$9+1,1))-AVERAGE(OFFSET($H$3,0,0,'Données projet'!$E$9+1,1))</f>
        <v>287.05726996114242</v>
      </c>
      <c r="T39" s="62">
        <f t="shared" si="34"/>
        <v>229.06617320689003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11.160169676375231</v>
      </c>
      <c r="AB39" s="23">
        <f>EXP(-LN(2)/2)*AB38+(1-EXP(-LN(2)/2))/(LN(2)/2)*V39*Y39*VLOOKUP('Données projet'!$B$9,Paramètres!$A$1:$I$89,3,0)*0.475*44/12</f>
        <v>0.65785867215567895</v>
      </c>
      <c r="AC39" s="24">
        <f t="shared" si="3"/>
        <v>11.818028348530911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6.5384615384615357</v>
      </c>
      <c r="AI39" s="14">
        <f>IF('Données projet'!$A$62&gt;35,AI38+AH39-AQ38,IF(A39&lt;'Données projet'!$A$62,$AF$205^A39,IF(A39='Données projet'!$A$62,'Données projet'!$B$62,AI38+AH39-AQ38)))</f>
        <v>137.94871794871793</v>
      </c>
      <c r="AJ39" s="14">
        <f>AI39*VLOOKUP('Données projet'!$B$10,Paramètres!$A$1:$I$89,3,0)*VLOOKUP('Données projet'!$B$10,Paramètres!$A$1:$I$89,5,0)</f>
        <v>144.184</v>
      </c>
      <c r="AK39" s="14">
        <f t="shared" si="35"/>
        <v>37.253852236732257</v>
      </c>
      <c r="AL39" s="22">
        <f t="shared" si="4"/>
        <v>316.00425931230865</v>
      </c>
      <c r="AM39" s="62">
        <f t="shared" si="5"/>
        <v>609.33759264564196</v>
      </c>
      <c r="AN39" s="62">
        <f ca="1">AVERAGE(OFFSET($AM$3,0,0,'Données projet'!$E$10+1,1))-AVERAGE(OFFSET($H$3,0,0,'Données projet'!$E$10+1,1))</f>
        <v>493.70175665335978</v>
      </c>
      <c r="AO39" s="62">
        <f t="shared" si="36"/>
        <v>325.12357781685949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262.57692307692309</v>
      </c>
      <c r="BB39" s="13">
        <f>VLOOKUP(A39,'Données projet'!$A$87:$I$107,9,0)</f>
        <v>14.298901098901101</v>
      </c>
      <c r="BC39" s="13">
        <f t="array" ref="BC39">INDEX(BB:BB,MIN(IF(ISNUMBER(BB39:BB235),ROW(BB39:BB235),"")))</f>
        <v>14.298901098901101</v>
      </c>
      <c r="BD39" s="13">
        <f>IF('Données projet'!$A$88&gt;35,BD38+BC39-BL38,IF(A39&lt;'Données projet'!$A$88,$BA$205^A39,IF(A39='Données projet'!$A$88,'Données projet'!$B$88,BD38+BC39-BL38)))</f>
        <v>262.57692307692309</v>
      </c>
      <c r="BE39" s="14">
        <f>BD39*VLOOKUP('Données projet'!$B$11,Paramètres!$A$1:$I$89,3,0)*VLOOKUP('Données projet'!$B$11,Paramètres!$A$1:$I$89,5,0)</f>
        <v>157.02100000000002</v>
      </c>
      <c r="BF39" s="14">
        <f t="shared" si="37"/>
        <v>40.169860444278903</v>
      </c>
      <c r="BG39" s="22">
        <f t="shared" si="7"/>
        <v>343.44074860711908</v>
      </c>
      <c r="BH39" s="62">
        <f t="shared" si="8"/>
        <v>636.77408194045233</v>
      </c>
      <c r="BI39" s="62">
        <f ca="1">AVERAGE(OFFSET($BH$3,0,0,'Données projet'!$E$11+1,1))-AVERAGE(OFFSET($H$3,0,0,'Données projet'!$E$11+1,1))</f>
        <v>260.02504691866199</v>
      </c>
      <c r="BJ39" s="62">
        <f t="shared" si="38"/>
        <v>270.11268336406368</v>
      </c>
      <c r="BK39" s="16">
        <f>IF(ISNA(VLOOKUP(A39,'Données projet'!$A$87:$I$107,3,0)),0,VLOOKUP(A39,'Données projet'!$A$87:$I$107,3,0))</f>
        <v>4</v>
      </c>
      <c r="BL39" s="16">
        <f>IF(ISNA(VLOOKUP(A39,'Données projet'!$A$87:$I$107,4,0)),0,VLOOKUP(A39,'Données projet'!$A$87:$I$107,4,0))</f>
        <v>64.553846153846166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8.8870037256024101</v>
      </c>
      <c r="BQ39" s="23">
        <f>EXP(-LN(2)/25)*BQ38+(1-EXP(-LN(2)/25))/(LN(2)/25)*Calculateur!BL39*Calculateur!BN39*VLOOKUP('Données projet'!$B$11,Paramètres!$A$1:$I$89,3,0)*0.475*44/12</f>
        <v>13.917137659704558</v>
      </c>
      <c r="BR39" s="23">
        <f>EXP(-LN(2)/2)*BR38+(1-EXP(-LN(2)/2))/(LN(2)/2)*BL39*BO39*VLOOKUP('Données projet'!$B$11,Paramètres!$A$1:$I$89,3,0)*0.475*44/12</f>
        <v>0.79249511824048036</v>
      </c>
      <c r="BS39" s="24">
        <f t="shared" si="9"/>
        <v>23.596636503547451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12.74038461538462</v>
      </c>
      <c r="N40" s="14">
        <f>IF('Données projet'!$A$36&gt;35,N39+M40-V39,IF(A40&lt;'Données projet'!$A$36,$K$205^A40,IF(A40='Données projet'!$A$36,'Données projet'!$B$36,N39+M40-V39)))</f>
        <v>191.85384615384618</v>
      </c>
      <c r="O40" s="14">
        <f>N40*VLOOKUP('Données projet'!$B$9,Paramètres!$A$1:$I$89,3,0)*VLOOKUP('Données projet'!$B$9,Paramètres!$A$1:$I$89,5,0)</f>
        <v>114.72860000000003</v>
      </c>
      <c r="P40" s="14">
        <f t="shared" si="33"/>
        <v>30.442335906087649</v>
      </c>
      <c r="Q40" s="22">
        <f t="shared" si="53"/>
        <v>252.83938003643598</v>
      </c>
      <c r="R40" s="62">
        <f t="shared" si="0"/>
        <v>546.17271336976933</v>
      </c>
      <c r="S40" s="62">
        <f ca="1">AVERAGE(OFFSET($R$3,0,0,'Données projet'!$E$9+1,1))-AVERAGE(OFFSET($H$3,0,0,'Données projet'!$E$9+1,1))</f>
        <v>287.05726996114242</v>
      </c>
      <c r="T40" s="62">
        <f t="shared" si="34"/>
        <v>229.06617320689003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10.854994249686934</v>
      </c>
      <c r="AB40" s="23">
        <f>EXP(-LN(2)/2)*AB39+(1-EXP(-LN(2)/2))/(LN(2)/2)*V40*Y40*VLOOKUP('Données projet'!$B$9,Paramètres!$A$1:$I$89,3,0)*0.475*44/12</f>
        <v>0.46517632814365839</v>
      </c>
      <c r="AC40" s="24">
        <f t="shared" si="3"/>
        <v>11.320170577830591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6.5384615384615357</v>
      </c>
      <c r="AI40" s="14">
        <f>IF('Données projet'!$A$62&gt;35,AI39+AH40-AQ39,IF(A40&lt;'Données projet'!$A$62,$AF$205^A40,IF(A40='Données projet'!$A$62,'Données projet'!$B$62,AI39+AH40-AQ39)))</f>
        <v>144.48717948717947</v>
      </c>
      <c r="AJ40" s="14">
        <f>AI40*VLOOKUP('Données projet'!$B$10,Paramètres!$A$1:$I$89,3,0)*VLOOKUP('Données projet'!$B$10,Paramètres!$A$1:$I$89,5,0)</f>
        <v>151.018</v>
      </c>
      <c r="AK40" s="14">
        <f t="shared" si="35"/>
        <v>38.809838626521376</v>
      </c>
      <c r="AL40" s="22">
        <f t="shared" si="4"/>
        <v>330.61681894119141</v>
      </c>
      <c r="AM40" s="62">
        <f t="shared" si="5"/>
        <v>623.95015227452473</v>
      </c>
      <c r="AN40" s="62">
        <f ca="1">AVERAGE(OFFSET($AM$3,0,0,'Données projet'!$E$10+1,1))-AVERAGE(OFFSET($H$3,0,0,'Données projet'!$E$10+1,1))</f>
        <v>493.70175665335978</v>
      </c>
      <c r="AO40" s="62">
        <f t="shared" si="36"/>
        <v>325.12357781685949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13.141346153846158</v>
      </c>
      <c r="BD40" s="13">
        <f>IF('Données projet'!$A$88&gt;35,BD39+BC40-BL39,IF(A40&lt;'Données projet'!$A$88,$BA$205^A40,IF(A40='Données projet'!$A$88,'Données projet'!$B$88,BD39+BC40-BL39)))</f>
        <v>211.16442307692307</v>
      </c>
      <c r="BE40" s="14">
        <f>BD40*VLOOKUP('Données projet'!$B$11,Paramètres!$A$1:$I$89,3,0)*VLOOKUP('Données projet'!$B$11,Paramètres!$A$1:$I$89,5,0)</f>
        <v>126.27632500000001</v>
      </c>
      <c r="BF40" s="14">
        <f t="shared" si="37"/>
        <v>33.134477451871625</v>
      </c>
      <c r="BG40" s="22">
        <f t="shared" si="7"/>
        <v>277.64048093700978</v>
      </c>
      <c r="BH40" s="62">
        <f t="shared" si="8"/>
        <v>570.97381427034315</v>
      </c>
      <c r="BI40" s="62">
        <f ca="1">AVERAGE(OFFSET($BH$3,0,0,'Données projet'!$E$11+1,1))-AVERAGE(OFFSET($H$3,0,0,'Données projet'!$E$11+1,1))</f>
        <v>260.02504691866199</v>
      </c>
      <c r="BJ40" s="62">
        <f t="shared" si="38"/>
        <v>270.11268336406368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8.7127350030803861</v>
      </c>
      <c r="BQ40" s="23">
        <f>EXP(-LN(2)/25)*BQ39+(1-EXP(-LN(2)/25))/(LN(2)/25)*Calculateur!BL40*Calculateur!BN40*VLOOKUP('Données projet'!$B$11,Paramètres!$A$1:$I$89,3,0)*0.475*44/12</f>
        <v>13.536572798529475</v>
      </c>
      <c r="BR40" s="23">
        <f>EXP(-LN(2)/2)*BR39+(1-EXP(-LN(2)/2))/(LN(2)/2)*BL40*BO40*VLOOKUP('Données projet'!$B$11,Paramètres!$A$1:$I$89,3,0)*0.475*44/12</f>
        <v>0.56037867216507853</v>
      </c>
      <c r="BS40" s="24">
        <f t="shared" si="9"/>
        <v>22.809686473774939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12.74038461538462</v>
      </c>
      <c r="N41" s="14">
        <f>IF('Données projet'!$A$36&gt;35,N40+M41-V40,IF(A41&lt;'Données projet'!$A$36,$K$205^A41,IF(A41='Données projet'!$A$36,'Données projet'!$B$36,N40+M41-V40)))</f>
        <v>204.59423076923079</v>
      </c>
      <c r="O41" s="14">
        <f>N41*VLOOKUP('Données projet'!$B$9,Paramètres!$A$1:$I$89,3,0)*VLOOKUP('Données projet'!$B$9,Paramètres!$A$1:$I$89,5,0)</f>
        <v>122.34735000000002</v>
      </c>
      <c r="P41" s="14">
        <f t="shared" si="33"/>
        <v>32.221861336884544</v>
      </c>
      <c r="Q41" s="22">
        <f t="shared" si="53"/>
        <v>269.20804307840729</v>
      </c>
      <c r="R41" s="62">
        <f t="shared" si="0"/>
        <v>562.54137641174066</v>
      </c>
      <c r="S41" s="62">
        <f ca="1">AVERAGE(OFFSET($R$3,0,0,'Données projet'!$E$9+1,1))-AVERAGE(OFFSET($H$3,0,0,'Données projet'!$E$9+1,1))</f>
        <v>287.05726996114242</v>
      </c>
      <c r="T41" s="62">
        <f t="shared" si="34"/>
        <v>229.06617320689003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10.558163861089907</v>
      </c>
      <c r="AB41" s="23">
        <f>EXP(-LN(2)/2)*AB40+(1-EXP(-LN(2)/2))/(LN(2)/2)*V41*Y41*VLOOKUP('Données projet'!$B$9,Paramètres!$A$1:$I$89,3,0)*0.475*44/12</f>
        <v>0.32892933607783953</v>
      </c>
      <c r="AC41" s="24">
        <f t="shared" si="3"/>
        <v>10.887093197167747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6.5384615384615357</v>
      </c>
      <c r="AI41" s="14">
        <f>IF('Données projet'!$A$62&gt;35,AI40+AH41-AQ40,IF(A41&lt;'Données projet'!$A$62,$AF$205^A41,IF(A41='Données projet'!$A$62,'Données projet'!$B$62,AI40+AH41-AQ40)))</f>
        <v>151.02564102564102</v>
      </c>
      <c r="AJ41" s="14">
        <f>AI41*VLOOKUP('Données projet'!$B$10,Paramètres!$A$1:$I$89,3,0)*VLOOKUP('Données projet'!$B$10,Paramètres!$A$1:$I$89,5,0)</f>
        <v>157.852</v>
      </c>
      <c r="AK41" s="14">
        <f t="shared" si="35"/>
        <v>40.357647559226351</v>
      </c>
      <c r="AL41" s="22">
        <f t="shared" si="4"/>
        <v>345.21513616565261</v>
      </c>
      <c r="AM41" s="62">
        <f t="shared" si="5"/>
        <v>638.54846949898592</v>
      </c>
      <c r="AN41" s="62">
        <f ca="1">AVERAGE(OFFSET($AM$3,0,0,'Données projet'!$E$10+1,1))-AVERAGE(OFFSET($H$3,0,0,'Données projet'!$E$10+1,1))</f>
        <v>493.70175665335978</v>
      </c>
      <c r="AO41" s="62">
        <f t="shared" si="36"/>
        <v>325.12357781685949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13.141346153846158</v>
      </c>
      <c r="BD41" s="13">
        <f>IF('Données projet'!$A$88&gt;35,BD40+BC41-BL40,IF(A41&lt;'Données projet'!$A$88,$BA$205^A41,IF(A41='Données projet'!$A$88,'Données projet'!$B$88,BD40+BC41-BL40)))</f>
        <v>224.30576923076922</v>
      </c>
      <c r="BE41" s="14">
        <f>BD41*VLOOKUP('Données projet'!$B$11,Paramètres!$A$1:$I$89,3,0)*VLOOKUP('Données projet'!$B$11,Paramètres!$A$1:$I$89,5,0)</f>
        <v>134.13485</v>
      </c>
      <c r="BF41" s="14">
        <f t="shared" si="37"/>
        <v>34.950053695803156</v>
      </c>
      <c r="BG41" s="22">
        <f t="shared" si="7"/>
        <v>294.48954060352384</v>
      </c>
      <c r="BH41" s="62">
        <f t="shared" si="8"/>
        <v>587.82287393685715</v>
      </c>
      <c r="BI41" s="62">
        <f ca="1">AVERAGE(OFFSET($BH$3,0,0,'Données projet'!$E$11+1,1))-AVERAGE(OFFSET($H$3,0,0,'Données projet'!$E$11+1,1))</f>
        <v>260.02504691866199</v>
      </c>
      <c r="BJ41" s="62">
        <f t="shared" si="38"/>
        <v>270.11268336406368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8.5418835839135934</v>
      </c>
      <c r="BQ41" s="23">
        <f>EXP(-LN(2)/25)*BQ40+(1-EXP(-LN(2)/25))/(LN(2)/25)*Calculateur!BL41*Calculateur!BN41*VLOOKUP('Données projet'!$B$11,Paramètres!$A$1:$I$89,3,0)*0.475*44/12</f>
        <v>13.166414503496261</v>
      </c>
      <c r="BR41" s="23">
        <f>EXP(-LN(2)/2)*BR40+(1-EXP(-LN(2)/2))/(LN(2)/2)*BL41*BO41*VLOOKUP('Données projet'!$B$11,Paramètres!$A$1:$I$89,3,0)*0.475*44/12</f>
        <v>0.39624755912024023</v>
      </c>
      <c r="BS41" s="24">
        <f t="shared" si="9"/>
        <v>22.104545646530095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12.74038461538462</v>
      </c>
      <c r="N42" s="14">
        <f>IF('Données projet'!$A$36&gt;35,N41+M42-V41,IF(A42&lt;'Données projet'!$A$36,$K$205^A42,IF(A42='Données projet'!$A$36,'Données projet'!$B$36,N41+M42-V41)))</f>
        <v>217.3346153846154</v>
      </c>
      <c r="O42" s="14">
        <f>N42*VLOOKUP('Données projet'!$B$9,Paramètres!$A$1:$I$89,3,0)*VLOOKUP('Données projet'!$B$9,Paramètres!$A$1:$I$89,5,0)</f>
        <v>129.96610000000001</v>
      </c>
      <c r="P42" s="14">
        <f t="shared" si="33"/>
        <v>33.988525918782614</v>
      </c>
      <c r="Q42" s="22">
        <f t="shared" si="53"/>
        <v>285.55430680854636</v>
      </c>
      <c r="R42" s="62">
        <f t="shared" si="0"/>
        <v>578.88764014187973</v>
      </c>
      <c r="S42" s="62">
        <f ca="1">AVERAGE(OFFSET($R$3,0,0,'Données projet'!$E$9+1,1))-AVERAGE(OFFSET($H$3,0,0,'Données projet'!$E$9+1,1))</f>
        <v>287.05726996114242</v>
      </c>
      <c r="T42" s="62">
        <f t="shared" si="34"/>
        <v>229.06617320689003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10.269450315078698</v>
      </c>
      <c r="AB42" s="23">
        <f>EXP(-LN(2)/2)*AB41+(1-EXP(-LN(2)/2))/(LN(2)/2)*V42*Y42*VLOOKUP('Données projet'!$B$9,Paramètres!$A$1:$I$89,3,0)*0.475*44/12</f>
        <v>0.23258816407182925</v>
      </c>
      <c r="AC42" s="24">
        <f t="shared" si="3"/>
        <v>10.502038479150528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6.5384615384615357</v>
      </c>
      <c r="AI42" s="14">
        <f>IF('Données projet'!$A$62&gt;35,AI41+AH42-AQ41,IF(A42&lt;'Données projet'!$A$62,$AF$205^A42,IF(A42='Données projet'!$A$62,'Données projet'!$B$62,AI41+AH42-AQ41)))</f>
        <v>157.56410256410257</v>
      </c>
      <c r="AJ42" s="14">
        <f>AI42*VLOOKUP('Données projet'!$B$10,Paramètres!$A$1:$I$89,3,0)*VLOOKUP('Données projet'!$B$10,Paramètres!$A$1:$I$89,5,0)</f>
        <v>164.68600000000001</v>
      </c>
      <c r="AK42" s="14">
        <f t="shared" si="35"/>
        <v>41.89767353409232</v>
      </c>
      <c r="AL42" s="22">
        <f t="shared" si="4"/>
        <v>359.79989807187752</v>
      </c>
      <c r="AM42" s="62">
        <f t="shared" si="5"/>
        <v>653.13323140521084</v>
      </c>
      <c r="AN42" s="62">
        <f ca="1">AVERAGE(OFFSET($AM$3,0,0,'Données projet'!$E$10+1,1))-AVERAGE(OFFSET($H$3,0,0,'Données projet'!$E$10+1,1))</f>
        <v>493.70175665335978</v>
      </c>
      <c r="AO42" s="62">
        <f t="shared" si="36"/>
        <v>325.12357781685949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13.141346153846158</v>
      </c>
      <c r="BD42" s="13">
        <f>IF('Données projet'!$A$88&gt;35,BD41+BC42-BL41,IF(A42&lt;'Données projet'!$A$88,$BA$205^A42,IF(A42='Données projet'!$A$88,'Données projet'!$B$88,BD41+BC42-BL41)))</f>
        <v>237.44711538461536</v>
      </c>
      <c r="BE42" s="14">
        <f>BD42*VLOOKUP('Données projet'!$B$11,Paramètres!$A$1:$I$89,3,0)*VLOOKUP('Données projet'!$B$11,Paramètres!$A$1:$I$89,5,0)</f>
        <v>141.99337499999999</v>
      </c>
      <c r="BF42" s="14">
        <f t="shared" si="37"/>
        <v>36.753283288028733</v>
      </c>
      <c r="BG42" s="22">
        <f t="shared" si="7"/>
        <v>311.31709651831665</v>
      </c>
      <c r="BH42" s="62">
        <f t="shared" si="8"/>
        <v>604.65042985164996</v>
      </c>
      <c r="BI42" s="62">
        <f ca="1">AVERAGE(OFFSET($BH$3,0,0,'Données projet'!$E$11+1,1))-AVERAGE(OFFSET($H$3,0,0,'Données projet'!$E$11+1,1))</f>
        <v>260.02504691866199</v>
      </c>
      <c r="BJ42" s="62">
        <f t="shared" si="38"/>
        <v>270.11268336406368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8.3743824568675862</v>
      </c>
      <c r="BQ42" s="23">
        <f>EXP(-LN(2)/25)*BQ41+(1-EXP(-LN(2)/25))/(LN(2)/25)*Calculateur!BL42*Calculateur!BN42*VLOOKUP('Données projet'!$B$11,Paramètres!$A$1:$I$89,3,0)*0.475*44/12</f>
        <v>12.80637820650651</v>
      </c>
      <c r="BR42" s="23">
        <f>EXP(-LN(2)/2)*BR41+(1-EXP(-LN(2)/2))/(LN(2)/2)*BL42*BO42*VLOOKUP('Données projet'!$B$11,Paramètres!$A$1:$I$89,3,0)*0.475*44/12</f>
        <v>0.28018933608253926</v>
      </c>
      <c r="BS42" s="24">
        <f t="shared" si="9"/>
        <v>21.460949999456634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12.74038461538462</v>
      </c>
      <c r="N43" s="14">
        <f>IF('Données projet'!$A$36&gt;35,N42+M43-V42,IF(A43&lt;'Données projet'!$A$36,$K$205^A43,IF(A43='Données projet'!$A$36,'Données projet'!$B$36,N42+M43-V42)))</f>
        <v>230.07500000000002</v>
      </c>
      <c r="O43" s="14">
        <f>N43*VLOOKUP('Données projet'!$B$9,Paramètres!$A$1:$I$89,3,0)*VLOOKUP('Données projet'!$B$9,Paramètres!$A$1:$I$89,5,0)</f>
        <v>137.58485000000002</v>
      </c>
      <c r="P43" s="14">
        <f t="shared" si="33"/>
        <v>35.743169448737028</v>
      </c>
      <c r="Q43" s="22">
        <f t="shared" si="53"/>
        <v>301.87963387321702</v>
      </c>
      <c r="R43" s="62">
        <f t="shared" si="0"/>
        <v>595.21296720655027</v>
      </c>
      <c r="S43" s="62">
        <f ca="1">AVERAGE(OFFSET($R$3,0,0,'Données projet'!$E$9+1,1))-AVERAGE(OFFSET($H$3,0,0,'Données projet'!$E$9+1,1))</f>
        <v>287.05726996114242</v>
      </c>
      <c r="T43" s="62">
        <f t="shared" si="34"/>
        <v>229.06617320689003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9.9886316561659498</v>
      </c>
      <c r="AB43" s="23">
        <f>EXP(-LN(2)/2)*AB42+(1-EXP(-LN(2)/2))/(LN(2)/2)*V43*Y43*VLOOKUP('Données projet'!$B$9,Paramètres!$A$1:$I$89,3,0)*0.475*44/12</f>
        <v>0.16446466803891979</v>
      </c>
      <c r="AC43" s="24">
        <f t="shared" si="3"/>
        <v>10.153096324204869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164.10256410256409</v>
      </c>
      <c r="AG43" s="13">
        <f>VLOOKUP(A43,'Données projet'!$A$61:$I$81,9,0)</f>
        <v>6.5384615384615357</v>
      </c>
      <c r="AH43" s="13">
        <f t="array" ref="AH43">INDEX(AG:AG,MIN(IF(ISNUMBER(AG43:AG239),ROW(AG43:AG239),"")))</f>
        <v>6.5384615384615357</v>
      </c>
      <c r="AI43" s="14">
        <f>IF('Données projet'!$A$62&gt;35,AI42+AH43-AQ42,IF(A43&lt;'Données projet'!$A$62,$AF$205^A43,IF(A43='Données projet'!$A$62,'Données projet'!$B$62,AI42+AH43-AQ42)))</f>
        <v>164.10256410256412</v>
      </c>
      <c r="AJ43" s="14">
        <f>AI43*VLOOKUP('Données projet'!$B$10,Paramètres!$A$1:$I$89,3,0)*VLOOKUP('Données projet'!$B$10,Paramètres!$A$1:$I$89,5,0)</f>
        <v>171.52000000000004</v>
      </c>
      <c r="AK43" s="14">
        <f t="shared" si="35"/>
        <v>43.430276456724698</v>
      </c>
      <c r="AL43" s="22">
        <f t="shared" si="4"/>
        <v>374.3717314954622</v>
      </c>
      <c r="AM43" s="62">
        <f t="shared" si="5"/>
        <v>667.70506482879546</v>
      </c>
      <c r="AN43" s="62">
        <f ca="1">AVERAGE(OFFSET($AM$3,0,0,'Données projet'!$E$10+1,1))-AVERAGE(OFFSET($H$3,0,0,'Données projet'!$E$10+1,1))</f>
        <v>493.70175665335978</v>
      </c>
      <c r="AO43" s="62">
        <f t="shared" si="36"/>
        <v>325.12357781685949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22.435897435897434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13.141346153846158</v>
      </c>
      <c r="BD43" s="13">
        <f>IF('Données projet'!$A$88&gt;35,BD42+BC43-BL42,IF(A43&lt;'Données projet'!$A$88,$BA$205^A43,IF(A43='Données projet'!$A$88,'Données projet'!$B$88,BD42+BC43-BL42)))</f>
        <v>250.5884615384615</v>
      </c>
      <c r="BE43" s="14">
        <f>BD43*VLOOKUP('Données projet'!$B$11,Paramètres!$A$1:$I$89,3,0)*VLOOKUP('Données projet'!$B$11,Paramètres!$A$1:$I$89,5,0)</f>
        <v>149.8519</v>
      </c>
      <c r="BF43" s="14">
        <f t="shared" si="37"/>
        <v>38.544927429723309</v>
      </c>
      <c r="BG43" s="22">
        <f t="shared" si="7"/>
        <v>328.12447444010144</v>
      </c>
      <c r="BH43" s="62">
        <f t="shared" si="8"/>
        <v>621.45780777343475</v>
      </c>
      <c r="BI43" s="62">
        <f ca="1">AVERAGE(OFFSET($BH$3,0,0,'Données projet'!$E$11+1,1))-AVERAGE(OFFSET($H$3,0,0,'Données projet'!$E$11+1,1))</f>
        <v>260.02504691866199</v>
      </c>
      <c r="BJ43" s="62">
        <f t="shared" si="38"/>
        <v>270.11268336406368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8.2101659247573515</v>
      </c>
      <c r="BQ43" s="23">
        <f>EXP(-LN(2)/25)*BQ42+(1-EXP(-LN(2)/25))/(LN(2)/25)*Calculateur!BL43*Calculateur!BN43*VLOOKUP('Données projet'!$B$11,Paramètres!$A$1:$I$89,3,0)*0.475*44/12</f>
        <v>12.456187120991428</v>
      </c>
      <c r="BR43" s="23">
        <f>EXP(-LN(2)/2)*BR42+(1-EXP(-LN(2)/2))/(LN(2)/2)*BL43*BO43*VLOOKUP('Données projet'!$B$11,Paramètres!$A$1:$I$89,3,0)*0.475*44/12</f>
        <v>0.19812377956012012</v>
      </c>
      <c r="BS43" s="24">
        <f t="shared" si="9"/>
        <v>20.864476825308898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>
        <f>VLOOKUP(A44,'Données projet'!$A$35:$I$55,2,0)</f>
        <v>242.81538461538463</v>
      </c>
      <c r="L44" s="13">
        <f>VLOOKUP(A44,'Données projet'!$A$35:$I$55,9,0)</f>
        <v>12.74038461538462</v>
      </c>
      <c r="M44" s="13">
        <f t="array" ref="M44">INDEX(L:L,MIN(IF(ISNUMBER(L44:L240),ROW(L44:L240),"")))</f>
        <v>12.74038461538462</v>
      </c>
      <c r="N44" s="14">
        <f>IF('Données projet'!$A$36&gt;35,N43+M44-V43,IF(A44&lt;'Données projet'!$A$36,$K$205^A44,IF(A44='Données projet'!$A$36,'Données projet'!$B$36,N43+M44-V43)))</f>
        <v>242.81538461538463</v>
      </c>
      <c r="O44" s="14">
        <f>N44*VLOOKUP('Données projet'!$B$9,Paramètres!$A$1:$I$89,3,0)*VLOOKUP('Données projet'!$B$9,Paramètres!$A$1:$I$89,5,0)</f>
        <v>145.20360000000002</v>
      </c>
      <c r="P44" s="14">
        <f t="shared" si="33"/>
        <v>37.486533463390735</v>
      </c>
      <c r="Q44" s="22">
        <f t="shared" si="53"/>
        <v>318.18531578207222</v>
      </c>
      <c r="R44" s="62">
        <f t="shared" si="0"/>
        <v>611.51864911540554</v>
      </c>
      <c r="S44" s="62">
        <f ca="1">AVERAGE(OFFSET($R$3,0,0,'Données projet'!$E$9+1,1))-AVERAGE(OFFSET($H$3,0,0,'Données projet'!$E$9+1,1))</f>
        <v>287.05726996114242</v>
      </c>
      <c r="T44" s="62">
        <f t="shared" si="34"/>
        <v>229.06617320689003</v>
      </c>
      <c r="U44" s="16">
        <f>IF(ISNA(VLOOKUP(A44,'Données projet'!$A$35:$I$55,3,0)),0,VLOOKUP(A44,'Données projet'!$A$35:$I$55,3,0))</f>
        <v>4</v>
      </c>
      <c r="V44" s="16">
        <f>IF(ISNA(VLOOKUP(A44,'Données projet'!$A$35:$I$55,4,0)),0,VLOOKUP(A44,'Données projet'!$A$35:$I$55,4,0))</f>
        <v>58.484615384615381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9.7154919982487833</v>
      </c>
      <c r="AB44" s="23">
        <f>EXP(-LN(2)/2)*AB43+(1-EXP(-LN(2)/2))/(LN(2)/2)*V44*Y44*VLOOKUP('Données projet'!$B$9,Paramètres!$A$1:$I$89,3,0)*0.475*44/12</f>
        <v>0.11629408203591464</v>
      </c>
      <c r="AC44" s="24">
        <f t="shared" si="3"/>
        <v>9.8317860802846972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6.2820512820512819</v>
      </c>
      <c r="AI44" s="14">
        <f>IF('Données projet'!$A$62&gt;35,AI43+AH44-AQ43,IF(A44&lt;'Données projet'!$A$62,$AF$205^A44,IF(A44='Données projet'!$A$62,'Données projet'!$B$62,AI43+AH44-AQ43)))</f>
        <v>147.94871794871796</v>
      </c>
      <c r="AJ44" s="14">
        <f>AI44*VLOOKUP('Données projet'!$B$10,Paramètres!$A$1:$I$89,3,0)*VLOOKUP('Données projet'!$B$10,Paramètres!$A$1:$I$89,5,0)</f>
        <v>154.63600000000002</v>
      </c>
      <c r="AK44" s="14">
        <f t="shared" si="35"/>
        <v>39.630259615196607</v>
      </c>
      <c r="AL44" s="22">
        <f t="shared" si="4"/>
        <v>338.34706882980078</v>
      </c>
      <c r="AM44" s="62">
        <f t="shared" si="5"/>
        <v>631.68040216313409</v>
      </c>
      <c r="AN44" s="62">
        <f ca="1">AVERAGE(OFFSET($AM$3,0,0,'Données projet'!$E$10+1,1))-AVERAGE(OFFSET($H$3,0,0,'Données projet'!$E$10+1,1))</f>
        <v>493.70175665335978</v>
      </c>
      <c r="AO44" s="62">
        <f t="shared" si="36"/>
        <v>325.12357781685949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13.141346153846158</v>
      </c>
      <c r="BD44" s="13">
        <f>IF('Données projet'!$A$88&gt;35,BD43+BC44-BL43,IF(A44&lt;'Données projet'!$A$88,$BA$205^A44,IF(A44='Données projet'!$A$88,'Données projet'!$B$88,BD43+BC44-BL43)))</f>
        <v>263.72980769230765</v>
      </c>
      <c r="BE44" s="14">
        <f>BD44*VLOOKUP('Données projet'!$B$11,Paramètres!$A$1:$I$89,3,0)*VLOOKUP('Données projet'!$B$11,Paramètres!$A$1:$I$89,5,0)</f>
        <v>157.71042499999999</v>
      </c>
      <c r="BF44" s="14">
        <f t="shared" si="37"/>
        <v>40.325662975074472</v>
      </c>
      <c r="BG44" s="22">
        <f t="shared" si="7"/>
        <v>344.91285322325461</v>
      </c>
      <c r="BH44" s="62">
        <f t="shared" si="8"/>
        <v>638.24618655658787</v>
      </c>
      <c r="BI44" s="62">
        <f ca="1">AVERAGE(OFFSET($BH$3,0,0,'Données projet'!$E$11+1,1))-AVERAGE(OFFSET($H$3,0,0,'Données projet'!$E$11+1,1))</f>
        <v>260.02504691866199</v>
      </c>
      <c r="BJ44" s="62">
        <f t="shared" si="38"/>
        <v>270.11268336406368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8.0491695786796047</v>
      </c>
      <c r="BQ44" s="23">
        <f>EXP(-LN(2)/25)*BQ43+(1-EXP(-LN(2)/25))/(LN(2)/25)*Calculateur!BL44*Calculateur!BN44*VLOOKUP('Données projet'!$B$11,Paramètres!$A$1:$I$89,3,0)*0.475*44/12</f>
        <v>12.115572029125506</v>
      </c>
      <c r="BR44" s="23">
        <f>EXP(-LN(2)/2)*BR43+(1-EXP(-LN(2)/2))/(LN(2)/2)*BL44*BO44*VLOOKUP('Données projet'!$B$11,Paramètres!$A$1:$I$89,3,0)*0.475*44/12</f>
        <v>0.14009466804126963</v>
      </c>
      <c r="BS44" s="24">
        <f t="shared" si="9"/>
        <v>20.30483627584638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11.861538461538462</v>
      </c>
      <c r="N45" s="14">
        <f>IF('Données projet'!$A$36&gt;35,N44+M45-V44,IF(A45&lt;'Données projet'!$A$36,$K$205^A45,IF(A45='Données projet'!$A$36,'Données projet'!$B$36,N44+M45-V44)))</f>
        <v>196.19230769230771</v>
      </c>
      <c r="O45" s="14">
        <f>N45*VLOOKUP('Données projet'!$B$9,Paramètres!$A$1:$I$89,3,0)*VLOOKUP('Données projet'!$B$9,Paramètres!$A$1:$I$89,5,0)</f>
        <v>117.32300000000002</v>
      </c>
      <c r="P45" s="14">
        <f t="shared" si="33"/>
        <v>31.049815552357138</v>
      </c>
      <c r="Q45" s="22">
        <f t="shared" si="53"/>
        <v>258.41598708702207</v>
      </c>
      <c r="R45" s="62">
        <f t="shared" si="0"/>
        <v>551.74932042035539</v>
      </c>
      <c r="S45" s="62">
        <f ca="1">AVERAGE(OFFSET($R$3,0,0,'Données projet'!$E$9+1,1))-AVERAGE(OFFSET($H$3,0,0,'Données projet'!$E$9+1,1))</f>
        <v>287.05726996114242</v>
      </c>
      <c r="T45" s="62">
        <f t="shared" si="34"/>
        <v>229.06617320689003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9.4498213586411506</v>
      </c>
      <c r="AB45" s="23">
        <f>EXP(-LN(2)/2)*AB44+(1-EXP(-LN(2)/2))/(LN(2)/2)*V45*Y45*VLOOKUP('Données projet'!$B$9,Paramètres!$A$1:$I$89,3,0)*0.475*44/12</f>
        <v>8.223233401945991E-2</v>
      </c>
      <c r="AC45" s="24">
        <f t="shared" si="3"/>
        <v>9.532053692660611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6.2820512820512819</v>
      </c>
      <c r="AI45" s="14">
        <f>IF('Données projet'!$A$62&gt;35,AI44+AH45-AQ44,IF(A45&lt;'Données projet'!$A$62,$AF$205^A45,IF(A45='Données projet'!$A$62,'Données projet'!$B$62,AI44+AH45-AQ44)))</f>
        <v>154.23076923076923</v>
      </c>
      <c r="AJ45" s="14">
        <f>AI45*VLOOKUP('Données projet'!$B$10,Paramètres!$A$1:$I$89,3,0)*VLOOKUP('Données projet'!$B$10,Paramètres!$A$1:$I$89,5,0)</f>
        <v>161.20200000000003</v>
      </c>
      <c r="AK45" s="14">
        <f t="shared" si="35"/>
        <v>41.113511653265036</v>
      </c>
      <c r="AL45" s="22">
        <f t="shared" si="4"/>
        <v>352.36618279610326</v>
      </c>
      <c r="AM45" s="62">
        <f t="shared" si="5"/>
        <v>645.69951612943657</v>
      </c>
      <c r="AN45" s="62">
        <f ca="1">AVERAGE(OFFSET($AM$3,0,0,'Données projet'!$E$10+1,1))-AVERAGE(OFFSET($H$3,0,0,'Données projet'!$E$10+1,1))</f>
        <v>493.70175665335978</v>
      </c>
      <c r="AO45" s="62">
        <f t="shared" si="36"/>
        <v>325.12357781685949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13.141346153846158</v>
      </c>
      <c r="BD45" s="13">
        <f>IF('Données projet'!$A$88&gt;35,BD44+BC45-BL44,IF(A45&lt;'Données projet'!$A$88,$BA$205^A45,IF(A45='Données projet'!$A$88,'Données projet'!$B$88,BD44+BC45-BL44)))</f>
        <v>276.87115384615379</v>
      </c>
      <c r="BE45" s="14">
        <f>BD45*VLOOKUP('Données projet'!$B$11,Paramètres!$A$1:$I$89,3,0)*VLOOKUP('Données projet'!$B$11,Paramètres!$A$1:$I$89,5,0)</f>
        <v>165.56894999999997</v>
      </c>
      <c r="BF45" s="14">
        <f t="shared" si="37"/>
        <v>42.096095514085818</v>
      </c>
      <c r="BG45" s="22">
        <f t="shared" si="7"/>
        <v>361.6832876036994</v>
      </c>
      <c r="BH45" s="62">
        <f t="shared" si="8"/>
        <v>655.01662093703271</v>
      </c>
      <c r="BI45" s="62">
        <f ca="1">AVERAGE(OFFSET($BH$3,0,0,'Données projet'!$E$11+1,1))-AVERAGE(OFFSET($H$3,0,0,'Données projet'!$E$11+1,1))</f>
        <v>260.02504691866199</v>
      </c>
      <c r="BJ45" s="62">
        <f t="shared" si="38"/>
        <v>270.11268336406368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7.8913302727503671</v>
      </c>
      <c r="BQ45" s="23">
        <f>EXP(-LN(2)/25)*BQ44+(1-EXP(-LN(2)/25))/(LN(2)/25)*Calculateur!BL45*Calculateur!BN45*VLOOKUP('Données projet'!$B$11,Paramètres!$A$1:$I$89,3,0)*0.475*44/12</f>
        <v>11.784271074858827</v>
      </c>
      <c r="BR45" s="23">
        <f>EXP(-LN(2)/2)*BR44+(1-EXP(-LN(2)/2))/(LN(2)/2)*BL45*BO45*VLOOKUP('Données projet'!$B$11,Paramètres!$A$1:$I$89,3,0)*0.475*44/12</f>
        <v>9.9061889780060058E-2</v>
      </c>
      <c r="BS45" s="24">
        <f t="shared" si="9"/>
        <v>19.774663237389255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11.861538461538462</v>
      </c>
      <c r="N46" s="14">
        <f>IF('Données projet'!$A$36&gt;35,N45+M46-V45,IF(A46&lt;'Données projet'!$A$36,$K$205^A46,IF(A46='Données projet'!$A$36,'Données projet'!$B$36,N45+M46-V45)))</f>
        <v>208.05384615384617</v>
      </c>
      <c r="O46" s="14">
        <f>N46*VLOOKUP('Données projet'!$B$9,Paramètres!$A$1:$I$89,3,0)*VLOOKUP('Données projet'!$B$9,Paramètres!$A$1:$I$89,5,0)</f>
        <v>124.41620000000002</v>
      </c>
      <c r="P46" s="14">
        <f t="shared" si="33"/>
        <v>32.702828934083335</v>
      </c>
      <c r="Q46" s="22">
        <f t="shared" si="53"/>
        <v>273.64897539352847</v>
      </c>
      <c r="R46" s="62">
        <f t="shared" si="0"/>
        <v>566.98230872686179</v>
      </c>
      <c r="S46" s="62">
        <f ca="1">AVERAGE(OFFSET($R$3,0,0,'Données projet'!$E$9+1,1))-AVERAGE(OFFSET($H$3,0,0,'Données projet'!$E$9+1,1))</f>
        <v>287.05726996114242</v>
      </c>
      <c r="T46" s="62">
        <f t="shared" si="34"/>
        <v>229.06617320689003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9.1914154966446002</v>
      </c>
      <c r="AB46" s="23">
        <f>EXP(-LN(2)/2)*AB45+(1-EXP(-LN(2)/2))/(LN(2)/2)*V46*Y46*VLOOKUP('Données projet'!$B$9,Paramètres!$A$1:$I$89,3,0)*0.475*44/12</f>
        <v>5.8147041017957334E-2</v>
      </c>
      <c r="AC46" s="24">
        <f t="shared" si="3"/>
        <v>9.2495625376625572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6.2820512820512819</v>
      </c>
      <c r="AI46" s="14">
        <f>IF('Données projet'!$A$62&gt;35,AI45+AH46-AQ45,IF(A46&lt;'Données projet'!$A$62,$AF$205^A46,IF(A46='Données projet'!$A$62,'Données projet'!$B$62,AI45+AH46-AQ45)))</f>
        <v>160.5128205128205</v>
      </c>
      <c r="AJ46" s="14">
        <f>AI46*VLOOKUP('Données projet'!$B$10,Paramètres!$A$1:$I$89,3,0)*VLOOKUP('Données projet'!$B$10,Paramètres!$A$1:$I$89,5,0)</f>
        <v>167.768</v>
      </c>
      <c r="AK46" s="14">
        <f t="shared" si="35"/>
        <v>42.589745970134487</v>
      </c>
      <c r="AL46" s="22">
        <f t="shared" si="4"/>
        <v>366.37307423131756</v>
      </c>
      <c r="AM46" s="62">
        <f t="shared" si="5"/>
        <v>659.70640756465082</v>
      </c>
      <c r="AN46" s="62">
        <f ca="1">AVERAGE(OFFSET($AM$3,0,0,'Données projet'!$E$10+1,1))-AVERAGE(OFFSET($H$3,0,0,'Données projet'!$E$10+1,1))</f>
        <v>493.70175665335978</v>
      </c>
      <c r="AO46" s="62">
        <f t="shared" si="36"/>
        <v>325.12357781685949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13.141346153846158</v>
      </c>
      <c r="BD46" s="13">
        <f>IF('Données projet'!$A$88&gt;35,BD45+BC46-BL45,IF(A46&lt;'Données projet'!$A$88,$BA$205^A46,IF(A46='Données projet'!$A$88,'Données projet'!$B$88,BD45+BC46-BL45)))</f>
        <v>290.01249999999993</v>
      </c>
      <c r="BE46" s="14">
        <f>BD46*VLOOKUP('Données projet'!$B$11,Paramètres!$A$1:$I$89,3,0)*VLOOKUP('Données projet'!$B$11,Paramètres!$A$1:$I$89,5,0)</f>
        <v>173.42747499999999</v>
      </c>
      <c r="BF46" s="14">
        <f t="shared" si="37"/>
        <v>43.856769901180428</v>
      </c>
      <c r="BG46" s="22">
        <f t="shared" si="7"/>
        <v>378.43672653622252</v>
      </c>
      <c r="BH46" s="62">
        <f t="shared" si="8"/>
        <v>671.77005986955578</v>
      </c>
      <c r="BI46" s="62">
        <f ca="1">AVERAGE(OFFSET($BH$3,0,0,'Données projet'!$E$11+1,1))-AVERAGE(OFFSET($H$3,0,0,'Données projet'!$E$11+1,1))</f>
        <v>260.02504691866199</v>
      </c>
      <c r="BJ46" s="62">
        <f t="shared" si="38"/>
        <v>270.11268336406368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7.7365860993379316</v>
      </c>
      <c r="BQ46" s="23">
        <f>EXP(-LN(2)/25)*BQ45+(1-EXP(-LN(2)/25))/(LN(2)/25)*Calculateur!BL46*Calculateur!BN46*VLOOKUP('Données projet'!$B$11,Paramètres!$A$1:$I$89,3,0)*0.475*44/12</f>
        <v>11.462029562608929</v>
      </c>
      <c r="BR46" s="23">
        <f>EXP(-LN(2)/2)*BR45+(1-EXP(-LN(2)/2))/(LN(2)/2)*BL46*BO46*VLOOKUP('Données projet'!$B$11,Paramètres!$A$1:$I$89,3,0)*0.475*44/12</f>
        <v>7.0047334020634816E-2</v>
      </c>
      <c r="BS46" s="24">
        <f t="shared" si="9"/>
        <v>19.268662995967496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11.861538461538462</v>
      </c>
      <c r="N47" s="14">
        <f>IF('Données projet'!$A$36&gt;35,N46+M47-V46,IF(A47&lt;'Données projet'!$A$36,$K$205^A47,IF(A47='Données projet'!$A$36,'Données projet'!$B$36,N46+M47-V46)))</f>
        <v>219.91538461538462</v>
      </c>
      <c r="O47" s="14">
        <f>N47*VLOOKUP('Données projet'!$B$9,Paramètres!$A$1:$I$89,3,0)*VLOOKUP('Données projet'!$B$9,Paramètres!$A$1:$I$89,5,0)</f>
        <v>131.50940000000003</v>
      </c>
      <c r="P47" s="14">
        <f t="shared" si="33"/>
        <v>34.344902681781598</v>
      </c>
      <c r="Q47" s="22">
        <f t="shared" si="53"/>
        <v>288.86291050410301</v>
      </c>
      <c r="R47" s="62">
        <f t="shared" si="0"/>
        <v>582.19624383743633</v>
      </c>
      <c r="S47" s="62">
        <f ca="1">AVERAGE(OFFSET($R$3,0,0,'Données projet'!$E$9+1,1))-AVERAGE(OFFSET($H$3,0,0,'Données projet'!$E$9+1,1))</f>
        <v>287.05726996114242</v>
      </c>
      <c r="T47" s="62">
        <f t="shared" si="34"/>
        <v>229.06617320689003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8.9400757565333198</v>
      </c>
      <c r="AB47" s="23">
        <f>EXP(-LN(2)/2)*AB46+(1-EXP(-LN(2)/2))/(LN(2)/2)*V47*Y47*VLOOKUP('Données projet'!$B$9,Paramètres!$A$1:$I$89,3,0)*0.475*44/12</f>
        <v>4.1116167009729962E-2</v>
      </c>
      <c r="AC47" s="24">
        <f t="shared" si="3"/>
        <v>8.9811919235430491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6.2820512820512819</v>
      </c>
      <c r="AI47" s="14">
        <f>IF('Données projet'!$A$62&gt;35,AI46+AH47-AQ46,IF(A47&lt;'Données projet'!$A$62,$AF$205^A47,IF(A47='Données projet'!$A$62,'Données projet'!$B$62,AI46+AH47-AQ46)))</f>
        <v>166.79487179487177</v>
      </c>
      <c r="AJ47" s="14">
        <f>AI47*VLOOKUP('Données projet'!$B$10,Paramètres!$A$1:$I$89,3,0)*VLOOKUP('Données projet'!$B$10,Paramètres!$A$1:$I$89,5,0)</f>
        <v>174.334</v>
      </c>
      <c r="AK47" s="14">
        <f t="shared" si="35"/>
        <v>44.059268652696204</v>
      </c>
      <c r="AL47" s="22">
        <f t="shared" si="4"/>
        <v>380.3682762367792</v>
      </c>
      <c r="AM47" s="62">
        <f t="shared" si="5"/>
        <v>673.70160957011251</v>
      </c>
      <c r="AN47" s="62">
        <f ca="1">AVERAGE(OFFSET($AM$3,0,0,'Données projet'!$E$10+1,1))-AVERAGE(OFFSET($H$3,0,0,'Données projet'!$E$10+1,1))</f>
        <v>493.70175665335978</v>
      </c>
      <c r="AO47" s="62">
        <f t="shared" si="36"/>
        <v>325.12357781685949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303.15384615384619</v>
      </c>
      <c r="BB47" s="13">
        <f>VLOOKUP(A47,'Données projet'!$A$87:$I$107,9,0)</f>
        <v>13.141346153846158</v>
      </c>
      <c r="BC47" s="13">
        <f t="array" ref="BC47">INDEX(BB:BB,MIN(IF(ISNUMBER(BB47:BB243),ROW(BB47:BB243),"")))</f>
        <v>13.141346153846158</v>
      </c>
      <c r="BD47" s="13">
        <f>IF('Données projet'!$A$88&gt;35,BD46+BC47-BL46,IF(A47&lt;'Données projet'!$A$88,$BA$205^A47,IF(A47='Données projet'!$A$88,'Données projet'!$B$88,BD46+BC47-BL46)))</f>
        <v>303.15384615384608</v>
      </c>
      <c r="BE47" s="14">
        <f>BD47*VLOOKUP('Données projet'!$B$11,Paramètres!$A$1:$I$89,3,0)*VLOOKUP('Données projet'!$B$11,Paramètres!$A$1:$I$89,5,0)</f>
        <v>181.28599999999997</v>
      </c>
      <c r="BF47" s="14">
        <f t="shared" si="37"/>
        <v>45.608178821536583</v>
      </c>
      <c r="BG47" s="22">
        <f t="shared" si="7"/>
        <v>395.17402811417611</v>
      </c>
      <c r="BH47" s="62">
        <f t="shared" si="8"/>
        <v>688.50736144750942</v>
      </c>
      <c r="BI47" s="62">
        <f ca="1">AVERAGE(OFFSET($BH$3,0,0,'Données projet'!$E$11+1,1))-AVERAGE(OFFSET($H$3,0,0,'Données projet'!$E$11+1,1))</f>
        <v>260.02504691866199</v>
      </c>
      <c r="BJ47" s="62">
        <f t="shared" si="38"/>
        <v>270.11268336406368</v>
      </c>
      <c r="BK47" s="16">
        <f>IF(ISNA(VLOOKUP(A47,'Données projet'!$A$87:$I$107,3,0)),0,VLOOKUP(A47,'Données projet'!$A$87:$I$107,3,0))</f>
        <v>5</v>
      </c>
      <c r="BL47" s="16">
        <f>IF(ISNA(VLOOKUP(A47,'Données projet'!$A$87:$I$107,4,0)),0,VLOOKUP(A47,'Données projet'!$A$87:$I$107,4,0))</f>
        <v>64.476923076923114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7.5848763647814872</v>
      </c>
      <c r="BQ47" s="23">
        <f>EXP(-LN(2)/25)*BQ46+(1-EXP(-LN(2)/25))/(LN(2)/25)*Calculateur!BL47*Calculateur!BN47*VLOOKUP('Données projet'!$B$11,Paramètres!$A$1:$I$89,3,0)*0.475*44/12</f>
        <v>11.148599761457451</v>
      </c>
      <c r="BR47" s="23">
        <f>EXP(-LN(2)/2)*BR46+(1-EXP(-LN(2)/2))/(LN(2)/2)*BL47*BO47*VLOOKUP('Données projet'!$B$11,Paramètres!$A$1:$I$89,3,0)*0.475*44/12</f>
        <v>4.9530944890030029E-2</v>
      </c>
      <c r="BS47" s="24">
        <f t="shared" si="9"/>
        <v>18.783007071128967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11.861538461538462</v>
      </c>
      <c r="N48" s="14">
        <f>IF('Données projet'!$A$36&gt;35,N47+M48-V47,IF(A48&lt;'Données projet'!$A$36,$K$205^A48,IF(A48='Données projet'!$A$36,'Données projet'!$B$36,N47+M48-V47)))</f>
        <v>231.77692307692308</v>
      </c>
      <c r="O48" s="14">
        <f>N48*VLOOKUP('Données projet'!$B$9,Paramètres!$A$1:$I$89,3,0)*VLOOKUP('Données projet'!$B$9,Paramètres!$A$1:$I$89,5,0)</f>
        <v>138.60260000000002</v>
      </c>
      <c r="P48" s="14">
        <f t="shared" si="33"/>
        <v>35.976694116938233</v>
      </c>
      <c r="Q48" s="22">
        <f t="shared" si="53"/>
        <v>304.05893725366747</v>
      </c>
      <c r="R48" s="62">
        <f t="shared" si="0"/>
        <v>597.39227058700078</v>
      </c>
      <c r="S48" s="62">
        <f ca="1">AVERAGE(OFFSET($R$3,0,0,'Données projet'!$E$9+1,1))-AVERAGE(OFFSET($H$3,0,0,'Données projet'!$E$9+1,1))</f>
        <v>287.05726996114242</v>
      </c>
      <c r="T48" s="62">
        <f t="shared" si="34"/>
        <v>229.06617320689003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8.6956089148327642</v>
      </c>
      <c r="AB48" s="23">
        <f>EXP(-LN(2)/2)*AB47+(1-EXP(-LN(2)/2))/(LN(2)/2)*V48*Y48*VLOOKUP('Données projet'!$B$9,Paramètres!$A$1:$I$89,3,0)*0.475*44/12</f>
        <v>2.907352050897867E-2</v>
      </c>
      <c r="AC48" s="24">
        <f t="shared" si="3"/>
        <v>8.7246824353417427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173.07692307692307</v>
      </c>
      <c r="AG48" s="13">
        <f>VLOOKUP(A48,'Données projet'!$A$61:$I$81,9,0)</f>
        <v>6.2820512820512819</v>
      </c>
      <c r="AH48" s="13">
        <f t="array" ref="AH48">INDEX(AG:AG,MIN(IF(ISNUMBER(AG48:AG244),ROW(AG48:AG244),"")))</f>
        <v>6.2820512820512819</v>
      </c>
      <c r="AI48" s="14">
        <f>IF('Données projet'!$A$62&gt;35,AI47+AH48-AQ47,IF(A48&lt;'Données projet'!$A$62,$AF$205^A48,IF(A48='Données projet'!$A$62,'Données projet'!$B$62,AI47+AH48-AQ47)))</f>
        <v>173.07692307692304</v>
      </c>
      <c r="AJ48" s="14">
        <f>AI48*VLOOKUP('Données projet'!$B$10,Paramètres!$A$1:$I$89,3,0)*VLOOKUP('Données projet'!$B$10,Paramètres!$A$1:$I$89,5,0)</f>
        <v>180.89999999999998</v>
      </c>
      <c r="AK48" s="14">
        <f t="shared" si="35"/>
        <v>45.522361425254346</v>
      </c>
      <c r="AL48" s="22">
        <f t="shared" si="4"/>
        <v>394.35227948231795</v>
      </c>
      <c r="AM48" s="62">
        <f t="shared" si="5"/>
        <v>687.68561281565121</v>
      </c>
      <c r="AN48" s="62">
        <f ca="1">AVERAGE(OFFSET($AM$3,0,0,'Données projet'!$E$10+1,1))-AVERAGE(OFFSET($H$3,0,0,'Données projet'!$E$10+1,1))</f>
        <v>493.70175665335978</v>
      </c>
      <c r="AO48" s="62">
        <f t="shared" si="36"/>
        <v>325.12357781685949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11.611538461538466</v>
      </c>
      <c r="BD48" s="13">
        <f>IF('Données projet'!$A$88&gt;35,BD47+BC48-BL47,IF(A48&lt;'Données projet'!$A$88,$BA$205^A48,IF(A48='Données projet'!$A$88,'Données projet'!$B$88,BD47+BC48-BL47)))</f>
        <v>250.28846153846143</v>
      </c>
      <c r="BE48" s="14">
        <f>BD48*VLOOKUP('Données projet'!$B$11,Paramètres!$A$1:$I$89,3,0)*VLOOKUP('Données projet'!$B$11,Paramètres!$A$1:$I$89,5,0)</f>
        <v>149.67249999999996</v>
      </c>
      <c r="BF48" s="14">
        <f t="shared" si="37"/>
        <v>38.504150605716987</v>
      </c>
      <c r="BG48" s="22">
        <f t="shared" si="7"/>
        <v>327.74099980495697</v>
      </c>
      <c r="BH48" s="62">
        <f t="shared" si="8"/>
        <v>621.07433313829029</v>
      </c>
      <c r="BI48" s="62">
        <f ca="1">AVERAGE(OFFSET($BH$3,0,0,'Données projet'!$E$11+1,1))-AVERAGE(OFFSET($H$3,0,0,'Données projet'!$E$11+1,1))</f>
        <v>260.02504691866199</v>
      </c>
      <c r="BJ48" s="62">
        <f t="shared" si="38"/>
        <v>270.11268336406368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7.4361415655858938</v>
      </c>
      <c r="BQ48" s="23">
        <f>EXP(-LN(2)/25)*BQ47+(1-EXP(-LN(2)/25))/(LN(2)/25)*Calculateur!BL48*Calculateur!BN48*VLOOKUP('Données projet'!$B$11,Paramètres!$A$1:$I$89,3,0)*0.475*44/12</f>
        <v>10.843740714701015</v>
      </c>
      <c r="BR48" s="23">
        <f>EXP(-LN(2)/2)*BR47+(1-EXP(-LN(2)/2))/(LN(2)/2)*BL48*BO48*VLOOKUP('Données projet'!$B$11,Paramètres!$A$1:$I$89,3,0)*0.475*44/12</f>
        <v>3.5023667010317408E-2</v>
      </c>
      <c r="BS48" s="24">
        <f t="shared" si="9"/>
        <v>18.314905947297227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11.861538461538462</v>
      </c>
      <c r="N49" s="14">
        <f>IF('Données projet'!$A$36&gt;35,N48+M49-V48,IF(A49&lt;'Données projet'!$A$36,$K$205^A49,IF(A49='Données projet'!$A$36,'Données projet'!$B$36,N48+M49-V48)))</f>
        <v>243.63846153846154</v>
      </c>
      <c r="O49" s="14">
        <f>N49*VLOOKUP('Données projet'!$B$9,Paramètres!$A$1:$I$89,3,0)*VLOOKUP('Données projet'!$B$9,Paramètres!$A$1:$I$89,5,0)</f>
        <v>145.69580000000002</v>
      </c>
      <c r="P49" s="14">
        <f t="shared" si="33"/>
        <v>37.598789481990465</v>
      </c>
      <c r="Q49" s="22">
        <f t="shared" si="53"/>
        <v>319.23807668113341</v>
      </c>
      <c r="R49" s="62">
        <f t="shared" si="0"/>
        <v>612.57141001446666</v>
      </c>
      <c r="S49" s="62">
        <f ca="1">AVERAGE(OFFSET($R$3,0,0,'Données projet'!$E$9+1,1))-AVERAGE(OFFSET($H$3,0,0,'Données projet'!$E$9+1,1))</f>
        <v>287.05726996114242</v>
      </c>
      <c r="T49" s="62">
        <f t="shared" si="34"/>
        <v>229.06617320689003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8.4578270317744639</v>
      </c>
      <c r="AB49" s="23">
        <f>EXP(-LN(2)/2)*AB48+(1-EXP(-LN(2)/2))/(LN(2)/2)*V49*Y49*VLOOKUP('Données projet'!$B$9,Paramètres!$A$1:$I$89,3,0)*0.475*44/12</f>
        <v>2.0558083504864984E-2</v>
      </c>
      <c r="AC49" s="24">
        <f t="shared" si="3"/>
        <v>8.4783851152793286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6.0256410256410273</v>
      </c>
      <c r="AI49" s="14">
        <f>IF('Données projet'!$A$62&gt;35,AI48+AH49-AQ48,IF(A49&lt;'Données projet'!$A$62,$AF$205^A49,IF(A49='Données projet'!$A$62,'Données projet'!$B$62,AI48+AH49-AQ48)))</f>
        <v>179.10256410256406</v>
      </c>
      <c r="AJ49" s="14">
        <f>AI49*VLOOKUP('Données projet'!$B$10,Paramètres!$A$1:$I$89,3,0)*VLOOKUP('Données projet'!$B$10,Paramètres!$A$1:$I$89,5,0)</f>
        <v>187.19799999999998</v>
      </c>
      <c r="AK49" s="14">
        <f t="shared" si="35"/>
        <v>46.919935793880072</v>
      </c>
      <c r="AL49" s="22">
        <f t="shared" si="4"/>
        <v>407.75540484100776</v>
      </c>
      <c r="AM49" s="62">
        <f t="shared" si="5"/>
        <v>701.08873817434107</v>
      </c>
      <c r="AN49" s="62">
        <f ca="1">AVERAGE(OFFSET($AM$3,0,0,'Données projet'!$E$10+1,1))-AVERAGE(OFFSET($H$3,0,0,'Données projet'!$E$10+1,1))</f>
        <v>493.70175665335978</v>
      </c>
      <c r="AO49" s="62">
        <f t="shared" si="36"/>
        <v>325.12357781685949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11.611538461538466</v>
      </c>
      <c r="BD49" s="13">
        <f>IF('Données projet'!$A$88&gt;35,BD48+BC49-BL48,IF(A49&lt;'Données projet'!$A$88,$BA$205^A49,IF(A49='Données projet'!$A$88,'Données projet'!$B$88,BD48+BC49-BL48)))</f>
        <v>261.89999999999992</v>
      </c>
      <c r="BE49" s="14">
        <f>BD49*VLOOKUP('Données projet'!$B$11,Paramètres!$A$1:$I$89,3,0)*VLOOKUP('Données projet'!$B$11,Paramètres!$A$1:$I$89,5,0)</f>
        <v>156.61619999999996</v>
      </c>
      <c r="BF49" s="14">
        <f t="shared" si="37"/>
        <v>40.07834297246675</v>
      </c>
      <c r="BG49" s="22">
        <f t="shared" si="7"/>
        <v>342.57632901037942</v>
      </c>
      <c r="BH49" s="62">
        <f t="shared" si="8"/>
        <v>635.90966234371274</v>
      </c>
      <c r="BI49" s="62">
        <f ca="1">AVERAGE(OFFSET($BH$3,0,0,'Données projet'!$E$11+1,1))-AVERAGE(OFFSET($H$3,0,0,'Données projet'!$E$11+1,1))</f>
        <v>260.02504691866199</v>
      </c>
      <c r="BJ49" s="62">
        <f t="shared" si="38"/>
        <v>270.11268336406368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7.290323365083256</v>
      </c>
      <c r="BQ49" s="23">
        <f>EXP(-LN(2)/25)*BQ48+(1-EXP(-LN(2)/25))/(LN(2)/25)*Calculateur!BL49*Calculateur!BN49*VLOOKUP('Données projet'!$B$11,Paramètres!$A$1:$I$89,3,0)*0.475*44/12</f>
        <v>10.547218054609976</v>
      </c>
      <c r="BR49" s="23">
        <f>EXP(-LN(2)/2)*BR48+(1-EXP(-LN(2)/2))/(LN(2)/2)*BL49*BO49*VLOOKUP('Données projet'!$B$11,Paramètres!$A$1:$I$89,3,0)*0.475*44/12</f>
        <v>2.4765472445015015E-2</v>
      </c>
      <c r="BS49" s="24">
        <f t="shared" si="9"/>
        <v>17.862306892138246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11.861538461538462</v>
      </c>
      <c r="N50" s="14">
        <f>IF('Données projet'!$A$36&gt;35,N49+M50-V49,IF(A50&lt;'Données projet'!$A$36,$K$205^A50,IF(A50='Données projet'!$A$36,'Données projet'!$B$36,N49+M50-V49)))</f>
        <v>255.5</v>
      </c>
      <c r="O50" s="14">
        <f>N50*VLOOKUP('Données projet'!$B$9,Paramètres!$A$1:$I$89,3,0)*VLOOKUP('Données projet'!$B$9,Paramètres!$A$1:$I$89,5,0)</f>
        <v>152.78900000000002</v>
      </c>
      <c r="P50" s="14">
        <f t="shared" si="33"/>
        <v>39.211714711932316</v>
      </c>
      <c r="Q50" s="22">
        <f t="shared" si="53"/>
        <v>334.40124478994881</v>
      </c>
      <c r="R50" s="62">
        <f t="shared" si="0"/>
        <v>627.73457812328206</v>
      </c>
      <c r="S50" s="62">
        <f ca="1">AVERAGE(OFFSET($R$3,0,0,'Données projet'!$E$9+1,1))-AVERAGE(OFFSET($H$3,0,0,'Données projet'!$E$9+1,1))</f>
        <v>287.05726996114242</v>
      </c>
      <c r="T50" s="62">
        <f t="shared" si="34"/>
        <v>229.06617320689003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8.2265473068127974</v>
      </c>
      <c r="AB50" s="23">
        <f>EXP(-LN(2)/2)*AB49+(1-EXP(-LN(2)/2))/(LN(2)/2)*V50*Y50*VLOOKUP('Données projet'!$B$9,Paramètres!$A$1:$I$89,3,0)*0.475*44/12</f>
        <v>1.4536760254489337E-2</v>
      </c>
      <c r="AC50" s="24">
        <f t="shared" si="3"/>
        <v>8.2410840670672876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6.0256410256410273</v>
      </c>
      <c r="AI50" s="14">
        <f>IF('Données projet'!$A$62&gt;35,AI49+AH50-AQ49,IF(A50&lt;'Données projet'!$A$62,$AF$205^A50,IF(A50='Données projet'!$A$62,'Données projet'!$B$62,AI49+AH50-AQ49)))</f>
        <v>185.12820512820508</v>
      </c>
      <c r="AJ50" s="14">
        <f>AI50*VLOOKUP('Données projet'!$B$10,Paramètres!$A$1:$I$89,3,0)*VLOOKUP('Données projet'!$B$10,Paramètres!$A$1:$I$89,5,0)</f>
        <v>193.49599999999998</v>
      </c>
      <c r="AK50" s="14">
        <f t="shared" si="35"/>
        <v>48.312046726948296</v>
      </c>
      <c r="AL50" s="22">
        <f t="shared" si="4"/>
        <v>421.14901471610159</v>
      </c>
      <c r="AM50" s="62">
        <f t="shared" si="5"/>
        <v>714.4823480494349</v>
      </c>
      <c r="AN50" s="62">
        <f ca="1">AVERAGE(OFFSET($AM$3,0,0,'Données projet'!$E$10+1,1))-AVERAGE(OFFSET($H$3,0,0,'Données projet'!$E$10+1,1))</f>
        <v>493.70175665335978</v>
      </c>
      <c r="AO50" s="62">
        <f t="shared" si="36"/>
        <v>325.12357781685949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11.611538461538466</v>
      </c>
      <c r="BD50" s="13">
        <f>IF('Données projet'!$A$88&gt;35,BD49+BC50-BL49,IF(A50&lt;'Données projet'!$A$88,$BA$205^A50,IF(A50='Données projet'!$A$88,'Données projet'!$B$88,BD49+BC50-BL49)))</f>
        <v>273.51153846153841</v>
      </c>
      <c r="BE50" s="14">
        <f>BD50*VLOOKUP('Données projet'!$B$11,Paramètres!$A$1:$I$89,3,0)*VLOOKUP('Données projet'!$B$11,Paramètres!$A$1:$I$89,5,0)</f>
        <v>163.55989999999997</v>
      </c>
      <c r="BF50" s="14">
        <f t="shared" si="37"/>
        <v>41.644429552500291</v>
      </c>
      <c r="BG50" s="22">
        <f t="shared" si="7"/>
        <v>357.39754063727128</v>
      </c>
      <c r="BH50" s="62">
        <f t="shared" si="8"/>
        <v>650.73087397060453</v>
      </c>
      <c r="BI50" s="62">
        <f ca="1">AVERAGE(OFFSET($BH$3,0,0,'Données projet'!$E$11+1,1))-AVERAGE(OFFSET($H$3,0,0,'Données projet'!$E$11+1,1))</f>
        <v>260.02504691866199</v>
      </c>
      <c r="BJ50" s="62">
        <f t="shared" si="38"/>
        <v>270.11268336406368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7.1473645705521553</v>
      </c>
      <c r="BQ50" s="23">
        <f>EXP(-LN(2)/25)*BQ49+(1-EXP(-LN(2)/25))/(LN(2)/25)*Calculateur!BL50*Calculateur!BN50*VLOOKUP('Données projet'!$B$11,Paramètres!$A$1:$I$89,3,0)*0.475*44/12</f>
        <v>10.258803822252574</v>
      </c>
      <c r="BR50" s="23">
        <f>EXP(-LN(2)/2)*BR49+(1-EXP(-LN(2)/2))/(LN(2)/2)*BL50*BO50*VLOOKUP('Données projet'!$B$11,Paramètres!$A$1:$I$89,3,0)*0.475*44/12</f>
        <v>1.7511833505158704E-2</v>
      </c>
      <c r="BS50" s="24">
        <f t="shared" si="9"/>
        <v>17.423680226309887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11.861538461538462</v>
      </c>
      <c r="N51" s="14">
        <f>IF('Données projet'!$A$36&gt;35,N50+M51-V50,IF(A51&lt;'Données projet'!$A$36,$K$205^A51,IF(A51='Données projet'!$A$36,'Données projet'!$B$36,N50+M51-V50)))</f>
        <v>267.36153846153849</v>
      </c>
      <c r="O51" s="14">
        <f>N51*VLOOKUP('Données projet'!$B$9,Paramètres!$A$1:$I$89,3,0)*VLOOKUP('Données projet'!$B$9,Paramètres!$A$1:$I$89,5,0)</f>
        <v>159.88220000000001</v>
      </c>
      <c r="P51" s="14">
        <f t="shared" si="33"/>
        <v>40.815944149041762</v>
      </c>
      <c r="Q51" s="22">
        <f t="shared" si="53"/>
        <v>349.54926772624776</v>
      </c>
      <c r="R51" s="62">
        <f t="shared" si="0"/>
        <v>642.88260105958102</v>
      </c>
      <c r="S51" s="62">
        <f ca="1">AVERAGE(OFFSET($R$3,0,0,'Données projet'!$E$9+1,1))-AVERAGE(OFFSET($H$3,0,0,'Données projet'!$E$9+1,1))</f>
        <v>287.05726996114242</v>
      </c>
      <c r="T51" s="62">
        <f t="shared" si="34"/>
        <v>229.06617320689003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8.0015919380926803</v>
      </c>
      <c r="AB51" s="23">
        <f>EXP(-LN(2)/2)*AB50+(1-EXP(-LN(2)/2))/(LN(2)/2)*V51*Y51*VLOOKUP('Données projet'!$B$9,Paramètres!$A$1:$I$89,3,0)*0.475*44/12</f>
        <v>1.0279041752432494E-2</v>
      </c>
      <c r="AC51" s="24">
        <f t="shared" si="3"/>
        <v>8.0118709798451135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6.0256410256410273</v>
      </c>
      <c r="AI51" s="14">
        <f>IF('Données projet'!$A$62&gt;35,AI50+AH51-AQ50,IF(A51&lt;'Données projet'!$A$62,$AF$205^A51,IF(A51='Données projet'!$A$62,'Données projet'!$B$62,AI50+AH51-AQ50)))</f>
        <v>191.1538461538461</v>
      </c>
      <c r="AJ51" s="14">
        <f>AI51*VLOOKUP('Données projet'!$B$10,Paramètres!$A$1:$I$89,3,0)*VLOOKUP('Données projet'!$B$10,Paramètres!$A$1:$I$89,5,0)</f>
        <v>199.79399999999995</v>
      </c>
      <c r="AK51" s="14">
        <f t="shared" si="35"/>
        <v>49.698892445432982</v>
      </c>
      <c r="AL51" s="22">
        <f t="shared" si="4"/>
        <v>434.53345434246239</v>
      </c>
      <c r="AM51" s="62">
        <f t="shared" si="5"/>
        <v>727.86678767579565</v>
      </c>
      <c r="AN51" s="62">
        <f ca="1">AVERAGE(OFFSET($AM$3,0,0,'Données projet'!$E$10+1,1))-AVERAGE(OFFSET($H$3,0,0,'Données projet'!$E$10+1,1))</f>
        <v>493.70175665335978</v>
      </c>
      <c r="AO51" s="62">
        <f t="shared" si="36"/>
        <v>325.12357781685949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11.611538461538466</v>
      </c>
      <c r="BD51" s="13">
        <f>IF('Données projet'!$A$88&gt;35,BD50+BC51-BL50,IF(A51&lt;'Données projet'!$A$88,$BA$205^A51,IF(A51='Données projet'!$A$88,'Données projet'!$B$88,BD50+BC51-BL50)))</f>
        <v>285.12307692307689</v>
      </c>
      <c r="BE51" s="14">
        <f>BD51*VLOOKUP('Données projet'!$B$11,Paramètres!$A$1:$I$89,3,0)*VLOOKUP('Données projet'!$B$11,Paramètres!$A$1:$I$89,5,0)</f>
        <v>170.50360000000001</v>
      </c>
      <c r="BF51" s="14">
        <f t="shared" si="37"/>
        <v>43.202793808192034</v>
      </c>
      <c r="BG51" s="22">
        <f t="shared" si="7"/>
        <v>372.2053025492678</v>
      </c>
      <c r="BH51" s="62">
        <f t="shared" si="8"/>
        <v>665.53863588260106</v>
      </c>
      <c r="BI51" s="62">
        <f ca="1">AVERAGE(OFFSET($BH$3,0,0,'Données projet'!$E$11+1,1))-AVERAGE(OFFSET($H$3,0,0,'Données projet'!$E$11+1,1))</f>
        <v>260.02504691866199</v>
      </c>
      <c r="BJ51" s="62">
        <f t="shared" si="38"/>
        <v>270.11268336406368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7.0072091107855545</v>
      </c>
      <c r="BQ51" s="23">
        <f>EXP(-LN(2)/25)*BQ50+(1-EXP(-LN(2)/25))/(LN(2)/25)*Calculateur!BL51*Calculateur!BN51*VLOOKUP('Données projet'!$B$11,Paramètres!$A$1:$I$89,3,0)*0.475*44/12</f>
        <v>9.9782762922460311</v>
      </c>
      <c r="BR51" s="23">
        <f>EXP(-LN(2)/2)*BR50+(1-EXP(-LN(2)/2))/(LN(2)/2)*BL51*BO51*VLOOKUP('Données projet'!$B$11,Paramètres!$A$1:$I$89,3,0)*0.475*44/12</f>
        <v>1.2382736222507507E-2</v>
      </c>
      <c r="BS51" s="24">
        <f t="shared" si="9"/>
        <v>16.997868139254091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11.861538461538462</v>
      </c>
      <c r="N52" s="14">
        <f>IF('Données projet'!$A$36&gt;35,N51+M52-V51,IF(A52&lt;'Données projet'!$A$36,$K$205^A52,IF(A52='Données projet'!$A$36,'Données projet'!$B$36,N51+M52-V51)))</f>
        <v>279.22307692307697</v>
      </c>
      <c r="O52" s="14">
        <f>N52*VLOOKUP('Données projet'!$B$9,Paramètres!$A$1:$I$89,3,0)*VLOOKUP('Données projet'!$B$9,Paramètres!$A$1:$I$89,5,0)</f>
        <v>166.97540000000004</v>
      </c>
      <c r="P52" s="14">
        <f t="shared" si="33"/>
        <v>42.411907667415186</v>
      </c>
      <c r="Q52" s="22">
        <f t="shared" si="53"/>
        <v>364.68289418741483</v>
      </c>
      <c r="R52" s="62">
        <f t="shared" si="0"/>
        <v>658.01622752074809</v>
      </c>
      <c r="S52" s="62">
        <f ca="1">AVERAGE(OFFSET($R$3,0,0,'Données projet'!$E$9+1,1))-AVERAGE(OFFSET($H$3,0,0,'Données projet'!$E$9+1,1))</f>
        <v>287.05726996114242</v>
      </c>
      <c r="T52" s="62">
        <f t="shared" si="34"/>
        <v>229.06617320689003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7.7827879857601037</v>
      </c>
      <c r="AB52" s="23">
        <f>EXP(-LN(2)/2)*AB51+(1-EXP(-LN(2)/2))/(LN(2)/2)*V52*Y52*VLOOKUP('Données projet'!$B$9,Paramètres!$A$1:$I$89,3,0)*0.475*44/12</f>
        <v>7.2683801272446702E-3</v>
      </c>
      <c r="AC52" s="24">
        <f t="shared" si="3"/>
        <v>7.7900563658873487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6.0256410256410273</v>
      </c>
      <c r="AI52" s="14">
        <f>IF('Données projet'!$A$62&gt;35,AI51+AH52-AQ51,IF(A52&lt;'Données projet'!$A$62,$AF$205^A52,IF(A52='Données projet'!$A$62,'Données projet'!$B$62,AI51+AH52-AQ51)))</f>
        <v>197.17948717948713</v>
      </c>
      <c r="AJ52" s="14">
        <f>AI52*VLOOKUP('Données projet'!$B$10,Paramètres!$A$1:$I$89,3,0)*VLOOKUP('Données projet'!$B$10,Paramètres!$A$1:$I$89,5,0)</f>
        <v>206.09199999999996</v>
      </c>
      <c r="AK52" s="14">
        <f t="shared" si="35"/>
        <v>51.080657963757403</v>
      </c>
      <c r="AL52" s="22">
        <f t="shared" si="4"/>
        <v>447.90904595354408</v>
      </c>
      <c r="AM52" s="62">
        <f t="shared" si="5"/>
        <v>741.24237928687739</v>
      </c>
      <c r="AN52" s="62">
        <f ca="1">AVERAGE(OFFSET($AM$3,0,0,'Données projet'!$E$10+1,1))-AVERAGE(OFFSET($H$3,0,0,'Données projet'!$E$10+1,1))</f>
        <v>493.70175665335978</v>
      </c>
      <c r="AO52" s="62">
        <f t="shared" si="36"/>
        <v>325.12357781685949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11.611538461538466</v>
      </c>
      <c r="BD52" s="13">
        <f>IF('Données projet'!$A$88&gt;35,BD51+BC52-BL51,IF(A52&lt;'Données projet'!$A$88,$BA$205^A52,IF(A52='Données projet'!$A$88,'Données projet'!$B$88,BD51+BC52-BL51)))</f>
        <v>296.73461538461538</v>
      </c>
      <c r="BE52" s="14">
        <f>BD52*VLOOKUP('Données projet'!$B$11,Paramètres!$A$1:$I$89,3,0)*VLOOKUP('Données projet'!$B$11,Paramètres!$A$1:$I$89,5,0)</f>
        <v>177.44730000000001</v>
      </c>
      <c r="BF52" s="14">
        <f t="shared" si="37"/>
        <v>44.753786201681493</v>
      </c>
      <c r="BG52" s="22">
        <f t="shared" si="7"/>
        <v>387.00022513459527</v>
      </c>
      <c r="BH52" s="62">
        <f t="shared" si="8"/>
        <v>680.33355846792858</v>
      </c>
      <c r="BI52" s="62">
        <f ca="1">AVERAGE(OFFSET($BH$3,0,0,'Données projet'!$E$11+1,1))-AVERAGE(OFFSET($H$3,0,0,'Données projet'!$E$11+1,1))</f>
        <v>260.02504691866199</v>
      </c>
      <c r="BJ52" s="62">
        <f t="shared" si="38"/>
        <v>270.11268336406368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6.8698020140985872</v>
      </c>
      <c r="BQ52" s="23">
        <f>EXP(-LN(2)/25)*BQ51+(1-EXP(-LN(2)/25))/(LN(2)/25)*Calculateur!BL52*Calculateur!BN52*VLOOKUP('Données projet'!$B$11,Paramètres!$A$1:$I$89,3,0)*0.475*44/12</f>
        <v>9.7054198022998186</v>
      </c>
      <c r="BR52" s="23">
        <f>EXP(-LN(2)/2)*BR51+(1-EXP(-LN(2)/2))/(LN(2)/2)*BL52*BO52*VLOOKUP('Données projet'!$B$11,Paramètres!$A$1:$I$89,3,0)*0.475*44/12</f>
        <v>8.755916752579352E-3</v>
      </c>
      <c r="BS52" s="24">
        <f t="shared" si="9"/>
        <v>16.583977733150984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291.0846153846154</v>
      </c>
      <c r="L53" s="13">
        <f>VLOOKUP(A53,'Données projet'!$A$35:$I$55,9,0)</f>
        <v>11.861538461538462</v>
      </c>
      <c r="M53" s="13">
        <f t="array" ref="M53">INDEX(L:L,MIN(IF(ISNUMBER(L53:L249),ROW(L53:L249),"")))</f>
        <v>11.861538461538462</v>
      </c>
      <c r="N53" s="14">
        <f>IF('Données projet'!$A$36&gt;35,N52+M53-V52,IF(A53&lt;'Données projet'!$A$36,$K$205^A53,IF(A53='Données projet'!$A$36,'Données projet'!$B$36,N52+M53-V52)))</f>
        <v>291.08461538461546</v>
      </c>
      <c r="O53" s="14">
        <f>N53*VLOOKUP('Données projet'!$B$9,Paramètres!$A$1:$I$89,3,0)*VLOOKUP('Données projet'!$B$9,Paramètres!$A$1:$I$89,5,0)</f>
        <v>174.06860000000006</v>
      </c>
      <c r="P53" s="14">
        <f t="shared" si="33"/>
        <v>43.999996552753878</v>
      </c>
      <c r="Q53" s="22">
        <f t="shared" si="53"/>
        <v>379.80280566271313</v>
      </c>
      <c r="R53" s="62">
        <f t="shared" si="0"/>
        <v>673.13613899604638</v>
      </c>
      <c r="S53" s="62">
        <f ca="1">AVERAGE(OFFSET($R$3,0,0,'Données projet'!$E$9+1,1))-AVERAGE(OFFSET($H$3,0,0,'Données projet'!$E$9+1,1))</f>
        <v>287.05726996114242</v>
      </c>
      <c r="T53" s="62">
        <f t="shared" si="34"/>
        <v>229.06617320689003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55.292307692307688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7.5699672390104613</v>
      </c>
      <c r="AB53" s="23">
        <f>EXP(-LN(2)/2)*AB52+(1-EXP(-LN(2)/2))/(LN(2)/2)*V53*Y53*VLOOKUP('Données projet'!$B$9,Paramètres!$A$1:$I$89,3,0)*0.475*44/12</f>
        <v>5.1395208762162478E-3</v>
      </c>
      <c r="AC53" s="24">
        <f t="shared" si="3"/>
        <v>7.5751067598866779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203.2051282051282</v>
      </c>
      <c r="AG53" s="13">
        <f>VLOOKUP(A53,'Données projet'!$A$61:$I$81,9,0)</f>
        <v>6.0256410256410273</v>
      </c>
      <c r="AH53" s="13">
        <f t="array" ref="AH53">INDEX(AG:AG,MIN(IF(ISNUMBER(AG53:AG249),ROW(AG53:AG249),"")))</f>
        <v>6.0256410256410273</v>
      </c>
      <c r="AI53" s="14">
        <f>IF('Données projet'!$A$62&gt;35,AI52+AH53-AQ52,IF(A53&lt;'Données projet'!$A$62,$AF$205^A53,IF(A53='Données projet'!$A$62,'Données projet'!$B$62,AI52+AH53-AQ52)))</f>
        <v>203.20512820512815</v>
      </c>
      <c r="AJ53" s="14">
        <f>AI53*VLOOKUP('Données projet'!$B$10,Paramètres!$A$1:$I$89,3,0)*VLOOKUP('Données projet'!$B$10,Paramètres!$A$1:$I$89,5,0)</f>
        <v>212.38999999999993</v>
      </c>
      <c r="AK53" s="14">
        <f t="shared" si="35"/>
        <v>52.457516346075991</v>
      </c>
      <c r="AL53" s="22">
        <f t="shared" si="4"/>
        <v>461.27609096941552</v>
      </c>
      <c r="AM53" s="62">
        <f t="shared" si="5"/>
        <v>754.60942430274883</v>
      </c>
      <c r="AN53" s="62">
        <f ca="1">AVERAGE(OFFSET($AM$3,0,0,'Données projet'!$E$10+1,1))-AVERAGE(OFFSET($H$3,0,0,'Données projet'!$E$10+1,1))</f>
        <v>493.70175665335978</v>
      </c>
      <c r="AO53" s="62">
        <f t="shared" si="36"/>
        <v>325.12357781685949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24.358974358974358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11.611538461538466</v>
      </c>
      <c r="BD53" s="13">
        <f>IF('Données projet'!$A$88&gt;35,BD52+BC53-BL52,IF(A53&lt;'Données projet'!$A$88,$BA$205^A53,IF(A53='Données projet'!$A$88,'Données projet'!$B$88,BD52+BC53-BL52)))</f>
        <v>308.34615384615387</v>
      </c>
      <c r="BE53" s="14">
        <f>BD53*VLOOKUP('Données projet'!$B$11,Paramètres!$A$1:$I$89,3,0)*VLOOKUP('Données projet'!$B$11,Paramètres!$A$1:$I$89,5,0)</f>
        <v>184.39100000000005</v>
      </c>
      <c r="BF53" s="14">
        <f t="shared" si="37"/>
        <v>46.297728214269426</v>
      </c>
      <c r="BG53" s="22">
        <f t="shared" si="7"/>
        <v>401.78286830651933</v>
      </c>
      <c r="BH53" s="62">
        <f t="shared" si="8"/>
        <v>695.11620163985265</v>
      </c>
      <c r="BI53" s="62">
        <f ca="1">AVERAGE(OFFSET($BH$3,0,0,'Données projet'!$E$11+1,1))-AVERAGE(OFFSET($H$3,0,0,'Données projet'!$E$11+1,1))</f>
        <v>260.02504691866199</v>
      </c>
      <c r="BJ53" s="62">
        <f t="shared" si="38"/>
        <v>270.11268336406368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6.7350893867675978</v>
      </c>
      <c r="BQ53" s="23">
        <f>EXP(-LN(2)/25)*BQ52+(1-EXP(-LN(2)/25))/(LN(2)/25)*Calculateur!BL53*Calculateur!BN53*VLOOKUP('Données projet'!$B$11,Paramètres!$A$1:$I$89,3,0)*0.475*44/12</f>
        <v>9.4400245874200852</v>
      </c>
      <c r="BR53" s="23">
        <f>EXP(-LN(2)/2)*BR52+(1-EXP(-LN(2)/2))/(LN(2)/2)*BL53*BO53*VLOOKUP('Données projet'!$B$11,Paramètres!$A$1:$I$89,3,0)*0.475*44/12</f>
        <v>6.1913681112537537E-3</v>
      </c>
      <c r="BS53" s="24">
        <f t="shared" si="9"/>
        <v>16.181305342298934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10.66307692307692</v>
      </c>
      <c r="N54" s="14">
        <f>IF('Données projet'!$A$36&gt;35,N53+M54-V53,IF(A54&lt;'Données projet'!$A$36,$K$205^A54,IF(A54='Données projet'!$A$36,'Données projet'!$B$36,N53+M54-V53)))</f>
        <v>246.45538461538467</v>
      </c>
      <c r="O54" s="14">
        <f>N54*VLOOKUP('Données projet'!$B$9,Paramètres!$A$1:$I$89,3,0)*VLOOKUP('Données projet'!$B$9,Paramètres!$A$1:$I$89,5,0)</f>
        <v>147.38032000000004</v>
      </c>
      <c r="P54" s="14">
        <f t="shared" si="33"/>
        <v>37.982644854557613</v>
      </c>
      <c r="Q54" s="22">
        <f t="shared" si="53"/>
        <v>322.84049712168786</v>
      </c>
      <c r="R54" s="62">
        <f t="shared" si="0"/>
        <v>616.17383045502118</v>
      </c>
      <c r="S54" s="62">
        <f ca="1">AVERAGE(OFFSET($R$3,0,0,'Données projet'!$E$9+1,1))-AVERAGE(OFFSET($H$3,0,0,'Données projet'!$E$9+1,1))</f>
        <v>287.05726996114242</v>
      </c>
      <c r="T54" s="62">
        <f t="shared" si="34"/>
        <v>229.06617320689003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7.3629660867724445</v>
      </c>
      <c r="AB54" s="23">
        <f>EXP(-LN(2)/2)*AB53+(1-EXP(-LN(2)/2))/(LN(2)/2)*V54*Y54*VLOOKUP('Données projet'!$B$9,Paramètres!$A$1:$I$89,3,0)*0.475*44/12</f>
        <v>3.6341900636223355E-3</v>
      </c>
      <c r="AC54" s="24">
        <f t="shared" si="3"/>
        <v>7.366600276836067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5.6410256410256405</v>
      </c>
      <c r="AI54" s="14">
        <f>IF('Données projet'!$A$62&gt;35,AI53+AH54-AQ53,IF(A54&lt;'Données projet'!$A$62,$AF$205^A54,IF(A54='Données projet'!$A$62,'Données projet'!$B$62,AI53+AH54-AQ53)))</f>
        <v>184.48717948717942</v>
      </c>
      <c r="AJ54" s="14">
        <f>AI54*VLOOKUP('Données projet'!$B$10,Paramètres!$A$1:$I$89,3,0)*VLOOKUP('Données projet'!$B$10,Paramètres!$A$1:$I$89,5,0)</f>
        <v>192.82599999999994</v>
      </c>
      <c r="AK54" s="14">
        <f t="shared" si="35"/>
        <v>48.164203450161025</v>
      </c>
      <c r="AL54" s="22">
        <f t="shared" si="4"/>
        <v>419.72460434236359</v>
      </c>
      <c r="AM54" s="62">
        <f t="shared" si="5"/>
        <v>713.05793767569685</v>
      </c>
      <c r="AN54" s="62">
        <f ca="1">AVERAGE(OFFSET($AM$3,0,0,'Données projet'!$E$10+1,1))-AVERAGE(OFFSET($H$3,0,0,'Données projet'!$E$10+1,1))</f>
        <v>493.70175665335978</v>
      </c>
      <c r="AO54" s="62">
        <f t="shared" si="36"/>
        <v>325.12357781685949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11.611538461538466</v>
      </c>
      <c r="BD54" s="13">
        <f>IF('Données projet'!$A$88&gt;35,BD53+BC54-BL53,IF(A54&lt;'Données projet'!$A$88,$BA$205^A54,IF(A54='Données projet'!$A$88,'Données projet'!$B$88,BD53+BC54-BL53)))</f>
        <v>319.95769230769235</v>
      </c>
      <c r="BE54" s="14">
        <f>BD54*VLOOKUP('Données projet'!$B$11,Paramètres!$A$1:$I$89,3,0)*VLOOKUP('Données projet'!$B$11,Paramètres!$A$1:$I$89,5,0)</f>
        <v>191.33470000000005</v>
      </c>
      <c r="BF54" s="14">
        <f t="shared" si="37"/>
        <v>47.834915743348681</v>
      </c>
      <c r="BG54" s="22">
        <f t="shared" si="7"/>
        <v>416.55374741966574</v>
      </c>
      <c r="BH54" s="62">
        <f t="shared" si="8"/>
        <v>709.88708075299905</v>
      </c>
      <c r="BI54" s="62">
        <f ca="1">AVERAGE(OFFSET($BH$3,0,0,'Données projet'!$E$11+1,1))-AVERAGE(OFFSET($H$3,0,0,'Données projet'!$E$11+1,1))</f>
        <v>260.02504691866199</v>
      </c>
      <c r="BJ54" s="62">
        <f t="shared" si="38"/>
        <v>270.11268336406368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6.6030183918919798</v>
      </c>
      <c r="BQ54" s="23">
        <f>EXP(-LN(2)/25)*BQ53+(1-EXP(-LN(2)/25))/(LN(2)/25)*Calculateur!BL54*Calculateur!BN54*VLOOKUP('Données projet'!$B$11,Paramètres!$A$1:$I$89,3,0)*0.475*44/12</f>
        <v>9.1818866186477646</v>
      </c>
      <c r="BR54" s="23">
        <f>EXP(-LN(2)/2)*BR53+(1-EXP(-LN(2)/2))/(LN(2)/2)*BL54*BO54*VLOOKUP('Données projet'!$B$11,Paramètres!$A$1:$I$89,3,0)*0.475*44/12</f>
        <v>4.377958376289676E-3</v>
      </c>
      <c r="BS54" s="24">
        <f t="shared" si="9"/>
        <v>15.789282968916035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10.66307692307692</v>
      </c>
      <c r="N55" s="14">
        <f>IF('Données projet'!$A$36&gt;35,N54+M55-V54,IF(A55&lt;'Données projet'!$A$36,$K$205^A55,IF(A55='Données projet'!$A$36,'Données projet'!$B$36,N54+M55-V54)))</f>
        <v>257.11846153846159</v>
      </c>
      <c r="O55" s="14">
        <f>N55*VLOOKUP('Données projet'!$B$9,Paramètres!$A$1:$I$89,3,0)*VLOOKUP('Données projet'!$B$9,Paramètres!$A$1:$I$89,5,0)</f>
        <v>153.75684000000004</v>
      </c>
      <c r="P55" s="14">
        <f t="shared" si="33"/>
        <v>39.431107959482766</v>
      </c>
      <c r="Q55" s="22">
        <f t="shared" si="53"/>
        <v>336.46900936276592</v>
      </c>
      <c r="R55" s="62">
        <f t="shared" si="0"/>
        <v>629.80234269609923</v>
      </c>
      <c r="S55" s="62">
        <f ca="1">AVERAGE(OFFSET($R$3,0,0,'Données projet'!$E$9+1,1))-AVERAGE(OFFSET($H$3,0,0,'Données projet'!$E$9+1,1))</f>
        <v>287.05726996114242</v>
      </c>
      <c r="T55" s="62">
        <f t="shared" si="34"/>
        <v>229.06617320689003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7.1616253919280934</v>
      </c>
      <c r="AB55" s="23">
        <f>EXP(-LN(2)/2)*AB54+(1-EXP(-LN(2)/2))/(LN(2)/2)*V55*Y55*VLOOKUP('Données projet'!$B$9,Paramètres!$A$1:$I$89,3,0)*0.475*44/12</f>
        <v>2.5697604381081244E-3</v>
      </c>
      <c r="AC55" s="24">
        <f t="shared" si="3"/>
        <v>7.1641951523662017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5.6410256410256405</v>
      </c>
      <c r="AI55" s="14">
        <f>IF('Données projet'!$A$62&gt;35,AI54+AH55-AQ54,IF(A55&lt;'Données projet'!$A$62,$AF$205^A55,IF(A55='Données projet'!$A$62,'Données projet'!$B$62,AI54+AH55-AQ54)))</f>
        <v>190.12820512820505</v>
      </c>
      <c r="AJ55" s="14">
        <f>AI55*VLOOKUP('Données projet'!$B$10,Paramètres!$A$1:$I$89,3,0)*VLOOKUP('Données projet'!$B$10,Paramètres!$A$1:$I$89,5,0)</f>
        <v>198.72199999999992</v>
      </c>
      <c r="AK55" s="14">
        <f t="shared" si="35"/>
        <v>49.463197303970119</v>
      </c>
      <c r="AL55" s="22">
        <f t="shared" si="4"/>
        <v>432.25588530441445</v>
      </c>
      <c r="AM55" s="62">
        <f t="shared" si="5"/>
        <v>725.58921863774776</v>
      </c>
      <c r="AN55" s="62">
        <f ca="1">AVERAGE(OFFSET($AM$3,0,0,'Données projet'!$E$10+1,1))-AVERAGE(OFFSET($H$3,0,0,'Données projet'!$E$10+1,1))</f>
        <v>493.70175665335978</v>
      </c>
      <c r="AO55" s="62">
        <f t="shared" si="36"/>
        <v>325.12357781685949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331.56923076923078</v>
      </c>
      <c r="BB55" s="13">
        <f>VLOOKUP(A55,'Données projet'!$A$87:$I$107,9,0)</f>
        <v>11.611538461538466</v>
      </c>
      <c r="BC55" s="13">
        <f t="array" ref="BC55">INDEX(BB:BB,MIN(IF(ISNUMBER(BB55:BB251),ROW(BB55:BB251),"")))</f>
        <v>11.611538461538466</v>
      </c>
      <c r="BD55" s="13">
        <f>IF('Données projet'!$A$88&gt;35,BD54+BC55-BL54,IF(A55&lt;'Données projet'!$A$88,$BA$205^A55,IF(A55='Données projet'!$A$88,'Données projet'!$B$88,BD54+BC55-BL54)))</f>
        <v>331.56923076923084</v>
      </c>
      <c r="BE55" s="14">
        <f>BD55*VLOOKUP('Données projet'!$B$11,Paramètres!$A$1:$I$89,3,0)*VLOOKUP('Données projet'!$B$11,Paramètres!$A$1:$I$89,5,0)</f>
        <v>198.27840000000003</v>
      </c>
      <c r="BF55" s="14">
        <f t="shared" si="37"/>
        <v>49.36562199236586</v>
      </c>
      <c r="BG55" s="22">
        <f t="shared" si="7"/>
        <v>431.31333830337053</v>
      </c>
      <c r="BH55" s="62">
        <f t="shared" si="8"/>
        <v>724.64667163670379</v>
      </c>
      <c r="BI55" s="62">
        <f ca="1">AVERAGE(OFFSET($BH$3,0,0,'Données projet'!$E$11+1,1))-AVERAGE(OFFSET($H$3,0,0,'Données projet'!$E$11+1,1))</f>
        <v>260.02504691866199</v>
      </c>
      <c r="BJ55" s="62">
        <f t="shared" si="38"/>
        <v>270.11268336406368</v>
      </c>
      <c r="BK55" s="16">
        <f>IF(ISNA(VLOOKUP(A55,'Données projet'!$A$87:$I$107,3,0)),0,VLOOKUP(A55,'Données projet'!$A$87:$I$107,3,0))</f>
        <v>6</v>
      </c>
      <c r="BL55" s="16">
        <f>IF(ISNA(VLOOKUP(A55,'Données projet'!$A$87:$I$107,4,0)),0,VLOOKUP(A55,'Données projet'!$A$87:$I$107,4,0))</f>
        <v>61.784615384615378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6.4735372286705202</v>
      </c>
      <c r="BQ55" s="23">
        <f>EXP(-LN(2)/25)*BQ54+(1-EXP(-LN(2)/25))/(LN(2)/25)*Calculateur!BL55*Calculateur!BN55*VLOOKUP('Données projet'!$B$11,Paramètres!$A$1:$I$89,3,0)*0.475*44/12</f>
        <v>8.9308074462064102</v>
      </c>
      <c r="BR55" s="23">
        <f>EXP(-LN(2)/2)*BR54+(1-EXP(-LN(2)/2))/(LN(2)/2)*BL55*BO55*VLOOKUP('Données projet'!$B$11,Paramètres!$A$1:$I$89,3,0)*0.475*44/12</f>
        <v>3.0956840556268768E-3</v>
      </c>
      <c r="BS55" s="24">
        <f t="shared" si="9"/>
        <v>15.407440358932558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10.66307692307692</v>
      </c>
      <c r="N56" s="14">
        <f>IF('Données projet'!$A$36&gt;35,N55+M56-V55,IF(A56&lt;'Données projet'!$A$36,$K$205^A56,IF(A56='Données projet'!$A$36,'Données projet'!$B$36,N55+M56-V55)))</f>
        <v>267.7815384615385</v>
      </c>
      <c r="O56" s="14">
        <f>N56*VLOOKUP('Données projet'!$B$9,Paramètres!$A$1:$I$89,3,0)*VLOOKUP('Données projet'!$B$9,Paramètres!$A$1:$I$89,5,0)</f>
        <v>160.13336000000004</v>
      </c>
      <c r="P56" s="14">
        <f t="shared" si="33"/>
        <v>40.872593668242253</v>
      </c>
      <c r="Q56" s="22">
        <f t="shared" si="53"/>
        <v>350.08536930552197</v>
      </c>
      <c r="R56" s="62">
        <f t="shared" si="0"/>
        <v>643.41870263885528</v>
      </c>
      <c r="S56" s="62">
        <f ca="1">AVERAGE(OFFSET($R$3,0,0,'Données projet'!$E$9+1,1))-AVERAGE(OFFSET($H$3,0,0,'Données projet'!$E$9+1,1))</f>
        <v>287.05726996114242</v>
      </c>
      <c r="T56" s="62">
        <f t="shared" si="34"/>
        <v>229.06617320689003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6.9657903689723089</v>
      </c>
      <c r="AB56" s="23">
        <f>EXP(-LN(2)/2)*AB55+(1-EXP(-LN(2)/2))/(LN(2)/2)*V56*Y56*VLOOKUP('Données projet'!$B$9,Paramètres!$A$1:$I$89,3,0)*0.475*44/12</f>
        <v>1.8170950318111682E-3</v>
      </c>
      <c r="AC56" s="24">
        <f t="shared" si="3"/>
        <v>6.9676074640041197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5.6410256410256405</v>
      </c>
      <c r="AI56" s="14">
        <f>IF('Données projet'!$A$62&gt;35,AI55+AH56-AQ55,IF(A56&lt;'Données projet'!$A$62,$AF$205^A56,IF(A56='Données projet'!$A$62,'Données projet'!$B$62,AI55+AH56-AQ55)))</f>
        <v>195.76923076923069</v>
      </c>
      <c r="AJ56" s="14">
        <f>AI56*VLOOKUP('Données projet'!$B$10,Paramètres!$A$1:$I$89,3,0)*VLOOKUP('Données projet'!$B$10,Paramètres!$A$1:$I$89,5,0)</f>
        <v>204.61799999999994</v>
      </c>
      <c r="AK56" s="14">
        <f t="shared" si="35"/>
        <v>50.757712073649664</v>
      </c>
      <c r="AL56" s="22">
        <f t="shared" si="4"/>
        <v>444.77936519493966</v>
      </c>
      <c r="AM56" s="62">
        <f t="shared" si="5"/>
        <v>738.11269852827297</v>
      </c>
      <c r="AN56" s="62">
        <f ca="1">AVERAGE(OFFSET($AM$3,0,0,'Données projet'!$E$10+1,1))-AVERAGE(OFFSET($H$3,0,0,'Données projet'!$E$10+1,1))</f>
        <v>493.70175665335978</v>
      </c>
      <c r="AO56" s="62">
        <f t="shared" si="36"/>
        <v>325.12357781685949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10.464423076923076</v>
      </c>
      <c r="BD56" s="13">
        <f>IF('Données projet'!$A$88&gt;35,BD55+BC56-BL55,IF(A56&lt;'Données projet'!$A$88,$BA$205^A56,IF(A56='Données projet'!$A$88,'Données projet'!$B$88,BD55+BC56-BL55)))</f>
        <v>280.24903846153853</v>
      </c>
      <c r="BE56" s="14">
        <f>BD56*VLOOKUP('Données projet'!$B$11,Paramètres!$A$1:$I$89,3,0)*VLOOKUP('Données projet'!$B$11,Paramètres!$A$1:$I$89,5,0)</f>
        <v>167.58892500000007</v>
      </c>
      <c r="BF56" s="14">
        <f t="shared" si="37"/>
        <v>42.549574883574216</v>
      </c>
      <c r="BG56" s="22">
        <f t="shared" si="7"/>
        <v>365.99122063055853</v>
      </c>
      <c r="BH56" s="62">
        <f t="shared" si="8"/>
        <v>659.32455396389184</v>
      </c>
      <c r="BI56" s="62">
        <f ca="1">AVERAGE(OFFSET($BH$3,0,0,'Données projet'!$E$11+1,1))-AVERAGE(OFFSET($H$3,0,0,'Données projet'!$E$11+1,1))</f>
        <v>260.02504691866199</v>
      </c>
      <c r="BJ56" s="62">
        <f t="shared" si="38"/>
        <v>270.11268336406368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6.3465951120841222</v>
      </c>
      <c r="BQ56" s="23">
        <f>EXP(-LN(2)/25)*BQ55+(1-EXP(-LN(2)/25))/(LN(2)/25)*Calculateur!BL56*Calculateur!BN56*VLOOKUP('Données projet'!$B$11,Paramètres!$A$1:$I$89,3,0)*0.475*44/12</f>
        <v>8.6865940469391436</v>
      </c>
      <c r="BR56" s="23">
        <f>EXP(-LN(2)/2)*BR55+(1-EXP(-LN(2)/2))/(LN(2)/2)*BL56*BO56*VLOOKUP('Données projet'!$B$11,Paramètres!$A$1:$I$89,3,0)*0.475*44/12</f>
        <v>2.188979188144838E-3</v>
      </c>
      <c r="BS56" s="24">
        <f t="shared" si="9"/>
        <v>15.03537813821141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10.66307692307692</v>
      </c>
      <c r="N57" s="14">
        <f>IF('Données projet'!$A$36&gt;35,N56+M57-V56,IF(A57&lt;'Données projet'!$A$36,$K$205^A57,IF(A57='Données projet'!$A$36,'Données projet'!$B$36,N56+M57-V56)))</f>
        <v>278.44461538461542</v>
      </c>
      <c r="O57" s="14">
        <f>N57*VLOOKUP('Données projet'!$B$9,Paramètres!$A$1:$I$89,3,0)*VLOOKUP('Données projet'!$B$9,Paramètres!$A$1:$I$89,5,0)</f>
        <v>166.50988000000001</v>
      </c>
      <c r="P57" s="14">
        <f t="shared" si="33"/>
        <v>42.307411610776938</v>
      </c>
      <c r="Q57" s="22">
        <f t="shared" si="53"/>
        <v>363.69011622210314</v>
      </c>
      <c r="R57" s="62">
        <f t="shared" si="0"/>
        <v>657.0234495554364</v>
      </c>
      <c r="S57" s="62">
        <f ca="1">AVERAGE(OFFSET($R$3,0,0,'Données projet'!$E$9+1,1))-AVERAGE(OFFSET($H$3,0,0,'Données projet'!$E$9+1,1))</f>
        <v>287.05726996114242</v>
      </c>
      <c r="T57" s="62">
        <f t="shared" si="34"/>
        <v>229.06617320689003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6.7753104650177658</v>
      </c>
      <c r="AB57" s="23">
        <f>EXP(-LN(2)/2)*AB56+(1-EXP(-LN(2)/2))/(LN(2)/2)*V57*Y57*VLOOKUP('Données projet'!$B$9,Paramètres!$A$1:$I$89,3,0)*0.475*44/12</f>
        <v>1.2848802190540624E-3</v>
      </c>
      <c r="AC57" s="24">
        <f t="shared" si="3"/>
        <v>6.7765953452368199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5.6410256410256405</v>
      </c>
      <c r="AI57" s="14">
        <f>IF('Données projet'!$A$62&gt;35,AI56+AH57-AQ56,IF(A57&lt;'Données projet'!$A$62,$AF$205^A57,IF(A57='Données projet'!$A$62,'Données projet'!$B$62,AI56+AH57-AQ56)))</f>
        <v>201.41025641025632</v>
      </c>
      <c r="AJ57" s="14">
        <f>AI57*VLOOKUP('Données projet'!$B$10,Paramètres!$A$1:$I$89,3,0)*VLOOKUP('Données projet'!$B$10,Paramètres!$A$1:$I$89,5,0)</f>
        <v>210.51399999999992</v>
      </c>
      <c r="AK57" s="14">
        <f t="shared" si="35"/>
        <v>52.047891644487855</v>
      </c>
      <c r="AL57" s="22">
        <f t="shared" si="4"/>
        <v>457.2952946141495</v>
      </c>
      <c r="AM57" s="62">
        <f t="shared" si="5"/>
        <v>750.62862794748276</v>
      </c>
      <c r="AN57" s="62">
        <f ca="1">AVERAGE(OFFSET($AM$3,0,0,'Données projet'!$E$10+1,1))-AVERAGE(OFFSET($H$3,0,0,'Données projet'!$E$10+1,1))</f>
        <v>493.70175665335978</v>
      </c>
      <c r="AO57" s="62">
        <f t="shared" si="36"/>
        <v>325.12357781685949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10.464423076923076</v>
      </c>
      <c r="BD57" s="13">
        <f>IF('Données projet'!$A$88&gt;35,BD56+BC57-BL56,IF(A57&lt;'Données projet'!$A$88,$BA$205^A57,IF(A57='Données projet'!$A$88,'Données projet'!$B$88,BD56+BC57-BL56)))</f>
        <v>290.71346153846162</v>
      </c>
      <c r="BE57" s="14">
        <f>BD57*VLOOKUP('Données projet'!$B$11,Paramètres!$A$1:$I$89,3,0)*VLOOKUP('Données projet'!$B$11,Paramètres!$A$1:$I$89,5,0)</f>
        <v>173.84665000000007</v>
      </c>
      <c r="BF57" s="14">
        <f t="shared" si="37"/>
        <v>43.9504201164318</v>
      </c>
      <c r="BG57" s="22">
        <f t="shared" si="7"/>
        <v>379.3298971194522</v>
      </c>
      <c r="BH57" s="62">
        <f t="shared" si="8"/>
        <v>672.66323045278546</v>
      </c>
      <c r="BI57" s="62">
        <f ca="1">AVERAGE(OFFSET($BH$3,0,0,'Données projet'!$E$11+1,1))-AVERAGE(OFFSET($H$3,0,0,'Données projet'!$E$11+1,1))</f>
        <v>260.02504691866199</v>
      </c>
      <c r="BJ57" s="62">
        <f t="shared" si="38"/>
        <v>270.11268336406368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6.222142252976937</v>
      </c>
      <c r="BQ57" s="23">
        <f>EXP(-LN(2)/25)*BQ56+(1-EXP(-LN(2)/25))/(LN(2)/25)*Calculateur!BL57*Calculateur!BN57*VLOOKUP('Données projet'!$B$11,Paramètres!$A$1:$I$89,3,0)*0.475*44/12</f>
        <v>8.4490586759174651</v>
      </c>
      <c r="BR57" s="23">
        <f>EXP(-LN(2)/2)*BR56+(1-EXP(-LN(2)/2))/(LN(2)/2)*BL57*BO57*VLOOKUP('Données projet'!$B$11,Paramètres!$A$1:$I$89,3,0)*0.475*44/12</f>
        <v>1.5478420278134384E-3</v>
      </c>
      <c r="BS57" s="24">
        <f t="shared" si="9"/>
        <v>14.672748770922215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10.66307692307692</v>
      </c>
      <c r="N58" s="14">
        <f>IF('Données projet'!$A$36&gt;35,N57+M58-V57,IF(A58&lt;'Données projet'!$A$36,$K$205^A58,IF(A58='Données projet'!$A$36,'Données projet'!$B$36,N57+M58-V57)))</f>
        <v>289.10769230769233</v>
      </c>
      <c r="O58" s="14">
        <f>N58*VLOOKUP('Données projet'!$B$9,Paramètres!$A$1:$I$89,3,0)*VLOOKUP('Données projet'!$B$9,Paramètres!$A$1:$I$89,5,0)</f>
        <v>172.88640000000001</v>
      </c>
      <c r="P58" s="14">
        <f t="shared" si="33"/>
        <v>43.735846359314351</v>
      </c>
      <c r="Q58" s="22">
        <f t="shared" si="53"/>
        <v>377.28374574247255</v>
      </c>
      <c r="R58" s="62">
        <f t="shared" si="0"/>
        <v>670.6170790758058</v>
      </c>
      <c r="S58" s="62">
        <f ca="1">AVERAGE(OFFSET($R$3,0,0,'Données projet'!$E$9+1,1))-AVERAGE(OFFSET($H$3,0,0,'Données projet'!$E$9+1,1))</f>
        <v>287.05726996114242</v>
      </c>
      <c r="T58" s="62">
        <f t="shared" si="34"/>
        <v>229.06617320689003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6.590039244053763</v>
      </c>
      <c r="AB58" s="23">
        <f>EXP(-LN(2)/2)*AB57+(1-EXP(-LN(2)/2))/(LN(2)/2)*V58*Y58*VLOOKUP('Données projet'!$B$9,Paramètres!$A$1:$I$89,3,0)*0.475*44/12</f>
        <v>9.085475159055842E-4</v>
      </c>
      <c r="AC58" s="24">
        <f t="shared" si="3"/>
        <v>6.5909477915696684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207.05128205128204</v>
      </c>
      <c r="AG58" s="13">
        <f>VLOOKUP(A58,'Données projet'!$A$61:$I$81,9,0)</f>
        <v>5.6410256410256405</v>
      </c>
      <c r="AH58" s="13">
        <f t="array" ref="AH58">INDEX(AG:AG,MIN(IF(ISNUMBER(AG58:AG254),ROW(AG58:AG254),"")))</f>
        <v>5.6410256410256405</v>
      </c>
      <c r="AI58" s="14">
        <f>IF('Données projet'!$A$62&gt;35,AI57+AH58-AQ57,IF(A58&lt;'Données projet'!$A$62,$AF$205^A58,IF(A58='Données projet'!$A$62,'Données projet'!$B$62,AI57+AH58-AQ57)))</f>
        <v>207.05128205128196</v>
      </c>
      <c r="AJ58" s="14">
        <f>AI58*VLOOKUP('Données projet'!$B$10,Paramètres!$A$1:$I$89,3,0)*VLOOKUP('Données projet'!$B$10,Paramètres!$A$1:$I$89,5,0)</f>
        <v>216.40999999999991</v>
      </c>
      <c r="AK58" s="14">
        <f t="shared" si="35"/>
        <v>53.333871383439472</v>
      </c>
      <c r="AL58" s="22">
        <f t="shared" si="4"/>
        <v>469.80390932615688</v>
      </c>
      <c r="AM58" s="62">
        <f t="shared" si="5"/>
        <v>763.1372426594902</v>
      </c>
      <c r="AN58" s="62">
        <f ca="1">AVERAGE(OFFSET($AM$3,0,0,'Données projet'!$E$10+1,1))-AVERAGE(OFFSET($H$3,0,0,'Données projet'!$E$10+1,1))</f>
        <v>493.70175665335978</v>
      </c>
      <c r="AO58" s="62">
        <f t="shared" si="36"/>
        <v>325.12357781685949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10.464423076923076</v>
      </c>
      <c r="BD58" s="13">
        <f>IF('Données projet'!$A$88&gt;35,BD57+BC58-BL57,IF(A58&lt;'Données projet'!$A$88,$BA$205^A58,IF(A58='Données projet'!$A$88,'Données projet'!$B$88,BD57+BC58-BL57)))</f>
        <v>301.1778846153847</v>
      </c>
      <c r="BE58" s="14">
        <f>BD58*VLOOKUP('Données projet'!$B$11,Paramètres!$A$1:$I$89,3,0)*VLOOKUP('Données projet'!$B$11,Paramètres!$A$1:$I$89,5,0)</f>
        <v>180.10437500000006</v>
      </c>
      <c r="BF58" s="14">
        <f t="shared" si="37"/>
        <v>45.345406897560061</v>
      </c>
      <c r="BG58" s="22">
        <f t="shared" si="7"/>
        <v>392.65837013825052</v>
      </c>
      <c r="BH58" s="62">
        <f t="shared" si="8"/>
        <v>685.99170347158383</v>
      </c>
      <c r="BI58" s="62">
        <f ca="1">AVERAGE(OFFSET($BH$3,0,0,'Données projet'!$E$11+1,1))-AVERAGE(OFFSET($H$3,0,0,'Données projet'!$E$11+1,1))</f>
        <v>260.02504691866199</v>
      </c>
      <c r="BJ58" s="62">
        <f t="shared" si="38"/>
        <v>270.11268336406368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6.1001298385280958</v>
      </c>
      <c r="BQ58" s="23">
        <f>EXP(-LN(2)/25)*BQ57+(1-EXP(-LN(2)/25))/(LN(2)/25)*Calculateur!BL58*Calculateur!BN58*VLOOKUP('Données projet'!$B$11,Paramètres!$A$1:$I$89,3,0)*0.475*44/12</f>
        <v>8.218018722107816</v>
      </c>
      <c r="BR58" s="23">
        <f>EXP(-LN(2)/2)*BR57+(1-EXP(-LN(2)/2))/(LN(2)/2)*BL58*BO58*VLOOKUP('Données projet'!$B$11,Paramètres!$A$1:$I$89,3,0)*0.475*44/12</f>
        <v>1.094489594072419E-3</v>
      </c>
      <c r="BS58" s="24">
        <f t="shared" si="9"/>
        <v>14.319243050229984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10.66307692307692</v>
      </c>
      <c r="N59" s="14">
        <f>IF('Données projet'!$A$36&gt;35,N58+M59-V58,IF(A59&lt;'Données projet'!$A$36,$K$205^A59,IF(A59='Données projet'!$A$36,'Données projet'!$B$36,N58+M59-V58)))</f>
        <v>299.77076923076925</v>
      </c>
      <c r="O59" s="14">
        <f>N59*VLOOKUP('Données projet'!$B$9,Paramètres!$A$1:$I$89,3,0)*VLOOKUP('Données projet'!$B$9,Paramètres!$A$1:$I$89,5,0)</f>
        <v>179.26292000000001</v>
      </c>
      <c r="P59" s="14">
        <f t="shared" si="33"/>
        <v>45.158160305042841</v>
      </c>
      <c r="Q59" s="22">
        <f t="shared" si="53"/>
        <v>390.8667148646162</v>
      </c>
      <c r="R59" s="62">
        <f t="shared" si="0"/>
        <v>684.20004819794951</v>
      </c>
      <c r="S59" s="62">
        <f ca="1">AVERAGE(OFFSET($R$3,0,0,'Données projet'!$E$9+1,1))-AVERAGE(OFFSET($H$3,0,0,'Données projet'!$E$9+1,1))</f>
        <v>287.05726996114242</v>
      </c>
      <c r="T59" s="62">
        <f t="shared" si="34"/>
        <v>229.06617320689003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6.4098342743700103</v>
      </c>
      <c r="AB59" s="23">
        <f>EXP(-LN(2)/2)*AB58+(1-EXP(-LN(2)/2))/(LN(2)/2)*V59*Y59*VLOOKUP('Données projet'!$B$9,Paramètres!$A$1:$I$89,3,0)*0.475*44/12</f>
        <v>6.4244010952703131E-4</v>
      </c>
      <c r="AC59" s="24">
        <f t="shared" si="3"/>
        <v>6.4104767144795369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5.2564102564102537</v>
      </c>
      <c r="AI59" s="14">
        <f>IF('Données projet'!$A$62&gt;35,AI58+AH59-AQ58,IF(A59&lt;'Données projet'!$A$62,$AF$205^A59,IF(A59='Données projet'!$A$62,'Données projet'!$B$62,AI58+AH59-AQ58)))</f>
        <v>212.30769230769221</v>
      </c>
      <c r="AJ59" s="14">
        <f>AI59*VLOOKUP('Données projet'!$B$10,Paramètres!$A$1:$I$89,3,0)*VLOOKUP('Données projet'!$B$10,Paramètres!$A$1:$I$89,5,0)</f>
        <v>221.90399999999991</v>
      </c>
      <c r="AK59" s="14">
        <f t="shared" si="35"/>
        <v>54.528502940168273</v>
      </c>
      <c r="AL59" s="22">
        <f t="shared" si="4"/>
        <v>481.45327595412624</v>
      </c>
      <c r="AM59" s="62">
        <f t="shared" si="5"/>
        <v>774.78660928745956</v>
      </c>
      <c r="AN59" s="62">
        <f ca="1">AVERAGE(OFFSET($AM$3,0,0,'Données projet'!$E$10+1,1))-AVERAGE(OFFSET($H$3,0,0,'Données projet'!$E$10+1,1))</f>
        <v>493.70175665335978</v>
      </c>
      <c r="AO59" s="62">
        <f t="shared" si="36"/>
        <v>325.12357781685949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10.464423076923076</v>
      </c>
      <c r="BD59" s="13">
        <f>IF('Données projet'!$A$88&gt;35,BD58+BC59-BL58,IF(A59&lt;'Données projet'!$A$88,$BA$205^A59,IF(A59='Données projet'!$A$88,'Données projet'!$B$88,BD58+BC59-BL58)))</f>
        <v>311.64230769230778</v>
      </c>
      <c r="BE59" s="14">
        <f>BD59*VLOOKUP('Données projet'!$B$11,Paramètres!$A$1:$I$89,3,0)*VLOOKUP('Données projet'!$B$11,Paramètres!$A$1:$I$89,5,0)</f>
        <v>186.36210000000005</v>
      </c>
      <c r="BF59" s="14">
        <f t="shared" si="37"/>
        <v>46.734762106127967</v>
      </c>
      <c r="BG59" s="22">
        <f t="shared" si="7"/>
        <v>405.97703483483957</v>
      </c>
      <c r="BH59" s="62">
        <f t="shared" si="8"/>
        <v>699.31036816817289</v>
      </c>
      <c r="BI59" s="62">
        <f ca="1">AVERAGE(OFFSET($BH$3,0,0,'Données projet'!$E$11+1,1))-AVERAGE(OFFSET($H$3,0,0,'Données projet'!$E$11+1,1))</f>
        <v>260.02504691866199</v>
      </c>
      <c r="BJ59" s="62">
        <f t="shared" si="38"/>
        <v>270.11268336406368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5.9805100131063718</v>
      </c>
      <c r="BQ59" s="23">
        <f>EXP(-LN(2)/25)*BQ58+(1-EXP(-LN(2)/25))/(LN(2)/25)*Calculateur!BL59*Calculateur!BN59*VLOOKUP('Données projet'!$B$11,Paramètres!$A$1:$I$89,3,0)*0.475*44/12</f>
        <v>7.9932965679849559</v>
      </c>
      <c r="BR59" s="23">
        <f>EXP(-LN(2)/2)*BR58+(1-EXP(-LN(2)/2))/(LN(2)/2)*BL59*BO59*VLOOKUP('Données projet'!$B$11,Paramètres!$A$1:$I$89,3,0)*0.475*44/12</f>
        <v>7.7392101390671921E-4</v>
      </c>
      <c r="BS59" s="24">
        <f t="shared" si="9"/>
        <v>13.974580502105235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10.66307692307692</v>
      </c>
      <c r="N60" s="14">
        <f>IF('Données projet'!$A$36&gt;35,N59+M60-V59,IF(A60&lt;'Données projet'!$A$36,$K$205^A60,IF(A60='Données projet'!$A$36,'Données projet'!$B$36,N59+M60-V59)))</f>
        <v>310.43384615384616</v>
      </c>
      <c r="O60" s="14">
        <f>N60*VLOOKUP('Données projet'!$B$9,Paramètres!$A$1:$I$89,3,0)*VLOOKUP('Données projet'!$B$9,Paramètres!$A$1:$I$89,5,0)</f>
        <v>185.63944000000001</v>
      </c>
      <c r="P60" s="14">
        <f t="shared" si="33"/>
        <v>46.574596113982338</v>
      </c>
      <c r="Q60" s="22">
        <f t="shared" si="53"/>
        <v>404.43944623185251</v>
      </c>
      <c r="R60" s="62">
        <f t="shared" si="0"/>
        <v>697.77277956518583</v>
      </c>
      <c r="S60" s="62">
        <f ca="1">AVERAGE(OFFSET($R$3,0,0,'Données projet'!$E$9+1,1))-AVERAGE(OFFSET($H$3,0,0,'Données projet'!$E$9+1,1))</f>
        <v>287.05726996114242</v>
      </c>
      <c r="T60" s="62">
        <f t="shared" si="34"/>
        <v>229.06617320689003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6.234557019058828</v>
      </c>
      <c r="AB60" s="23">
        <f>EXP(-LN(2)/2)*AB59+(1-EXP(-LN(2)/2))/(LN(2)/2)*V60*Y60*VLOOKUP('Données projet'!$B$9,Paramètres!$A$1:$I$89,3,0)*0.475*44/12</f>
        <v>4.5427375795279216E-4</v>
      </c>
      <c r="AC60" s="24">
        <f t="shared" si="3"/>
        <v>6.2350112928167807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5.2564102564102537</v>
      </c>
      <c r="AI60" s="14">
        <f>IF('Données projet'!$A$62&gt;35,AI59+AH60-AQ59,IF(A60&lt;'Données projet'!$A$62,$AF$205^A60,IF(A60='Données projet'!$A$62,'Données projet'!$B$62,AI59+AH60-AQ59)))</f>
        <v>217.56410256410246</v>
      </c>
      <c r="AJ60" s="14">
        <f>AI60*VLOOKUP('Données projet'!$B$10,Paramètres!$A$1:$I$89,3,0)*VLOOKUP('Données projet'!$B$10,Paramètres!$A$1:$I$89,5,0)</f>
        <v>227.39799999999991</v>
      </c>
      <c r="AK60" s="14">
        <f t="shared" si="35"/>
        <v>55.719696292134515</v>
      </c>
      <c r="AL60" s="22">
        <f t="shared" si="4"/>
        <v>493.09665437546749</v>
      </c>
      <c r="AM60" s="62">
        <f t="shared" si="5"/>
        <v>786.42998770880081</v>
      </c>
      <c r="AN60" s="62">
        <f ca="1">AVERAGE(OFFSET($AM$3,0,0,'Données projet'!$E$10+1,1))-AVERAGE(OFFSET($H$3,0,0,'Données projet'!$E$10+1,1))</f>
        <v>493.70175665335978</v>
      </c>
      <c r="AO60" s="62">
        <f t="shared" si="36"/>
        <v>325.12357781685949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10.464423076923076</v>
      </c>
      <c r="BD60" s="13">
        <f>IF('Données projet'!$A$88&gt;35,BD59+BC60-BL59,IF(A60&lt;'Données projet'!$A$88,$BA$205^A60,IF(A60='Données projet'!$A$88,'Données projet'!$B$88,BD59+BC60-BL59)))</f>
        <v>322.10673076923086</v>
      </c>
      <c r="BE60" s="14">
        <f>BD60*VLOOKUP('Données projet'!$B$11,Paramètres!$A$1:$I$89,3,0)*VLOOKUP('Données projet'!$B$11,Paramètres!$A$1:$I$89,5,0)</f>
        <v>192.61982500000008</v>
      </c>
      <c r="BF60" s="14">
        <f t="shared" si="37"/>
        <v>48.118696520369063</v>
      </c>
      <c r="BG60" s="22">
        <f t="shared" si="7"/>
        <v>419.28625831464296</v>
      </c>
      <c r="BH60" s="62">
        <f t="shared" si="8"/>
        <v>712.61959164797622</v>
      </c>
      <c r="BI60" s="62">
        <f ca="1">AVERAGE(OFFSET($BH$3,0,0,'Données projet'!$E$11+1,1))-AVERAGE(OFFSET($H$3,0,0,'Données projet'!$E$11+1,1))</f>
        <v>260.02504691866199</v>
      </c>
      <c r="BJ60" s="62">
        <f t="shared" si="38"/>
        <v>270.11268336406368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5.8632358595002785</v>
      </c>
      <c r="BQ60" s="23">
        <f>EXP(-LN(2)/25)*BQ59+(1-EXP(-LN(2)/25))/(LN(2)/25)*Calculateur!BL60*Calculateur!BN60*VLOOKUP('Données projet'!$B$11,Paramètres!$A$1:$I$89,3,0)*0.475*44/12</f>
        <v>7.7747194529842094</v>
      </c>
      <c r="BR60" s="23">
        <f>EXP(-LN(2)/2)*BR59+(1-EXP(-LN(2)/2))/(LN(2)/2)*BL60*BO60*VLOOKUP('Données projet'!$B$11,Paramètres!$A$1:$I$89,3,0)*0.475*44/12</f>
        <v>5.472447970362095E-4</v>
      </c>
      <c r="BS60" s="24">
        <f t="shared" si="9"/>
        <v>13.638502557281525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10.66307692307692</v>
      </c>
      <c r="N61" s="14">
        <f>IF('Données projet'!$A$36&gt;35,N60+M61-V60,IF(A61&lt;'Données projet'!$A$36,$K$205^A61,IF(A61='Données projet'!$A$36,'Données projet'!$B$36,N60+M61-V60)))</f>
        <v>321.09692307692308</v>
      </c>
      <c r="O61" s="14">
        <f>N61*VLOOKUP('Données projet'!$B$9,Paramètres!$A$1:$I$89,3,0)*VLOOKUP('Données projet'!$B$9,Paramètres!$A$1:$I$89,5,0)</f>
        <v>192.01596000000001</v>
      </c>
      <c r="P61" s="14">
        <f t="shared" si="33"/>
        <v>47.985378835949042</v>
      </c>
      <c r="Q61" s="22">
        <f t="shared" si="53"/>
        <v>418.00233180594455</v>
      </c>
      <c r="R61" s="62">
        <f t="shared" si="0"/>
        <v>711.33566513927781</v>
      </c>
      <c r="S61" s="62">
        <f ca="1">AVERAGE(OFFSET($R$3,0,0,'Données projet'!$E$9+1,1))-AVERAGE(OFFSET($H$3,0,0,'Données projet'!$E$9+1,1))</f>
        <v>287.05726996114242</v>
      </c>
      <c r="T61" s="62">
        <f t="shared" si="34"/>
        <v>229.06617320689003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6.06407272951156</v>
      </c>
      <c r="AB61" s="23">
        <f>EXP(-LN(2)/2)*AB60+(1-EXP(-LN(2)/2))/(LN(2)/2)*V61*Y61*VLOOKUP('Données projet'!$B$9,Paramètres!$A$1:$I$89,3,0)*0.475*44/12</f>
        <v>3.2122005476351565E-4</v>
      </c>
      <c r="AC61" s="24">
        <f t="shared" si="3"/>
        <v>6.0643939495663233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5.2564102564102537</v>
      </c>
      <c r="AI61" s="14">
        <f>IF('Données projet'!$A$62&gt;35,AI60+AH61-AQ60,IF(A61&lt;'Données projet'!$A$62,$AF$205^A61,IF(A61='Données projet'!$A$62,'Données projet'!$B$62,AI60+AH61-AQ60)))</f>
        <v>222.8205128205127</v>
      </c>
      <c r="AJ61" s="14">
        <f>AI61*VLOOKUP('Données projet'!$B$10,Paramètres!$A$1:$I$89,3,0)*VLOOKUP('Données projet'!$B$10,Paramètres!$A$1:$I$89,5,0)</f>
        <v>232.89199999999991</v>
      </c>
      <c r="AK61" s="14">
        <f t="shared" si="35"/>
        <v>56.907544064397435</v>
      </c>
      <c r="AL61" s="22">
        <f t="shared" si="4"/>
        <v>504.73420591215864</v>
      </c>
      <c r="AM61" s="62">
        <f t="shared" si="5"/>
        <v>798.06753924549196</v>
      </c>
      <c r="AN61" s="62">
        <f ca="1">AVERAGE(OFFSET($AM$3,0,0,'Données projet'!$E$10+1,1))-AVERAGE(OFFSET($H$3,0,0,'Données projet'!$E$10+1,1))</f>
        <v>493.70175665335978</v>
      </c>
      <c r="AO61" s="62">
        <f t="shared" si="36"/>
        <v>325.12357781685949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10.464423076923076</v>
      </c>
      <c r="BD61" s="13">
        <f>IF('Données projet'!$A$88&gt;35,BD60+BC61-BL60,IF(A61&lt;'Données projet'!$A$88,$BA$205^A61,IF(A61='Données projet'!$A$88,'Données projet'!$B$88,BD60+BC61-BL60)))</f>
        <v>332.57115384615395</v>
      </c>
      <c r="BE61" s="14">
        <f>BD61*VLOOKUP('Données projet'!$B$11,Paramètres!$A$1:$I$89,3,0)*VLOOKUP('Données projet'!$B$11,Paramètres!$A$1:$I$89,5,0)</f>
        <v>198.87755000000007</v>
      </c>
      <c r="BF61" s="14">
        <f t="shared" si="37"/>
        <v>49.49740644579321</v>
      </c>
      <c r="BG61" s="22">
        <f t="shared" si="7"/>
        <v>432.5863824764233</v>
      </c>
      <c r="BH61" s="62">
        <f t="shared" si="8"/>
        <v>725.91971580975655</v>
      </c>
      <c r="BI61" s="62">
        <f ca="1">AVERAGE(OFFSET($BH$3,0,0,'Données projet'!$E$11+1,1))-AVERAGE(OFFSET($H$3,0,0,'Données projet'!$E$11+1,1))</f>
        <v>260.02504691866199</v>
      </c>
      <c r="BJ61" s="62">
        <f t="shared" si="38"/>
        <v>270.11268336406368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5.7482613805162295</v>
      </c>
      <c r="BQ61" s="23">
        <f>EXP(-LN(2)/25)*BQ60+(1-EXP(-LN(2)/25))/(LN(2)/25)*Calculateur!BL61*Calculateur!BN61*VLOOKUP('Données projet'!$B$11,Paramètres!$A$1:$I$89,3,0)*0.475*44/12</f>
        <v>7.5621193406876293</v>
      </c>
      <c r="BR61" s="23">
        <f>EXP(-LN(2)/2)*BR60+(1-EXP(-LN(2)/2))/(LN(2)/2)*BL61*BO61*VLOOKUP('Données projet'!$B$11,Paramètres!$A$1:$I$89,3,0)*0.475*44/12</f>
        <v>3.869605069533596E-4</v>
      </c>
      <c r="BS61" s="24">
        <f t="shared" si="9"/>
        <v>13.310767681710812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10.66307692307692</v>
      </c>
      <c r="N62" s="14">
        <f>IF('Données projet'!$A$36&gt;35,N61+M62-V61,IF(A62&lt;'Données projet'!$A$36,$K$205^A62,IF(A62='Données projet'!$A$36,'Données projet'!$B$36,N61+M62-V61)))</f>
        <v>331.76</v>
      </c>
      <c r="O62" s="14">
        <f>N62*VLOOKUP('Données projet'!$B$9,Paramètres!$A$1:$I$89,3,0)*VLOOKUP('Données projet'!$B$9,Paramètres!$A$1:$I$89,5,0)</f>
        <v>198.39248000000001</v>
      </c>
      <c r="P62" s="14">
        <f t="shared" si="33"/>
        <v>49.39071772551025</v>
      </c>
      <c r="Q62" s="22">
        <f t="shared" si="53"/>
        <v>431.55573603859699</v>
      </c>
      <c r="R62" s="62">
        <f t="shared" si="0"/>
        <v>724.8890693719303</v>
      </c>
      <c r="S62" s="62">
        <f ca="1">AVERAGE(OFFSET($R$3,0,0,'Données projet'!$E$9+1,1))-AVERAGE(OFFSET($H$3,0,0,'Données projet'!$E$9+1,1))</f>
        <v>287.05726996114242</v>
      </c>
      <c r="T62" s="62">
        <f t="shared" si="34"/>
        <v>229.06617320689003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5.8982503418273415</v>
      </c>
      <c r="AB62" s="23">
        <f>EXP(-LN(2)/2)*AB61+(1-EXP(-LN(2)/2))/(LN(2)/2)*V62*Y62*VLOOKUP('Données projet'!$B$9,Paramètres!$A$1:$I$89,3,0)*0.475*44/12</f>
        <v>2.2713687897639608E-4</v>
      </c>
      <c r="AC62" s="24">
        <f t="shared" si="3"/>
        <v>5.8984774787063179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5.2564102564102537</v>
      </c>
      <c r="AI62" s="14">
        <f>IF('Données projet'!$A$62&gt;35,AI61+AH62-AQ61,IF(A62&lt;'Données projet'!$A$62,$AF$205^A62,IF(A62='Données projet'!$A$62,'Données projet'!$B$62,AI61+AH62-AQ61)))</f>
        <v>228.07692307692295</v>
      </c>
      <c r="AJ62" s="14">
        <f>AI62*VLOOKUP('Données projet'!$B$10,Paramètres!$A$1:$I$89,3,0)*VLOOKUP('Données projet'!$B$10,Paramètres!$A$1:$I$89,5,0)</f>
        <v>238.38599999999991</v>
      </c>
      <c r="AK62" s="14">
        <f t="shared" si="35"/>
        <v>58.092134262616966</v>
      </c>
      <c r="AL62" s="22">
        <f t="shared" si="4"/>
        <v>516.3660838407244</v>
      </c>
      <c r="AM62" s="62">
        <f t="shared" si="5"/>
        <v>809.69941717405777</v>
      </c>
      <c r="AN62" s="62">
        <f ca="1">AVERAGE(OFFSET($AM$3,0,0,'Données projet'!$E$10+1,1))-AVERAGE(OFFSET($H$3,0,0,'Données projet'!$E$10+1,1))</f>
        <v>493.70175665335978</v>
      </c>
      <c r="AO62" s="62">
        <f t="shared" si="36"/>
        <v>325.12357781685949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10.464423076923076</v>
      </c>
      <c r="BD62" s="13">
        <f>IF('Données projet'!$A$88&gt;35,BD61+BC62-BL61,IF(A62&lt;'Données projet'!$A$88,$BA$205^A62,IF(A62='Données projet'!$A$88,'Données projet'!$B$88,BD61+BC62-BL61)))</f>
        <v>343.03557692307703</v>
      </c>
      <c r="BE62" s="14">
        <f>BD62*VLOOKUP('Données projet'!$B$11,Paramètres!$A$1:$I$89,3,0)*VLOOKUP('Données projet'!$B$11,Paramètres!$A$1:$I$89,5,0)</f>
        <v>205.13527500000006</v>
      </c>
      <c r="BF62" s="14">
        <f t="shared" si="37"/>
        <v>50.871075132713329</v>
      </c>
      <c r="BG62" s="22">
        <f t="shared" si="7"/>
        <v>445.87772648114247</v>
      </c>
      <c r="BH62" s="62">
        <f t="shared" si="8"/>
        <v>739.21105981447579</v>
      </c>
      <c r="BI62" s="62">
        <f ca="1">AVERAGE(OFFSET($BH$3,0,0,'Données projet'!$E$11+1,1))-AVERAGE(OFFSET($H$3,0,0,'Données projet'!$E$11+1,1))</f>
        <v>260.02504691866199</v>
      </c>
      <c r="BJ62" s="62">
        <f t="shared" si="38"/>
        <v>270.11268336406368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5.6355414809375501</v>
      </c>
      <c r="BQ62" s="23">
        <f>EXP(-LN(2)/25)*BQ61+(1-EXP(-LN(2)/25))/(LN(2)/25)*Calculateur!BL62*Calculateur!BN62*VLOOKUP('Données projet'!$B$11,Paramètres!$A$1:$I$89,3,0)*0.475*44/12</f>
        <v>7.3553327896419534</v>
      </c>
      <c r="BR62" s="23">
        <f>EXP(-LN(2)/2)*BR61+(1-EXP(-LN(2)/2))/(LN(2)/2)*BL62*BO62*VLOOKUP('Données projet'!$B$11,Paramètres!$A$1:$I$89,3,0)*0.475*44/12</f>
        <v>2.7362239851810475E-4</v>
      </c>
      <c r="BS62" s="24">
        <f t="shared" si="9"/>
        <v>12.991147892978022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342.42307692307691</v>
      </c>
      <c r="L63" s="13">
        <f>VLOOKUP(A63,'Données projet'!$A$35:$I$55,9,0)</f>
        <v>10.66307692307692</v>
      </c>
      <c r="M63" s="13">
        <f t="array" ref="M63">INDEX(L:L,MIN(IF(ISNUMBER(L63:L259),ROW(L63:L259),"")))</f>
        <v>10.66307692307692</v>
      </c>
      <c r="N63" s="14">
        <f>IF('Données projet'!$A$36&gt;35,N62+M63-V62,IF(A63&lt;'Données projet'!$A$36,$K$205^A63,IF(A63='Données projet'!$A$36,'Données projet'!$B$36,N62+M63-V62)))</f>
        <v>342.42307692307691</v>
      </c>
      <c r="O63" s="14">
        <f>N63*VLOOKUP('Données projet'!$B$9,Paramètres!$A$1:$I$89,3,0)*VLOOKUP('Données projet'!$B$9,Paramètres!$A$1:$I$89,5,0)</f>
        <v>204.76900000000001</v>
      </c>
      <c r="P63" s="14">
        <f t="shared" si="33"/>
        <v>50.790807822254017</v>
      </c>
      <c r="Q63" s="22">
        <f t="shared" si="53"/>
        <v>445.09999862375906</v>
      </c>
      <c r="R63" s="62">
        <f t="shared" si="0"/>
        <v>738.43333195709238</v>
      </c>
      <c r="S63" s="62">
        <f ca="1">AVERAGE(OFFSET($R$3,0,0,'Données projet'!$E$9+1,1))-AVERAGE(OFFSET($H$3,0,0,'Données projet'!$E$9+1,1))</f>
        <v>287.05726996114242</v>
      </c>
      <c r="T63" s="62">
        <f t="shared" si="34"/>
        <v>229.06617320689003</v>
      </c>
      <c r="U63" s="16">
        <f>IF(ISNA(VLOOKUP(A63,'Données projet'!$A$35:$I$55,3,0)),0,VLOOKUP(A63,'Données projet'!$A$35:$I$55,3,0))</f>
        <v>6</v>
      </c>
      <c r="V63" s="16">
        <f>IF(ISNA(VLOOKUP(A63,'Données projet'!$A$35:$I$55,4,0)),0,VLOOKUP(A63,'Données projet'!$A$35:$I$55,4,0))</f>
        <v>54.261538461538464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5.736962376054568</v>
      </c>
      <c r="AB63" s="23">
        <f>EXP(-LN(2)/2)*AB62+(1-EXP(-LN(2)/2))/(LN(2)/2)*V63*Y63*VLOOKUP('Données projet'!$B$9,Paramètres!$A$1:$I$89,3,0)*0.475*44/12</f>
        <v>1.6061002738175783E-4</v>
      </c>
      <c r="AC63" s="24">
        <f t="shared" si="3"/>
        <v>5.7371229860819497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233.33333333333331</v>
      </c>
      <c r="AG63" s="13">
        <f>VLOOKUP(A63,'Données projet'!$A$61:$I$81,9,0)</f>
        <v>5.2564102564102537</v>
      </c>
      <c r="AH63" s="13">
        <f t="array" ref="AH63">INDEX(AG:AG,MIN(IF(ISNUMBER(AG63:AG259),ROW(AG63:AG259),"")))</f>
        <v>5.2564102564102537</v>
      </c>
      <c r="AI63" s="14">
        <f>IF('Données projet'!$A$62&gt;35,AI62+AH63-AQ62,IF(A63&lt;'Données projet'!$A$62,$AF$205^A63,IF(A63='Données projet'!$A$62,'Données projet'!$B$62,AI62+AH63-AQ62)))</f>
        <v>233.3333333333332</v>
      </c>
      <c r="AJ63" s="14">
        <f>AI63*VLOOKUP('Données projet'!$B$10,Paramètres!$A$1:$I$89,3,0)*VLOOKUP('Données projet'!$B$10,Paramètres!$A$1:$I$89,5,0)</f>
        <v>243.87999999999988</v>
      </c>
      <c r="AK63" s="14">
        <f t="shared" si="35"/>
        <v>59.2735506045045</v>
      </c>
      <c r="AL63" s="22">
        <f t="shared" si="4"/>
        <v>527.99243396951181</v>
      </c>
      <c r="AM63" s="62">
        <f t="shared" si="5"/>
        <v>821.32576730284518</v>
      </c>
      <c r="AN63" s="62">
        <f ca="1">AVERAGE(OFFSET($AM$3,0,0,'Données projet'!$E$10+1,1))-AVERAGE(OFFSET($H$3,0,0,'Données projet'!$E$10+1,1))</f>
        <v>493.70175665335978</v>
      </c>
      <c r="AO63" s="62">
        <f t="shared" si="36"/>
        <v>325.12357781685949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24.358974358974358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353.5</v>
      </c>
      <c r="BB63" s="13">
        <f>VLOOKUP(A63,'Données projet'!$A$87:$I$107,9,0)</f>
        <v>10.464423076923076</v>
      </c>
      <c r="BC63" s="13">
        <f t="array" ref="BC63">INDEX(BB:BB,MIN(IF(ISNUMBER(BB63:BB259),ROW(BB63:BB259),"")))</f>
        <v>10.464423076923076</v>
      </c>
      <c r="BD63" s="13">
        <f>IF('Données projet'!$A$88&gt;35,BD62+BC63-BL62,IF(A63&lt;'Données projet'!$A$88,$BA$205^A63,IF(A63='Données projet'!$A$88,'Données projet'!$B$88,BD62+BC63-BL62)))</f>
        <v>353.50000000000011</v>
      </c>
      <c r="BE63" s="14">
        <f>BD63*VLOOKUP('Données projet'!$B$11,Paramètres!$A$1:$I$89,3,0)*VLOOKUP('Données projet'!$B$11,Paramètres!$A$1:$I$89,5,0)</f>
        <v>211.39300000000009</v>
      </c>
      <c r="BF63" s="14">
        <f t="shared" si="37"/>
        <v>52.239874015944089</v>
      </c>
      <c r="BG63" s="22">
        <f t="shared" si="7"/>
        <v>459.16058891110282</v>
      </c>
      <c r="BH63" s="62">
        <f t="shared" si="8"/>
        <v>752.49392224443613</v>
      </c>
      <c r="BI63" s="62">
        <f ca="1">AVERAGE(OFFSET($BH$3,0,0,'Données projet'!$E$11+1,1))-AVERAGE(OFFSET($H$3,0,0,'Données projet'!$E$11+1,1))</f>
        <v>260.02504691866199</v>
      </c>
      <c r="BJ63" s="62">
        <f t="shared" si="38"/>
        <v>270.11268336406368</v>
      </c>
      <c r="BK63" s="16">
        <f>IF(ISNA(VLOOKUP(A63,'Données projet'!$A$87:$I$107,3,0)),0,VLOOKUP(A63,'Données projet'!$A$87:$I$107,3,0))</f>
        <v>7</v>
      </c>
      <c r="BL63" s="16">
        <f>IF(ISNA(VLOOKUP(A63,'Données projet'!$A$87:$I$107,4,0)),0,VLOOKUP(A63,'Données projet'!$A$87:$I$107,4,0))</f>
        <v>353.5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5.5250319498372589</v>
      </c>
      <c r="BQ63" s="23">
        <f>EXP(-LN(2)/25)*BQ62+(1-EXP(-LN(2)/25))/(LN(2)/25)*Calculateur!BL63*Calculateur!BN63*VLOOKUP('Données projet'!$B$11,Paramètres!$A$1:$I$89,3,0)*0.475*44/12</f>
        <v>7.1542008277090536</v>
      </c>
      <c r="BR63" s="23">
        <f>EXP(-LN(2)/2)*BR62+(1-EXP(-LN(2)/2))/(LN(2)/2)*BL63*BO63*VLOOKUP('Données projet'!$B$11,Paramètres!$A$1:$I$89,3,0)*0.475*44/12</f>
        <v>1.934802534766798E-4</v>
      </c>
      <c r="BS63" s="24">
        <f t="shared" si="9"/>
        <v>12.67942625779979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9.1830769230769249</v>
      </c>
      <c r="N64" s="14">
        <f>IF('Données projet'!$A$36&gt;35,N63+M64-V63,IF(A64&lt;'Données projet'!$A$36,$K$205^A64,IF(A64='Données projet'!$A$36,'Données projet'!$B$36,N63+M64-V63)))</f>
        <v>297.34461538461534</v>
      </c>
      <c r="O64" s="14">
        <f>N64*VLOOKUP('Données projet'!$B$9,Paramètres!$A$1:$I$89,3,0)*VLOOKUP('Données projet'!$B$9,Paramètres!$A$1:$I$89,5,0)</f>
        <v>177.81207999999998</v>
      </c>
      <c r="P64" s="14">
        <f t="shared" si="33"/>
        <v>44.835068353066951</v>
      </c>
      <c r="Q64" s="22">
        <f t="shared" si="53"/>
        <v>387.77711671492489</v>
      </c>
      <c r="R64" s="62">
        <f t="shared" si="0"/>
        <v>681.11045004825814</v>
      </c>
      <c r="S64" s="62">
        <f ca="1">AVERAGE(OFFSET($R$3,0,0,'Données projet'!$E$9+1,1))-AVERAGE(OFFSET($H$3,0,0,'Données projet'!$E$9+1,1))</f>
        <v>287.05726996114242</v>
      </c>
      <c r="T64" s="62">
        <f t="shared" si="34"/>
        <v>229.06617320689003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5.5800848381876165</v>
      </c>
      <c r="AB64" s="23">
        <f>EXP(-LN(2)/2)*AB63+(1-EXP(-LN(2)/2))/(LN(2)/2)*V64*Y64*VLOOKUP('Données projet'!$B$9,Paramètres!$A$1:$I$89,3,0)*0.475*44/12</f>
        <v>1.1356843948819804E-4</v>
      </c>
      <c r="AC64" s="24">
        <f t="shared" si="3"/>
        <v>5.5801984066271046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5.0000000000000053</v>
      </c>
      <c r="AI64" s="14">
        <f>IF('Données projet'!$A$62&gt;35,AI63+AH64-AQ63,IF(A64&lt;'Données projet'!$A$62,$AF$205^A64,IF(A64='Données projet'!$A$62,'Données projet'!$B$62,AI63+AH64-AQ63)))</f>
        <v>213.97435897435884</v>
      </c>
      <c r="AJ64" s="14">
        <f>AI64*VLOOKUP('Données projet'!$B$10,Paramètres!$A$1:$I$89,3,0)*VLOOKUP('Données projet'!$B$10,Paramètres!$A$1:$I$89,5,0)</f>
        <v>223.64599999999987</v>
      </c>
      <c r="AK64" s="14">
        <f t="shared" si="35"/>
        <v>54.906566144961104</v>
      </c>
      <c r="AL64" s="22">
        <f t="shared" si="4"/>
        <v>485.14571936914029</v>
      </c>
      <c r="AM64" s="62">
        <f t="shared" si="5"/>
        <v>778.47905270247361</v>
      </c>
      <c r="AN64" s="62">
        <f ca="1">AVERAGE(OFFSET($AM$3,0,0,'Données projet'!$E$10+1,1))-AVERAGE(OFFSET($H$3,0,0,'Données projet'!$E$10+1,1))</f>
        <v>493.70175665335978</v>
      </c>
      <c r="AO64" s="62">
        <f t="shared" si="36"/>
        <v>325.12357781685949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6.7984728957526396E-14</v>
      </c>
      <c r="BF64" s="14">
        <f t="shared" si="37"/>
        <v>1.0682447123141398E-12</v>
      </c>
      <c r="BG64" s="22">
        <f t="shared" si="7"/>
        <v>1.978932943548152E-12</v>
      </c>
      <c r="BH64" s="62">
        <f t="shared" si="8"/>
        <v>293.3333333333353</v>
      </c>
      <c r="BI64" s="62">
        <f ca="1">AVERAGE(OFFSET($BH$3,0,0,'Données projet'!$E$11+1,1))-AVERAGE(OFFSET($H$3,0,0,'Données projet'!$E$11+1,1))</f>
        <v>260.02504691866199</v>
      </c>
      <c r="BJ64" s="62">
        <f t="shared" si="38"/>
        <v>270.11268336406368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5.4166894432376864</v>
      </c>
      <c r="BQ64" s="23">
        <f>EXP(-LN(2)/25)*BQ63+(1-EXP(-LN(2)/25))/(LN(2)/25)*Calculateur!BL64*Calculateur!BN64*VLOOKUP('Données projet'!$B$11,Paramètres!$A$1:$I$89,3,0)*0.475*44/12</f>
        <v>6.958568829852279</v>
      </c>
      <c r="BR64" s="23">
        <f>EXP(-LN(2)/2)*BR63+(1-EXP(-LN(2)/2))/(LN(2)/2)*BL64*BO64*VLOOKUP('Données projet'!$B$11,Paramètres!$A$1:$I$89,3,0)*0.475*44/12</f>
        <v>1.3681119925905238E-4</v>
      </c>
      <c r="BS64" s="24">
        <f t="shared" si="9"/>
        <v>12.375395084289224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9.1830769230769249</v>
      </c>
      <c r="N65" s="14">
        <f>IF('Données projet'!$A$36&gt;35,N64+M65-V64,IF(A65&lt;'Données projet'!$A$36,$K$205^A65,IF(A65='Données projet'!$A$36,'Données projet'!$B$36,N64+M65-V64)))</f>
        <v>306.52769230769229</v>
      </c>
      <c r="O65" s="14">
        <f>N65*VLOOKUP('Données projet'!$B$9,Paramètres!$A$1:$I$89,3,0)*VLOOKUP('Données projet'!$B$9,Paramètres!$A$1:$I$89,5,0)</f>
        <v>183.30356</v>
      </c>
      <c r="P65" s="14">
        <f t="shared" si="33"/>
        <v>46.056387641494027</v>
      </c>
      <c r="Q65" s="22">
        <f t="shared" si="53"/>
        <v>399.46857547560211</v>
      </c>
      <c r="R65" s="62">
        <f t="shared" si="0"/>
        <v>692.80190880893542</v>
      </c>
      <c r="S65" s="62">
        <f ca="1">AVERAGE(OFFSET($R$3,0,0,'Données projet'!$E$9+1,1))-AVERAGE(OFFSET($H$3,0,0,'Données projet'!$E$9+1,1))</f>
        <v>287.05726996114242</v>
      </c>
      <c r="T65" s="62">
        <f t="shared" si="34"/>
        <v>229.06617320689003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5.4274971248434678</v>
      </c>
      <c r="AB65" s="23">
        <f>EXP(-LN(2)/2)*AB64+(1-EXP(-LN(2)/2))/(LN(2)/2)*V65*Y65*VLOOKUP('Données projet'!$B$9,Paramètres!$A$1:$I$89,3,0)*0.475*44/12</f>
        <v>8.0305013690878913E-5</v>
      </c>
      <c r="AC65" s="24">
        <f t="shared" si="3"/>
        <v>5.4275774298571591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5.0000000000000053</v>
      </c>
      <c r="AI65" s="14">
        <f>IF('Données projet'!$A$62&gt;35,AI64+AH65-AQ64,IF(A65&lt;'Données projet'!$A$62,$AF$205^A65,IF(A65='Données projet'!$A$62,'Données projet'!$B$62,AI64+AH65-AQ64)))</f>
        <v>218.97435897435884</v>
      </c>
      <c r="AJ65" s="14">
        <f>AI65*VLOOKUP('Données projet'!$B$10,Paramètres!$A$1:$I$89,3,0)*VLOOKUP('Données projet'!$B$10,Paramètres!$A$1:$I$89,5,0)</f>
        <v>228.87199999999987</v>
      </c>
      <c r="AK65" s="14">
        <f t="shared" si="35"/>
        <v>56.038711813998113</v>
      </c>
      <c r="AL65" s="22">
        <f t="shared" si="4"/>
        <v>496.21948974271317</v>
      </c>
      <c r="AM65" s="62">
        <f t="shared" si="5"/>
        <v>789.55282307604648</v>
      </c>
      <c r="AN65" s="62">
        <f ca="1">AVERAGE(OFFSET($AM$3,0,0,'Données projet'!$E$10+1,1))-AVERAGE(OFFSET($H$3,0,0,'Données projet'!$E$10+1,1))</f>
        <v>493.70175665335978</v>
      </c>
      <c r="AO65" s="62">
        <f t="shared" si="36"/>
        <v>325.12357781685949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6.7984728957526396E-14</v>
      </c>
      <c r="BF65" s="14">
        <f t="shared" si="37"/>
        <v>1.0682447123141398E-12</v>
      </c>
      <c r="BG65" s="22">
        <f t="shared" si="7"/>
        <v>1.978932943548152E-12</v>
      </c>
      <c r="BH65" s="62">
        <f t="shared" si="8"/>
        <v>293.3333333333353</v>
      </c>
      <c r="BI65" s="62">
        <f ca="1">AVERAGE(OFFSET($BH$3,0,0,'Données projet'!$E$11+1,1))-AVERAGE(OFFSET($H$3,0,0,'Données projet'!$E$11+1,1))</f>
        <v>260.02504691866199</v>
      </c>
      <c r="BJ65" s="62">
        <f t="shared" si="38"/>
        <v>270.11268336406368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5.3104714671101272</v>
      </c>
      <c r="BQ65" s="23">
        <f>EXP(-LN(2)/25)*BQ64+(1-EXP(-LN(2)/25))/(LN(2)/25)*Calculateur!BL65*Calculateur!BN65*VLOOKUP('Données projet'!$B$11,Paramètres!$A$1:$I$89,3,0)*0.475*44/12</f>
        <v>6.7682863992647375</v>
      </c>
      <c r="BR65" s="23">
        <f>EXP(-LN(2)/2)*BR64+(1-EXP(-LN(2)/2))/(LN(2)/2)*BL65*BO65*VLOOKUP('Données projet'!$B$11,Paramètres!$A$1:$I$89,3,0)*0.475*44/12</f>
        <v>9.6740126738339901E-5</v>
      </c>
      <c r="BS65" s="24">
        <f t="shared" si="9"/>
        <v>12.078854606501602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9.1830769230769249</v>
      </c>
      <c r="N66" s="14">
        <f>IF('Données projet'!$A$36&gt;35,N65+M66-V65,IF(A66&lt;'Données projet'!$A$36,$K$205^A66,IF(A66='Données projet'!$A$36,'Données projet'!$B$36,N65+M66-V65)))</f>
        <v>315.71076923076919</v>
      </c>
      <c r="O66" s="14">
        <f>N66*VLOOKUP('Données projet'!$B$9,Paramètres!$A$1:$I$89,3,0)*VLOOKUP('Données projet'!$B$9,Paramètres!$A$1:$I$89,5,0)</f>
        <v>188.79504</v>
      </c>
      <c r="P66" s="14">
        <f t="shared" si="33"/>
        <v>47.273454743056831</v>
      </c>
      <c r="Q66" s="22">
        <f t="shared" si="53"/>
        <v>411.15262834415722</v>
      </c>
      <c r="R66" s="62">
        <f t="shared" si="0"/>
        <v>704.48596167749054</v>
      </c>
      <c r="S66" s="62">
        <f ca="1">AVERAGE(OFFSET($R$3,0,0,'Données projet'!$E$9+1,1))-AVERAGE(OFFSET($H$3,0,0,'Données projet'!$E$9+1,1))</f>
        <v>287.05726996114242</v>
      </c>
      <c r="T66" s="62">
        <f t="shared" si="34"/>
        <v>229.06617320689003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5.2790819305449537</v>
      </c>
      <c r="AB66" s="23">
        <f>EXP(-LN(2)/2)*AB65+(1-EXP(-LN(2)/2))/(LN(2)/2)*V66*Y66*VLOOKUP('Données projet'!$B$9,Paramètres!$A$1:$I$89,3,0)*0.475*44/12</f>
        <v>5.678421974409902E-5</v>
      </c>
      <c r="AC66" s="24">
        <f t="shared" si="3"/>
        <v>5.2791387147646978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5.0000000000000053</v>
      </c>
      <c r="AI66" s="14">
        <f>IF('Données projet'!$A$62&gt;35,AI65+AH66-AQ65,IF(A66&lt;'Données projet'!$A$62,$AF$205^A66,IF(A66='Données projet'!$A$62,'Données projet'!$B$62,AI65+AH66-AQ65)))</f>
        <v>223.97435897435884</v>
      </c>
      <c r="AJ66" s="14">
        <f>AI66*VLOOKUP('Données projet'!$B$10,Paramètres!$A$1:$I$89,3,0)*VLOOKUP('Données projet'!$B$10,Paramètres!$A$1:$I$89,5,0)</f>
        <v>234.09799999999987</v>
      </c>
      <c r="AK66" s="14">
        <f t="shared" si="35"/>
        <v>57.167852134096286</v>
      </c>
      <c r="AL66" s="22">
        <f t="shared" si="4"/>
        <v>507.28802580021755</v>
      </c>
      <c r="AM66" s="62">
        <f t="shared" si="5"/>
        <v>800.62135913355087</v>
      </c>
      <c r="AN66" s="62">
        <f ca="1">AVERAGE(OFFSET($AM$3,0,0,'Données projet'!$E$10+1,1))-AVERAGE(OFFSET($H$3,0,0,'Données projet'!$E$10+1,1))</f>
        <v>493.70175665335978</v>
      </c>
      <c r="AO66" s="62">
        <f t="shared" si="36"/>
        <v>325.12357781685949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6.7984728957526396E-14</v>
      </c>
      <c r="BF66" s="14">
        <f t="shared" si="37"/>
        <v>1.0682447123141398E-12</v>
      </c>
      <c r="BG66" s="22">
        <f t="shared" si="7"/>
        <v>1.978932943548152E-12</v>
      </c>
      <c r="BH66" s="62">
        <f t="shared" si="8"/>
        <v>293.3333333333353</v>
      </c>
      <c r="BI66" s="62">
        <f ca="1">AVERAGE(OFFSET($BH$3,0,0,'Données projet'!$E$11+1,1))-AVERAGE(OFFSET($H$3,0,0,'Données projet'!$E$11+1,1))</f>
        <v>260.02504691866199</v>
      </c>
      <c r="BJ66" s="62">
        <f t="shared" si="38"/>
        <v>270.11268336406368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5.2063363607078612</v>
      </c>
      <c r="BQ66" s="23">
        <f>EXP(-LN(2)/25)*BQ65+(1-EXP(-LN(2)/25))/(LN(2)/25)*Calculateur!BL66*Calculateur!BN66*VLOOKUP('Données projet'!$B$11,Paramètres!$A$1:$I$89,3,0)*0.475*44/12</f>
        <v>6.5832072517481306</v>
      </c>
      <c r="BR66" s="23">
        <f>EXP(-LN(2)/2)*BR65+(1-EXP(-LN(2)/2))/(LN(2)/2)*BL66*BO66*VLOOKUP('Données projet'!$B$11,Paramètres!$A$1:$I$89,3,0)*0.475*44/12</f>
        <v>6.8405599629526188E-5</v>
      </c>
      <c r="BS66" s="24">
        <f t="shared" si="9"/>
        <v>11.789612018055621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9.1830769230769249</v>
      </c>
      <c r="N67" s="14">
        <f>IF('Données projet'!$A$36&gt;35,N66+M67-V66,IF(A67&lt;'Données projet'!$A$36,$K$205^A67,IF(A67='Données projet'!$A$36,'Données projet'!$B$36,N66+M67-V66)))</f>
        <v>324.89384615384608</v>
      </c>
      <c r="O67" s="14">
        <f>N67*VLOOKUP('Données projet'!$B$9,Paramètres!$A$1:$I$89,3,0)*VLOOKUP('Données projet'!$B$9,Paramètres!$A$1:$I$89,5,0)</f>
        <v>194.28651999999997</v>
      </c>
      <c r="P67" s="14">
        <f t="shared" si="33"/>
        <v>48.486407543748122</v>
      </c>
      <c r="Q67" s="22">
        <f t="shared" ref="Q67:Q98" si="54">(O67+P67)*0.475*44/12</f>
        <v>422.82951547202788</v>
      </c>
      <c r="R67" s="62">
        <f t="shared" ref="R67:R130" si="55">Q67+(I67+J67)*44/12</f>
        <v>716.16284880536114</v>
      </c>
      <c r="S67" s="62">
        <f ca="1">AVERAGE(OFFSET($R$3,0,0,'Données projet'!$E$9+1,1))-AVERAGE(OFFSET($H$3,0,0,'Données projet'!$E$9+1,1))</f>
        <v>287.05726996114242</v>
      </c>
      <c r="T67" s="62">
        <f t="shared" si="34"/>
        <v>229.06617320689003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5.1347251575393491</v>
      </c>
      <c r="AB67" s="23">
        <f>EXP(-LN(2)/2)*AB66+(1-EXP(-LN(2)/2))/(LN(2)/2)*V67*Y67*VLOOKUP('Données projet'!$B$9,Paramètres!$A$1:$I$89,3,0)*0.475*44/12</f>
        <v>4.0152506845439457E-5</v>
      </c>
      <c r="AC67" s="24">
        <f t="shared" si="3"/>
        <v>5.1347653100461947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5.0000000000000053</v>
      </c>
      <c r="AI67" s="14">
        <f>IF('Données projet'!$A$62&gt;35,AI66+AH67-AQ66,IF(A67&lt;'Données projet'!$A$62,$AF$205^A67,IF(A67='Données projet'!$A$62,'Données projet'!$B$62,AI66+AH67-AQ66)))</f>
        <v>228.97435897435884</v>
      </c>
      <c r="AJ67" s="14">
        <f>AI67*VLOOKUP('Données projet'!$B$10,Paramètres!$A$1:$I$89,3,0)*VLOOKUP('Données projet'!$B$10,Paramètres!$A$1:$I$89,5,0)</f>
        <v>239.32399999999987</v>
      </c>
      <c r="AK67" s="14">
        <f t="shared" si="35"/>
        <v>58.294061921376255</v>
      </c>
      <c r="AL67" s="22">
        <f t="shared" si="4"/>
        <v>518.35145784639667</v>
      </c>
      <c r="AM67" s="62">
        <f t="shared" si="5"/>
        <v>811.68479117972993</v>
      </c>
      <c r="AN67" s="62">
        <f ca="1">AVERAGE(OFFSET($AM$3,0,0,'Données projet'!$E$10+1,1))-AVERAGE(OFFSET($H$3,0,0,'Données projet'!$E$10+1,1))</f>
        <v>493.70175665335978</v>
      </c>
      <c r="AO67" s="62">
        <f t="shared" si="36"/>
        <v>325.12357781685949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6.7984728957526396E-14</v>
      </c>
      <c r="BF67" s="14">
        <f t="shared" si="37"/>
        <v>1.0682447123141398E-12</v>
      </c>
      <c r="BG67" s="22">
        <f t="shared" si="7"/>
        <v>1.978932943548152E-12</v>
      </c>
      <c r="BH67" s="62">
        <f t="shared" si="8"/>
        <v>293.3333333333353</v>
      </c>
      <c r="BI67" s="62">
        <f ca="1">AVERAGE(OFFSET($BH$3,0,0,'Données projet'!$E$11+1,1))-AVERAGE(OFFSET($H$3,0,0,'Données projet'!$E$11+1,1))</f>
        <v>260.02504691866199</v>
      </c>
      <c r="BJ67" s="62">
        <f t="shared" si="38"/>
        <v>270.11268336406368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5.104243280226</v>
      </c>
      <c r="BQ67" s="23">
        <f>EXP(-LN(2)/25)*BQ66+(1-EXP(-LN(2)/25))/(LN(2)/25)*Calculateur!BL67*Calculateur!BN67*VLOOKUP('Données projet'!$B$11,Paramètres!$A$1:$I$89,3,0)*0.475*44/12</f>
        <v>6.4031891032532551</v>
      </c>
      <c r="BR67" s="23">
        <f>EXP(-LN(2)/2)*BR66+(1-EXP(-LN(2)/2))/(LN(2)/2)*BL67*BO67*VLOOKUP('Données projet'!$B$11,Paramètres!$A$1:$I$89,3,0)*0.475*44/12</f>
        <v>4.837006336916995E-5</v>
      </c>
      <c r="BS67" s="24">
        <f t="shared" si="9"/>
        <v>11.507480753542625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9.1830769230769249</v>
      </c>
      <c r="N68" s="14">
        <f>IF('Données projet'!$A$36&gt;35,N67+M68-V67,IF(A68&lt;'Données projet'!$A$36,$K$205^A68,IF(A68='Données projet'!$A$36,'Données projet'!$B$36,N67+M68-V67)))</f>
        <v>334.07692307692298</v>
      </c>
      <c r="O68" s="14">
        <f>N68*VLOOKUP('Données projet'!$B$9,Paramètres!$A$1:$I$89,3,0)*VLOOKUP('Données projet'!$B$9,Paramètres!$A$1:$I$89,5,0)</f>
        <v>199.77799999999996</v>
      </c>
      <c r="P68" s="14">
        <f t="shared" si="33"/>
        <v>49.695375691492842</v>
      </c>
      <c r="Q68" s="22">
        <f t="shared" si="54"/>
        <v>434.4994626626833</v>
      </c>
      <c r="R68" s="62">
        <f t="shared" si="55"/>
        <v>727.83279599601656</v>
      </c>
      <c r="S68" s="62">
        <f ca="1">AVERAGE(OFFSET($R$3,0,0,'Données projet'!$E$9+1,1))-AVERAGE(OFFSET($H$3,0,0,'Données projet'!$E$9+1,1))</f>
        <v>287.05726996114242</v>
      </c>
      <c r="T68" s="62">
        <f t="shared" si="34"/>
        <v>229.06617320689003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4.9943158280829749</v>
      </c>
      <c r="AB68" s="23">
        <f>EXP(-LN(2)/2)*AB67+(1-EXP(-LN(2)/2))/(LN(2)/2)*V68*Y68*VLOOKUP('Données projet'!$B$9,Paramètres!$A$1:$I$89,3,0)*0.475*44/12</f>
        <v>2.839210987204951E-5</v>
      </c>
      <c r="AC68" s="24">
        <f t="shared" ref="AC68:AC131" si="57">SUM(Z68:AB68)</f>
        <v>4.994344220192847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233.97435897435898</v>
      </c>
      <c r="AG68" s="13">
        <f>VLOOKUP(A68,'Données projet'!$A$61:$I$81,9,0)</f>
        <v>5.0000000000000053</v>
      </c>
      <c r="AH68" s="13">
        <f t="array" ref="AH68">INDEX(AG:AG,MIN(IF(ISNUMBER(AG68:AG264),ROW(AG68:AG264),"")))</f>
        <v>5.0000000000000053</v>
      </c>
      <c r="AI68" s="14">
        <f>IF('Données projet'!$A$62&gt;35,AI67+AH68-AQ67,IF(A68&lt;'Données projet'!$A$62,$AF$205^A68,IF(A68='Données projet'!$A$62,'Données projet'!$B$62,AI67+AH68-AQ67)))</f>
        <v>233.97435897435884</v>
      </c>
      <c r="AJ68" s="14">
        <f>AI68*VLOOKUP('Données projet'!$B$10,Paramètres!$A$1:$I$89,3,0)*VLOOKUP('Données projet'!$B$10,Paramètres!$A$1:$I$89,5,0)</f>
        <v>244.5499999999999</v>
      </c>
      <c r="AK68" s="14">
        <f t="shared" si="35"/>
        <v>59.417412537913442</v>
      </c>
      <c r="AL68" s="22">
        <f t="shared" ref="AL68:AL131" si="58">(AJ68+AK68)*0.475*44/12</f>
        <v>529.40991017019905</v>
      </c>
      <c r="AM68" s="62">
        <f t="shared" ref="AM68:AM131" si="59">AL68+(AD68+AE68)*44/12</f>
        <v>822.74324350353231</v>
      </c>
      <c r="AN68" s="62">
        <f ca="1">AVERAGE(OFFSET($AM$3,0,0,'Données projet'!$E$10+1,1))-AVERAGE(OFFSET($H$3,0,0,'Données projet'!$E$10+1,1))</f>
        <v>493.70175665335978</v>
      </c>
      <c r="AO68" s="62">
        <f t="shared" si="36"/>
        <v>325.12357781685949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6.7984728957526396E-14</v>
      </c>
      <c r="BF68" s="14">
        <f t="shared" si="37"/>
        <v>1.0682447123141398E-12</v>
      </c>
      <c r="BG68" s="22">
        <f t="shared" ref="BG68:BG131" si="61">(BE68+BF68)*0.475*44/12</f>
        <v>1.978932943548152E-12</v>
      </c>
      <c r="BH68" s="62">
        <f t="shared" ref="BH68:BH131" si="62">BG68+(AY68+AZ68)*44/12</f>
        <v>293.3333333333353</v>
      </c>
      <c r="BI68" s="62">
        <f ca="1">AVERAGE(OFFSET($BH$3,0,0,'Données projet'!$E$11+1,1))-AVERAGE(OFFSET($H$3,0,0,'Données projet'!$E$11+1,1))</f>
        <v>260.02504691866199</v>
      </c>
      <c r="BJ68" s="62">
        <f t="shared" si="38"/>
        <v>270.11268336406368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5.0041521827817581</v>
      </c>
      <c r="BQ68" s="23">
        <f>EXP(-LN(2)/25)*BQ67+(1-EXP(-LN(2)/25))/(LN(2)/25)*Calculateur!BL68*Calculateur!BN68*VLOOKUP('Données projet'!$B$11,Paramètres!$A$1:$I$89,3,0)*0.475*44/12</f>
        <v>6.2280935604957142</v>
      </c>
      <c r="BR68" s="23">
        <f>EXP(-LN(2)/2)*BR67+(1-EXP(-LN(2)/2))/(LN(2)/2)*BL68*BO68*VLOOKUP('Données projet'!$B$11,Paramètres!$A$1:$I$89,3,0)*0.475*44/12</f>
        <v>3.4202799814763094E-5</v>
      </c>
      <c r="BS68" s="24">
        <f t="shared" ref="BS68:BS131" si="63">SUM(BP68:BR68)</f>
        <v>11.232279946077288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9.1830769230769249</v>
      </c>
      <c r="N69" s="14">
        <f>IF('Données projet'!$A$36&gt;35,N68+M69-V68,IF(A69&lt;'Données projet'!$A$36,$K$205^A69,IF(A69='Données projet'!$A$36,'Données projet'!$B$36,N68+M69-V68)))</f>
        <v>343.25999999999988</v>
      </c>
      <c r="O69" s="14">
        <f>N69*VLOOKUP('Données projet'!$B$9,Paramètres!$A$1:$I$89,3,0)*VLOOKUP('Données projet'!$B$9,Paramètres!$A$1:$I$89,5,0)</f>
        <v>205.26947999999996</v>
      </c>
      <c r="P69" s="14">
        <f t="shared" ref="P69:P132" si="87">EXP(-1.0587+0.8836*LN(O69)+0.284)</f>
        <v>50.900481301079942</v>
      </c>
      <c r="Q69" s="22">
        <f t="shared" si="54"/>
        <v>446.16268259938084</v>
      </c>
      <c r="R69" s="62">
        <f t="shared" si="55"/>
        <v>739.49601593271416</v>
      </c>
      <c r="S69" s="62">
        <f ca="1">AVERAGE(OFFSET($R$3,0,0,'Données projet'!$E$9+1,1))-AVERAGE(OFFSET($H$3,0,0,'Données projet'!$E$9+1,1))</f>
        <v>287.05726996114242</v>
      </c>
      <c r="T69" s="62">
        <f t="shared" ref="T69:T132" si="88">$T$3</f>
        <v>229.06617320689003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4.8577459991243916</v>
      </c>
      <c r="AB69" s="23">
        <f>EXP(-LN(2)/2)*AB68+(1-EXP(-LN(2)/2))/(LN(2)/2)*V69*Y69*VLOOKUP('Données projet'!$B$9,Paramètres!$A$1:$I$89,3,0)*0.475*44/12</f>
        <v>2.0076253422719728E-5</v>
      </c>
      <c r="AC69" s="24">
        <f t="shared" si="57"/>
        <v>4.857766075377814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4.8717948717948669</v>
      </c>
      <c r="AI69" s="14">
        <f>IF('Données projet'!$A$62&gt;35,AI68+AH69-AQ68,IF(A69&lt;'Données projet'!$A$62,$AF$205^A69,IF(A69='Données projet'!$A$62,'Données projet'!$B$62,AI68+AH69-AQ68)))</f>
        <v>238.8461538461537</v>
      </c>
      <c r="AJ69" s="14">
        <f>AI69*VLOOKUP('Données projet'!$B$10,Paramètres!$A$1:$I$89,3,0)*VLOOKUP('Données projet'!$B$10,Paramètres!$A$1:$I$89,5,0)</f>
        <v>249.64199999999988</v>
      </c>
      <c r="AK69" s="14">
        <f t="shared" ref="AK69:AK132" si="89">EXP(-1.0587+0.8836*LN(AJ69)+0.284)</f>
        <v>60.509274148016289</v>
      </c>
      <c r="AL69" s="22">
        <f t="shared" si="58"/>
        <v>540.18013580779473</v>
      </c>
      <c r="AM69" s="62">
        <f t="shared" si="59"/>
        <v>833.5134691411281</v>
      </c>
      <c r="AN69" s="62">
        <f ca="1">AVERAGE(OFFSET($AM$3,0,0,'Données projet'!$E$10+1,1))-AVERAGE(OFFSET($H$3,0,0,'Données projet'!$E$10+1,1))</f>
        <v>493.70175665335978</v>
      </c>
      <c r="AO69" s="62">
        <f t="shared" ref="AO69:AO132" si="90">$AO$3</f>
        <v>325.12357781685949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6.7984728957526396E-14</v>
      </c>
      <c r="BF69" s="14">
        <f t="shared" ref="BF69:BF132" si="91">EXP(-1.0587+0.8836*LN(BE69)+0.284)</f>
        <v>1.0682447123141398E-12</v>
      </c>
      <c r="BG69" s="22">
        <f t="shared" si="61"/>
        <v>1.978932943548152E-12</v>
      </c>
      <c r="BH69" s="62">
        <f t="shared" si="62"/>
        <v>293.3333333333353</v>
      </c>
      <c r="BI69" s="62">
        <f ca="1">AVERAGE(OFFSET($BH$3,0,0,'Données projet'!$E$11+1,1))-AVERAGE(OFFSET($H$3,0,0,'Données projet'!$E$11+1,1))</f>
        <v>260.02504691866199</v>
      </c>
      <c r="BJ69" s="62">
        <f t="shared" ref="BJ69:BJ132" si="92">$BJ$3</f>
        <v>270.11268336406368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4.9060238107088567</v>
      </c>
      <c r="BQ69" s="23">
        <f>EXP(-LN(2)/25)*BQ68+(1-EXP(-LN(2)/25))/(LN(2)/25)*Calculateur!BL69*Calculateur!BN69*VLOOKUP('Données projet'!$B$11,Paramètres!$A$1:$I$89,3,0)*0.475*44/12</f>
        <v>6.0577860145627529</v>
      </c>
      <c r="BR69" s="23">
        <f>EXP(-LN(2)/2)*BR68+(1-EXP(-LN(2)/2))/(LN(2)/2)*BL69*BO69*VLOOKUP('Données projet'!$B$11,Paramètres!$A$1:$I$89,3,0)*0.475*44/12</f>
        <v>2.4185031684584975E-5</v>
      </c>
      <c r="BS69" s="24">
        <f t="shared" si="63"/>
        <v>10.963834010303295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9.1830769230769249</v>
      </c>
      <c r="N70" s="14">
        <f>IF('Données projet'!$A$36&gt;35,N69+M70-V69,IF(A70&lt;'Données projet'!$A$36,$K$205^A70,IF(A70='Données projet'!$A$36,'Données projet'!$B$36,N69+M70-V69)))</f>
        <v>352.44307692307677</v>
      </c>
      <c r="O70" s="14">
        <f>N70*VLOOKUP('Données projet'!$B$9,Paramètres!$A$1:$I$89,3,0)*VLOOKUP('Données projet'!$B$9,Paramètres!$A$1:$I$89,5,0)</f>
        <v>210.76095999999993</v>
      </c>
      <c r="P70" s="14">
        <f t="shared" si="87"/>
        <v>52.101839581538208</v>
      </c>
      <c r="Q70" s="22">
        <f t="shared" si="54"/>
        <v>457.81937593784551</v>
      </c>
      <c r="R70" s="62">
        <f t="shared" si="55"/>
        <v>751.15270927117876</v>
      </c>
      <c r="S70" s="62">
        <f ca="1">AVERAGE(OFFSET($R$3,0,0,'Données projet'!$E$9+1,1))-AVERAGE(OFFSET($H$3,0,0,'Données projet'!$E$9+1,1))</f>
        <v>287.05726996114242</v>
      </c>
      <c r="T70" s="62">
        <f t="shared" si="88"/>
        <v>229.06617320689003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4.7249106793205753</v>
      </c>
      <c r="AB70" s="23">
        <f>EXP(-LN(2)/2)*AB69+(1-EXP(-LN(2)/2))/(LN(2)/2)*V70*Y70*VLOOKUP('Données projet'!$B$9,Paramètres!$A$1:$I$89,3,0)*0.475*44/12</f>
        <v>1.4196054936024755E-5</v>
      </c>
      <c r="AC70" s="24">
        <f t="shared" si="57"/>
        <v>4.7249248753755113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4.8717948717948669</v>
      </c>
      <c r="AI70" s="14">
        <f>IF('Données projet'!$A$62&gt;35,AI69+AH70-AQ69,IF(A70&lt;'Données projet'!$A$62,$AF$205^A70,IF(A70='Données projet'!$A$62,'Données projet'!$B$62,AI69+AH70-AQ69)))</f>
        <v>243.71794871794856</v>
      </c>
      <c r="AJ70" s="14">
        <f>AI70*VLOOKUP('Données projet'!$B$10,Paramètres!$A$1:$I$89,3,0)*VLOOKUP('Données projet'!$B$10,Paramètres!$A$1:$I$89,5,0)</f>
        <v>254.73399999999987</v>
      </c>
      <c r="AK70" s="14">
        <f t="shared" si="89"/>
        <v>61.598546307129801</v>
      </c>
      <c r="AL70" s="22">
        <f t="shared" si="58"/>
        <v>550.94585148491763</v>
      </c>
      <c r="AM70" s="62">
        <f t="shared" si="59"/>
        <v>844.279184818251</v>
      </c>
      <c r="AN70" s="62">
        <f ca="1">AVERAGE(OFFSET($AM$3,0,0,'Données projet'!$E$10+1,1))-AVERAGE(OFFSET($H$3,0,0,'Données projet'!$E$10+1,1))</f>
        <v>493.70175665335978</v>
      </c>
      <c r="AO70" s="62">
        <f t="shared" si="90"/>
        <v>325.12357781685949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6.7984728957526396E-14</v>
      </c>
      <c r="BF70" s="14">
        <f t="shared" si="91"/>
        <v>1.0682447123141398E-12</v>
      </c>
      <c r="BG70" s="22">
        <f t="shared" si="61"/>
        <v>1.978932943548152E-12</v>
      </c>
      <c r="BH70" s="62">
        <f t="shared" si="62"/>
        <v>293.3333333333353</v>
      </c>
      <c r="BI70" s="62">
        <f ca="1">AVERAGE(OFFSET($BH$3,0,0,'Données projet'!$E$11+1,1))-AVERAGE(OFFSET($H$3,0,0,'Données projet'!$E$11+1,1))</f>
        <v>260.02504691866199</v>
      </c>
      <c r="BJ70" s="62">
        <f t="shared" si="92"/>
        <v>270.11268336406368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4.8098196761599077</v>
      </c>
      <c r="BQ70" s="23">
        <f>EXP(-LN(2)/25)*BQ69+(1-EXP(-LN(2)/25))/(LN(2)/25)*Calculateur!BL70*Calculateur!BN70*VLOOKUP('Données projet'!$B$11,Paramètres!$A$1:$I$89,3,0)*0.475*44/12</f>
        <v>5.8921355374294135</v>
      </c>
      <c r="BR70" s="23">
        <f>EXP(-LN(2)/2)*BR69+(1-EXP(-LN(2)/2))/(LN(2)/2)*BL70*BO70*VLOOKUP('Données projet'!$B$11,Paramètres!$A$1:$I$89,3,0)*0.475*44/12</f>
        <v>1.7101399907381547E-5</v>
      </c>
      <c r="BS70" s="24">
        <f t="shared" si="63"/>
        <v>10.701972314989229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9.1830769230769249</v>
      </c>
      <c r="N71" s="14">
        <f>IF('Données projet'!$A$36&gt;35,N70+M71-V70,IF(A71&lt;'Données projet'!$A$36,$K$205^A71,IF(A71='Données projet'!$A$36,'Données projet'!$B$36,N70+M71-V70)))</f>
        <v>361.62615384615367</v>
      </c>
      <c r="O71" s="14">
        <f>N71*VLOOKUP('Données projet'!$B$9,Paramètres!$A$1:$I$89,3,0)*VLOOKUP('Données projet'!$B$9,Paramètres!$A$1:$I$89,5,0)</f>
        <v>216.25243999999989</v>
      </c>
      <c r="P71" s="14">
        <f t="shared" si="87"/>
        <v>53.299559396285737</v>
      </c>
      <c r="Q71" s="22">
        <f t="shared" si="54"/>
        <v>469.46973228186403</v>
      </c>
      <c r="R71" s="62">
        <f t="shared" si="55"/>
        <v>762.80306561519728</v>
      </c>
      <c r="S71" s="62">
        <f ca="1">AVERAGE(OFFSET($R$3,0,0,'Données projet'!$E$9+1,1))-AVERAGE(OFFSET($H$3,0,0,'Données projet'!$E$9+1,1))</f>
        <v>287.05726996114242</v>
      </c>
      <c r="T71" s="62">
        <f t="shared" si="88"/>
        <v>229.06617320689003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4.5957077483223001</v>
      </c>
      <c r="AB71" s="23">
        <f>EXP(-LN(2)/2)*AB70+(1-EXP(-LN(2)/2))/(LN(2)/2)*V71*Y71*VLOOKUP('Données projet'!$B$9,Paramètres!$A$1:$I$89,3,0)*0.475*44/12</f>
        <v>1.0038126711359864E-5</v>
      </c>
      <c r="AC71" s="24">
        <f t="shared" si="57"/>
        <v>4.5957177864490113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4.8717948717948669</v>
      </c>
      <c r="AI71" s="14">
        <f>IF('Données projet'!$A$62&gt;35,AI70+AH71-AQ70,IF(A71&lt;'Données projet'!$A$62,$AF$205^A71,IF(A71='Données projet'!$A$62,'Données projet'!$B$62,AI70+AH71-AQ70)))</f>
        <v>248.58974358974342</v>
      </c>
      <c r="AJ71" s="14">
        <f>AI71*VLOOKUP('Données projet'!$B$10,Paramètres!$A$1:$I$89,3,0)*VLOOKUP('Données projet'!$B$10,Paramètres!$A$1:$I$89,5,0)</f>
        <v>259.82599999999985</v>
      </c>
      <c r="AK71" s="14">
        <f t="shared" si="89"/>
        <v>62.685286742684056</v>
      </c>
      <c r="AL71" s="22">
        <f t="shared" si="58"/>
        <v>561.70715774350776</v>
      </c>
      <c r="AM71" s="62">
        <f t="shared" si="59"/>
        <v>855.04049107684114</v>
      </c>
      <c r="AN71" s="62">
        <f ca="1">AVERAGE(OFFSET($AM$3,0,0,'Données projet'!$E$10+1,1))-AVERAGE(OFFSET($H$3,0,0,'Données projet'!$E$10+1,1))</f>
        <v>493.70175665335978</v>
      </c>
      <c r="AO71" s="62">
        <f t="shared" si="90"/>
        <v>325.12357781685949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6.7984728957526396E-14</v>
      </c>
      <c r="BF71" s="14">
        <f t="shared" si="91"/>
        <v>1.0682447123141398E-12</v>
      </c>
      <c r="BG71" s="22">
        <f t="shared" si="61"/>
        <v>1.978932943548152E-12</v>
      </c>
      <c r="BH71" s="62">
        <f t="shared" si="62"/>
        <v>293.3333333333353</v>
      </c>
      <c r="BI71" s="62">
        <f ca="1">AVERAGE(OFFSET($BH$3,0,0,'Données projet'!$E$11+1,1))-AVERAGE(OFFSET($H$3,0,0,'Données projet'!$E$11+1,1))</f>
        <v>260.02504691866199</v>
      </c>
      <c r="BJ71" s="62">
        <f t="shared" si="92"/>
        <v>270.11268336406368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4.7155020460107355</v>
      </c>
      <c r="BQ71" s="23">
        <f>EXP(-LN(2)/25)*BQ70+(1-EXP(-LN(2)/25))/(LN(2)/25)*Calculateur!BL71*Calculateur!BN71*VLOOKUP('Données projet'!$B$11,Paramètres!$A$1:$I$89,3,0)*0.475*44/12</f>
        <v>5.7310147813044647</v>
      </c>
      <c r="BR71" s="23">
        <f>EXP(-LN(2)/2)*BR70+(1-EXP(-LN(2)/2))/(LN(2)/2)*BL71*BO71*VLOOKUP('Données projet'!$B$11,Paramètres!$A$1:$I$89,3,0)*0.475*44/12</f>
        <v>1.2092515842292488E-5</v>
      </c>
      <c r="BS71" s="24">
        <f t="shared" si="63"/>
        <v>10.446528919831042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9.1830769230769249</v>
      </c>
      <c r="N72" s="14">
        <f>IF('Données projet'!$A$36&gt;35,N71+M72-V71,IF(A72&lt;'Données projet'!$A$36,$K$205^A72,IF(A72='Données projet'!$A$36,'Données projet'!$B$36,N71+M72-V71)))</f>
        <v>370.80923076923057</v>
      </c>
      <c r="O72" s="14">
        <f>N72*VLOOKUP('Données projet'!$B$9,Paramètres!$A$1:$I$89,3,0)*VLOOKUP('Données projet'!$B$9,Paramètres!$A$1:$I$89,5,0)</f>
        <v>221.74391999999989</v>
      </c>
      <c r="P72" s="14">
        <f t="shared" si="87"/>
        <v>54.493743764780973</v>
      </c>
      <c r="Q72" s="22">
        <f t="shared" si="54"/>
        <v>481.11393105699329</v>
      </c>
      <c r="R72" s="62">
        <f t="shared" si="55"/>
        <v>774.44726439032661</v>
      </c>
      <c r="S72" s="62">
        <f ca="1">AVERAGE(OFFSET($R$3,0,0,'Données projet'!$E$9+1,1))-AVERAGE(OFFSET($H$3,0,0,'Données projet'!$E$9+1,1))</f>
        <v>287.05726996114242</v>
      </c>
      <c r="T72" s="62">
        <f t="shared" si="88"/>
        <v>229.06617320689003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4.4700378782666599</v>
      </c>
      <c r="AB72" s="23">
        <f>EXP(-LN(2)/2)*AB71+(1-EXP(-LN(2)/2))/(LN(2)/2)*V72*Y72*VLOOKUP('Données projet'!$B$9,Paramètres!$A$1:$I$89,3,0)*0.475*44/12</f>
        <v>7.0980274680123774E-6</v>
      </c>
      <c r="AC72" s="24">
        <f t="shared" si="57"/>
        <v>4.4700449762941279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4.8717948717948669</v>
      </c>
      <c r="AI72" s="14">
        <f>IF('Données projet'!$A$62&gt;35,AI71+AH72-AQ71,IF(A72&lt;'Données projet'!$A$62,$AF$205^A72,IF(A72='Données projet'!$A$62,'Données projet'!$B$62,AI71+AH72-AQ71)))</f>
        <v>253.46153846153828</v>
      </c>
      <c r="AJ72" s="14">
        <f>AI72*VLOOKUP('Données projet'!$B$10,Paramètres!$A$1:$I$89,3,0)*VLOOKUP('Données projet'!$B$10,Paramètres!$A$1:$I$89,5,0)</f>
        <v>264.91799999999984</v>
      </c>
      <c r="AK72" s="14">
        <f t="shared" si="89"/>
        <v>63.769550790039318</v>
      </c>
      <c r="AL72" s="22">
        <f t="shared" si="58"/>
        <v>572.4641509593182</v>
      </c>
      <c r="AM72" s="62">
        <f t="shared" si="59"/>
        <v>865.79748429265146</v>
      </c>
      <c r="AN72" s="62">
        <f ca="1">AVERAGE(OFFSET($AM$3,0,0,'Données projet'!$E$10+1,1))-AVERAGE(OFFSET($H$3,0,0,'Données projet'!$E$10+1,1))</f>
        <v>493.70175665335978</v>
      </c>
      <c r="AO72" s="62">
        <f t="shared" si="90"/>
        <v>325.12357781685949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6.7984728957526396E-14</v>
      </c>
      <c r="BF72" s="14">
        <f t="shared" si="91"/>
        <v>1.0682447123141398E-12</v>
      </c>
      <c r="BG72" s="22">
        <f t="shared" si="61"/>
        <v>1.978932943548152E-12</v>
      </c>
      <c r="BH72" s="62">
        <f t="shared" si="62"/>
        <v>293.3333333333353</v>
      </c>
      <c r="BI72" s="62">
        <f ca="1">AVERAGE(OFFSET($BH$3,0,0,'Données projet'!$E$11+1,1))-AVERAGE(OFFSET($H$3,0,0,'Données projet'!$E$11+1,1))</f>
        <v>260.02504691866199</v>
      </c>
      <c r="BJ72" s="62">
        <f t="shared" si="92"/>
        <v>270.11268336406368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4.6230339270607148</v>
      </c>
      <c r="BQ72" s="23">
        <f>EXP(-LN(2)/25)*BQ71+(1-EXP(-LN(2)/25))/(LN(2)/25)*Calculateur!BL72*Calculateur!BN72*VLOOKUP('Données projet'!$B$11,Paramètres!$A$1:$I$89,3,0)*0.475*44/12</f>
        <v>5.5742998807287254</v>
      </c>
      <c r="BR72" s="23">
        <f>EXP(-LN(2)/2)*BR71+(1-EXP(-LN(2)/2))/(LN(2)/2)*BL72*BO72*VLOOKUP('Données projet'!$B$11,Paramètres!$A$1:$I$89,3,0)*0.475*44/12</f>
        <v>8.5506999536907734E-6</v>
      </c>
      <c r="BS72" s="24">
        <f t="shared" si="63"/>
        <v>10.197342358489395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379.99230769230769</v>
      </c>
      <c r="L73" s="13">
        <f>VLOOKUP(A73,'Données projet'!$A$35:$I$55,9,0)</f>
        <v>9.1830769230769249</v>
      </c>
      <c r="M73" s="13">
        <f t="array" ref="M73">INDEX(L:L,MIN(IF(ISNUMBER(L73:L269),ROW(L73:L269),"")))</f>
        <v>9.1830769230769249</v>
      </c>
      <c r="N73" s="14">
        <f>IF('Données projet'!$A$36&gt;35,N72+M73-V72,IF(A73&lt;'Données projet'!$A$36,$K$205^A73,IF(A73='Données projet'!$A$36,'Données projet'!$B$36,N72+M73-V72)))</f>
        <v>379.99230769230746</v>
      </c>
      <c r="O73" s="14">
        <f>N73*VLOOKUP('Données projet'!$B$9,Paramètres!$A$1:$I$89,3,0)*VLOOKUP('Données projet'!$B$9,Paramètres!$A$1:$I$89,5,0)</f>
        <v>227.23539999999988</v>
      </c>
      <c r="P73" s="14">
        <f t="shared" si="87"/>
        <v>55.684490313081348</v>
      </c>
      <c r="Q73" s="22">
        <f t="shared" si="54"/>
        <v>492.75214229528314</v>
      </c>
      <c r="R73" s="62">
        <f t="shared" si="55"/>
        <v>786.08547562861645</v>
      </c>
      <c r="S73" s="62">
        <f ca="1">AVERAGE(OFFSET($R$3,0,0,'Données projet'!$E$9+1,1))-AVERAGE(OFFSET($H$3,0,0,'Données projet'!$E$9+1,1))</f>
        <v>287.05726996114242</v>
      </c>
      <c r="T73" s="62">
        <f t="shared" si="88"/>
        <v>229.06617320689003</v>
      </c>
      <c r="U73" s="16">
        <f>IF(ISNA(VLOOKUP(A73,'Données projet'!$A$35:$I$55,3,0)),0,VLOOKUP(A73,'Données projet'!$A$35:$I$55,3,0))</f>
        <v>7</v>
      </c>
      <c r="V73" s="16">
        <f>IF(ISNA(VLOOKUP(A73,'Données projet'!$A$35:$I$55,4,0)),0,VLOOKUP(A73,'Données projet'!$A$35:$I$55,4,0))</f>
        <v>52.669230769230765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4.3478044574163821</v>
      </c>
      <c r="AB73" s="23">
        <f>EXP(-LN(2)/2)*AB72+(1-EXP(-LN(2)/2))/(LN(2)/2)*V73*Y73*VLOOKUP('Données projet'!$B$9,Paramètres!$A$1:$I$89,3,0)*0.475*44/12</f>
        <v>5.0190633556799321E-6</v>
      </c>
      <c r="AC73" s="24">
        <f t="shared" si="57"/>
        <v>4.3478094764797381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258.33333333333331</v>
      </c>
      <c r="AG73" s="13">
        <f>VLOOKUP(A73,'Données projet'!$A$61:$I$81,9,0)</f>
        <v>4.8717948717948669</v>
      </c>
      <c r="AH73" s="13">
        <f t="array" ref="AH73">INDEX(AG:AG,MIN(IF(ISNUMBER(AG73:AG269),ROW(AG73:AG269),"")))</f>
        <v>4.8717948717948669</v>
      </c>
      <c r="AI73" s="14">
        <f>IF('Données projet'!$A$62&gt;35,AI72+AH73-AQ72,IF(A73&lt;'Données projet'!$A$62,$AF$205^A73,IF(A73='Données projet'!$A$62,'Données projet'!$B$62,AI72+AH73-AQ72)))</f>
        <v>258.33333333333314</v>
      </c>
      <c r="AJ73" s="14">
        <f>AI73*VLOOKUP('Données projet'!$B$10,Paramètres!$A$1:$I$89,3,0)*VLOOKUP('Données projet'!$B$10,Paramètres!$A$1:$I$89,5,0)</f>
        <v>270.00999999999982</v>
      </c>
      <c r="AK73" s="14">
        <f t="shared" si="89"/>
        <v>64.851391535647195</v>
      </c>
      <c r="AL73" s="22">
        <f t="shared" si="58"/>
        <v>583.21692359125188</v>
      </c>
      <c r="AM73" s="62">
        <f t="shared" si="59"/>
        <v>876.55025692458526</v>
      </c>
      <c r="AN73" s="62">
        <f ca="1">AVERAGE(OFFSET($AM$3,0,0,'Données projet'!$E$10+1,1))-AVERAGE(OFFSET($H$3,0,0,'Données projet'!$E$10+1,1))</f>
        <v>493.70175665335978</v>
      </c>
      <c r="AO73" s="62">
        <f t="shared" si="90"/>
        <v>325.12357781685949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23.076923076923077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6.7984728957526396E-14</v>
      </c>
      <c r="BF73" s="14">
        <f t="shared" si="91"/>
        <v>1.0682447123141398E-12</v>
      </c>
      <c r="BG73" s="22">
        <f t="shared" si="61"/>
        <v>1.978932943548152E-12</v>
      </c>
      <c r="BH73" s="62">
        <f t="shared" si="62"/>
        <v>293.3333333333353</v>
      </c>
      <c r="BI73" s="62">
        <f ca="1">AVERAGE(OFFSET($BH$3,0,0,'Données projet'!$E$11+1,1))-AVERAGE(OFFSET($H$3,0,0,'Données projet'!$E$11+1,1))</f>
        <v>260.02504691866199</v>
      </c>
      <c r="BJ73" s="62">
        <f t="shared" si="92"/>
        <v>270.11268336406368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4.5323790515233204</v>
      </c>
      <c r="BQ73" s="23">
        <f>EXP(-LN(2)/25)*BQ72+(1-EXP(-LN(2)/25))/(LN(2)/25)*Calculateur!BL73*Calculateur!BN73*VLOOKUP('Données projet'!$B$11,Paramètres!$A$1:$I$89,3,0)*0.475*44/12</f>
        <v>5.4218703573505076</v>
      </c>
      <c r="BR73" s="23">
        <f>EXP(-LN(2)/2)*BR72+(1-EXP(-LN(2)/2))/(LN(2)/2)*BL73*BO73*VLOOKUP('Données projet'!$B$11,Paramètres!$A$1:$I$89,3,0)*0.475*44/12</f>
        <v>6.0462579211462438E-6</v>
      </c>
      <c r="BS73" s="24">
        <f t="shared" si="63"/>
        <v>9.954255455131749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7.5584615384615343</v>
      </c>
      <c r="N74" s="14">
        <f>IF('Données projet'!$A$36&gt;35,N73+M74-V73,IF(A74&lt;'Données projet'!$A$36,$K$205^A74,IF(A74='Données projet'!$A$36,'Données projet'!$B$36,N73+M74-V73)))</f>
        <v>334.88153846153824</v>
      </c>
      <c r="O74" s="14">
        <f>N74*VLOOKUP('Données projet'!$B$9,Paramètres!$A$1:$I$89,3,0)*VLOOKUP('Données projet'!$B$9,Paramètres!$A$1:$I$89,5,0)</f>
        <v>200.25915999999989</v>
      </c>
      <c r="P74" s="14">
        <f t="shared" si="87"/>
        <v>49.801118956127333</v>
      </c>
      <c r="Q74" s="22">
        <f t="shared" si="54"/>
        <v>435.52165251525486</v>
      </c>
      <c r="R74" s="62">
        <f t="shared" si="55"/>
        <v>728.85498584858817</v>
      </c>
      <c r="S74" s="62">
        <f ca="1">AVERAGE(OFFSET($R$3,0,0,'Données projet'!$E$9+1,1))-AVERAGE(OFFSET($H$3,0,0,'Données projet'!$E$9+1,1))</f>
        <v>287.05726996114242</v>
      </c>
      <c r="T74" s="62">
        <f t="shared" si="88"/>
        <v>229.06617320689003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4.228913515887232</v>
      </c>
      <c r="AB74" s="23">
        <f>EXP(-LN(2)/2)*AB73+(1-EXP(-LN(2)/2))/(LN(2)/2)*V74*Y74*VLOOKUP('Données projet'!$B$9,Paramètres!$A$1:$I$89,3,0)*0.475*44/12</f>
        <v>3.5490137340061887E-6</v>
      </c>
      <c r="AC74" s="24">
        <f t="shared" si="57"/>
        <v>4.2289170649009664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4.4871794871794863</v>
      </c>
      <c r="AI74" s="14">
        <f>IF('Données projet'!$A$62&gt;35,AI73+AH74-AQ73,IF(A74&lt;'Données projet'!$A$62,$AF$205^A74,IF(A74='Données projet'!$A$62,'Données projet'!$B$62,AI73+AH74-AQ73)))</f>
        <v>239.74358974358958</v>
      </c>
      <c r="AJ74" s="14">
        <f>AI74*VLOOKUP('Données projet'!$B$10,Paramètres!$A$1:$I$89,3,0)*VLOOKUP('Données projet'!$B$10,Paramètres!$A$1:$I$89,5,0)</f>
        <v>250.57999999999984</v>
      </c>
      <c r="AK74" s="14">
        <f t="shared" si="89"/>
        <v>60.710122367679979</v>
      </c>
      <c r="AL74" s="22">
        <f t="shared" si="58"/>
        <v>542.16362979037569</v>
      </c>
      <c r="AM74" s="62">
        <f t="shared" si="59"/>
        <v>835.49696312370907</v>
      </c>
      <c r="AN74" s="62">
        <f ca="1">AVERAGE(OFFSET($AM$3,0,0,'Données projet'!$E$10+1,1))-AVERAGE(OFFSET($H$3,0,0,'Données projet'!$E$10+1,1))</f>
        <v>493.70175665335978</v>
      </c>
      <c r="AO74" s="62">
        <f t="shared" si="90"/>
        <v>325.12357781685949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6.7984728957526396E-14</v>
      </c>
      <c r="BF74" s="14">
        <f t="shared" si="91"/>
        <v>1.0682447123141398E-12</v>
      </c>
      <c r="BG74" s="22">
        <f t="shared" si="61"/>
        <v>1.978932943548152E-12</v>
      </c>
      <c r="BH74" s="62">
        <f t="shared" si="62"/>
        <v>293.3333333333353</v>
      </c>
      <c r="BI74" s="62">
        <f ca="1">AVERAGE(OFFSET($BH$3,0,0,'Données projet'!$E$11+1,1))-AVERAGE(OFFSET($H$3,0,0,'Données projet'!$E$11+1,1))</f>
        <v>260.02504691866199</v>
      </c>
      <c r="BJ74" s="62">
        <f t="shared" si="92"/>
        <v>270.11268336406368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4.4435018628011997</v>
      </c>
      <c r="BQ74" s="23">
        <f>EXP(-LN(2)/25)*BQ73+(1-EXP(-LN(2)/25))/(LN(2)/25)*Calculateur!BL74*Calculateur!BN74*VLOOKUP('Données projet'!$B$11,Paramètres!$A$1:$I$89,3,0)*0.475*44/12</f>
        <v>5.273609027304988</v>
      </c>
      <c r="BR74" s="23">
        <f>EXP(-LN(2)/2)*BR73+(1-EXP(-LN(2)/2))/(LN(2)/2)*BL74*BO74*VLOOKUP('Données projet'!$B$11,Paramètres!$A$1:$I$89,3,0)*0.475*44/12</f>
        <v>4.2753499768453867E-6</v>
      </c>
      <c r="BS74" s="24">
        <f t="shared" si="63"/>
        <v>9.717115165456164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7.5584615384615343</v>
      </c>
      <c r="N75" s="14">
        <f>IF('Données projet'!$A$36&gt;35,N74+M75-V74,IF(A75&lt;'Données projet'!$A$36,$K$205^A75,IF(A75='Données projet'!$A$36,'Données projet'!$B$36,N74+M75-V74)))</f>
        <v>342.43999999999977</v>
      </c>
      <c r="O75" s="14">
        <f>N75*VLOOKUP('Données projet'!$B$9,Paramètres!$A$1:$I$89,3,0)*VLOOKUP('Données projet'!$B$9,Paramètres!$A$1:$I$89,5,0)</f>
        <v>204.77911999999986</v>
      </c>
      <c r="P75" s="14">
        <f t="shared" si="87"/>
        <v>50.79302579334589</v>
      </c>
      <c r="Q75" s="22">
        <f t="shared" si="54"/>
        <v>445.12148725674388</v>
      </c>
      <c r="R75" s="62">
        <f t="shared" si="55"/>
        <v>738.45482059007713</v>
      </c>
      <c r="S75" s="62">
        <f ca="1">AVERAGE(OFFSET($R$3,0,0,'Données projet'!$E$9+1,1))-AVERAGE(OFFSET($H$3,0,0,'Données projet'!$E$9+1,1))</f>
        <v>287.05726996114242</v>
      </c>
      <c r="T75" s="62">
        <f t="shared" si="88"/>
        <v>229.06617320689003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4.1132736534063987</v>
      </c>
      <c r="AB75" s="23">
        <f>EXP(-LN(2)/2)*AB74+(1-EXP(-LN(2)/2))/(LN(2)/2)*V75*Y75*VLOOKUP('Données projet'!$B$9,Paramètres!$A$1:$I$89,3,0)*0.475*44/12</f>
        <v>2.509531677839966E-6</v>
      </c>
      <c r="AC75" s="24">
        <f t="shared" si="57"/>
        <v>4.1132761629380763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4.4871794871794863</v>
      </c>
      <c r="AI75" s="14">
        <f>IF('Données projet'!$A$62&gt;35,AI74+AH75-AQ74,IF(A75&lt;'Données projet'!$A$62,$AF$205^A75,IF(A75='Données projet'!$A$62,'Données projet'!$B$62,AI74+AH75-AQ74)))</f>
        <v>244.23076923076906</v>
      </c>
      <c r="AJ75" s="14">
        <f>AI75*VLOOKUP('Données projet'!$B$10,Paramètres!$A$1:$I$89,3,0)*VLOOKUP('Données projet'!$B$10,Paramètres!$A$1:$I$89,5,0)</f>
        <v>255.26999999999984</v>
      </c>
      <c r="AK75" s="14">
        <f t="shared" si="89"/>
        <v>61.713058280444663</v>
      </c>
      <c r="AL75" s="22">
        <f t="shared" si="58"/>
        <v>552.07882650510749</v>
      </c>
      <c r="AM75" s="62">
        <f t="shared" si="59"/>
        <v>845.41215983844086</v>
      </c>
      <c r="AN75" s="62">
        <f ca="1">AVERAGE(OFFSET($AM$3,0,0,'Données projet'!$E$10+1,1))-AVERAGE(OFFSET($H$3,0,0,'Données projet'!$E$10+1,1))</f>
        <v>493.70175665335978</v>
      </c>
      <c r="AO75" s="62">
        <f t="shared" si="90"/>
        <v>325.12357781685949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6.7984728957526396E-14</v>
      </c>
      <c r="BF75" s="14">
        <f t="shared" si="91"/>
        <v>1.0682447123141398E-12</v>
      </c>
      <c r="BG75" s="22">
        <f t="shared" si="61"/>
        <v>1.978932943548152E-12</v>
      </c>
      <c r="BH75" s="62">
        <f t="shared" si="62"/>
        <v>293.3333333333353</v>
      </c>
      <c r="BI75" s="62">
        <f ca="1">AVERAGE(OFFSET($BH$3,0,0,'Données projet'!$E$11+1,1))-AVERAGE(OFFSET($H$3,0,0,'Données projet'!$E$11+1,1))</f>
        <v>260.02504691866199</v>
      </c>
      <c r="BJ75" s="62">
        <f t="shared" si="92"/>
        <v>270.11268336406368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4.3563675015401877</v>
      </c>
      <c r="BQ75" s="23">
        <f>EXP(-LN(2)/25)*BQ74+(1-EXP(-LN(2)/25))/(LN(2)/25)*Calculateur!BL75*Calculateur!BN75*VLOOKUP('Données projet'!$B$11,Paramètres!$A$1:$I$89,3,0)*0.475*44/12</f>
        <v>5.129401911126287</v>
      </c>
      <c r="BR75" s="23">
        <f>EXP(-LN(2)/2)*BR74+(1-EXP(-LN(2)/2))/(LN(2)/2)*BL75*BO75*VLOOKUP('Données projet'!$B$11,Paramètres!$A$1:$I$89,3,0)*0.475*44/12</f>
        <v>3.0231289605731219E-6</v>
      </c>
      <c r="BS75" s="24">
        <f t="shared" si="63"/>
        <v>9.4857724357954361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7.5584615384615343</v>
      </c>
      <c r="N76" s="14">
        <f>IF('Données projet'!$A$36&gt;35,N75+M76-V75,IF(A76&lt;'Données projet'!$A$36,$K$205^A76,IF(A76='Données projet'!$A$36,'Données projet'!$B$36,N75+M76-V75)))</f>
        <v>349.9984615384613</v>
      </c>
      <c r="O76" s="14">
        <f>N76*VLOOKUP('Données projet'!$B$9,Paramètres!$A$1:$I$89,3,0)*VLOOKUP('Données projet'!$B$9,Paramètres!$A$1:$I$89,5,0)</f>
        <v>209.29907999999986</v>
      </c>
      <c r="P76" s="14">
        <f t="shared" si="87"/>
        <v>51.782387252616175</v>
      </c>
      <c r="Q76" s="22">
        <f t="shared" si="54"/>
        <v>454.71688879830623</v>
      </c>
      <c r="R76" s="62">
        <f t="shared" si="55"/>
        <v>748.05022213163954</v>
      </c>
      <c r="S76" s="62">
        <f ca="1">AVERAGE(OFFSET($R$3,0,0,'Données projet'!$E$9+1,1))-AVERAGE(OFFSET($H$3,0,0,'Données projet'!$E$9+1,1))</f>
        <v>287.05726996114242</v>
      </c>
      <c r="T76" s="62">
        <f t="shared" si="88"/>
        <v>229.06617320689003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4.0007959690463402</v>
      </c>
      <c r="AB76" s="23">
        <f>EXP(-LN(2)/2)*AB75+(1-EXP(-LN(2)/2))/(LN(2)/2)*V76*Y76*VLOOKUP('Données projet'!$B$9,Paramètres!$A$1:$I$89,3,0)*0.475*44/12</f>
        <v>1.7745068670030944E-6</v>
      </c>
      <c r="AC76" s="24">
        <f t="shared" si="57"/>
        <v>4.0007977435532069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4.4871794871794863</v>
      </c>
      <c r="AI76" s="14">
        <f>IF('Données projet'!$A$62&gt;35,AI75+AH76-AQ75,IF(A76&lt;'Données projet'!$A$62,$AF$205^A76,IF(A76='Données projet'!$A$62,'Données projet'!$B$62,AI75+AH76-AQ75)))</f>
        <v>248.71794871794853</v>
      </c>
      <c r="AJ76" s="14">
        <f>AI76*VLOOKUP('Données projet'!$B$10,Paramètres!$A$1:$I$89,3,0)*VLOOKUP('Données projet'!$B$10,Paramètres!$A$1:$I$89,5,0)</f>
        <v>259.95999999999981</v>
      </c>
      <c r="AK76" s="14">
        <f t="shared" si="89"/>
        <v>62.713851496250946</v>
      </c>
      <c r="AL76" s="22">
        <f t="shared" si="58"/>
        <v>561.99029135597004</v>
      </c>
      <c r="AM76" s="62">
        <f t="shared" si="59"/>
        <v>855.32362468930341</v>
      </c>
      <c r="AN76" s="62">
        <f ca="1">AVERAGE(OFFSET($AM$3,0,0,'Données projet'!$E$10+1,1))-AVERAGE(OFFSET($H$3,0,0,'Données projet'!$E$10+1,1))</f>
        <v>493.70175665335978</v>
      </c>
      <c r="AO76" s="62">
        <f t="shared" si="90"/>
        <v>325.12357781685949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6.7984728957526396E-14</v>
      </c>
      <c r="BF76" s="14">
        <f t="shared" si="91"/>
        <v>1.0682447123141398E-12</v>
      </c>
      <c r="BG76" s="22">
        <f t="shared" si="61"/>
        <v>1.978932943548152E-12</v>
      </c>
      <c r="BH76" s="62">
        <f t="shared" si="62"/>
        <v>293.3333333333353</v>
      </c>
      <c r="BI76" s="62">
        <f ca="1">AVERAGE(OFFSET($BH$3,0,0,'Données projet'!$E$11+1,1))-AVERAGE(OFFSET($H$3,0,0,'Données projet'!$E$11+1,1))</f>
        <v>260.02504691866199</v>
      </c>
      <c r="BJ76" s="62">
        <f t="shared" si="92"/>
        <v>270.11268336406368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4.2709417919567914</v>
      </c>
      <c r="BQ76" s="23">
        <f>EXP(-LN(2)/25)*BQ75+(1-EXP(-LN(2)/25))/(LN(2)/25)*Calculateur!BL76*Calculateur!BN76*VLOOKUP('Données projet'!$B$11,Paramètres!$A$1:$I$89,3,0)*0.475*44/12</f>
        <v>4.9891381461230155</v>
      </c>
      <c r="BR76" s="23">
        <f>EXP(-LN(2)/2)*BR75+(1-EXP(-LN(2)/2))/(LN(2)/2)*BL76*BO76*VLOOKUP('Données projet'!$B$11,Paramètres!$A$1:$I$89,3,0)*0.475*44/12</f>
        <v>2.1376749884226934E-6</v>
      </c>
      <c r="BS76" s="24">
        <f t="shared" si="63"/>
        <v>9.260082075754795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7.5584615384615343</v>
      </c>
      <c r="N77" s="14">
        <f>IF('Données projet'!$A$36&gt;35,N76+M77-V76,IF(A77&lt;'Données projet'!$A$36,$K$205^A77,IF(A77='Données projet'!$A$36,'Données projet'!$B$36,N76+M77-V76)))</f>
        <v>357.55692307692283</v>
      </c>
      <c r="O77" s="14">
        <f>N77*VLOOKUP('Données projet'!$B$9,Paramètres!$A$1:$I$89,3,0)*VLOOKUP('Données projet'!$B$9,Paramètres!$A$1:$I$89,5,0)</f>
        <v>213.81903999999986</v>
      </c>
      <c r="P77" s="14">
        <f t="shared" si="87"/>
        <v>52.769264634128973</v>
      </c>
      <c r="Q77" s="22">
        <f t="shared" si="54"/>
        <v>464.30796390444101</v>
      </c>
      <c r="R77" s="62">
        <f t="shared" si="55"/>
        <v>757.64129723777432</v>
      </c>
      <c r="S77" s="62">
        <f ca="1">AVERAGE(OFFSET($R$3,0,0,'Données projet'!$E$9+1,1))-AVERAGE(OFFSET($H$3,0,0,'Données projet'!$E$9+1,1))</f>
        <v>287.05726996114242</v>
      </c>
      <c r="T77" s="62">
        <f t="shared" si="88"/>
        <v>229.06617320689003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3.8913939928800518</v>
      </c>
      <c r="AB77" s="23">
        <f>EXP(-LN(2)/2)*AB76+(1-EXP(-LN(2)/2))/(LN(2)/2)*V77*Y77*VLOOKUP('Données projet'!$B$9,Paramètres!$A$1:$I$89,3,0)*0.475*44/12</f>
        <v>1.254765838919983E-6</v>
      </c>
      <c r="AC77" s="24">
        <f t="shared" si="57"/>
        <v>3.8913952476458906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4.4871794871794863</v>
      </c>
      <c r="AI77" s="14">
        <f>IF('Données projet'!$A$62&gt;35,AI76+AH77-AQ76,IF(A77&lt;'Données projet'!$A$62,$AF$205^A77,IF(A77='Données projet'!$A$62,'Données projet'!$B$62,AI76+AH77-AQ76)))</f>
        <v>253.20512820512801</v>
      </c>
      <c r="AJ77" s="14">
        <f>AI77*VLOOKUP('Données projet'!$B$10,Paramètres!$A$1:$I$89,3,0)*VLOOKUP('Données projet'!$B$10,Paramètres!$A$1:$I$89,5,0)</f>
        <v>264.64999999999981</v>
      </c>
      <c r="AK77" s="14">
        <f t="shared" si="89"/>
        <v>63.712545131099922</v>
      </c>
      <c r="AL77" s="22">
        <f t="shared" si="58"/>
        <v>571.89809943666535</v>
      </c>
      <c r="AM77" s="62">
        <f t="shared" si="59"/>
        <v>865.23143276999872</v>
      </c>
      <c r="AN77" s="62">
        <f ca="1">AVERAGE(OFFSET($AM$3,0,0,'Données projet'!$E$10+1,1))-AVERAGE(OFFSET($H$3,0,0,'Données projet'!$E$10+1,1))</f>
        <v>493.70175665335978</v>
      </c>
      <c r="AO77" s="62">
        <f t="shared" si="90"/>
        <v>325.12357781685949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6.7984728957526396E-14</v>
      </c>
      <c r="BF77" s="14">
        <f t="shared" si="91"/>
        <v>1.0682447123141398E-12</v>
      </c>
      <c r="BG77" s="22">
        <f t="shared" si="61"/>
        <v>1.978932943548152E-12</v>
      </c>
      <c r="BH77" s="62">
        <f t="shared" si="62"/>
        <v>293.3333333333353</v>
      </c>
      <c r="BI77" s="62">
        <f ca="1">AVERAGE(OFFSET($BH$3,0,0,'Données projet'!$E$11+1,1))-AVERAGE(OFFSET($H$3,0,0,'Données projet'!$E$11+1,1))</f>
        <v>260.02504691866199</v>
      </c>
      <c r="BJ77" s="62">
        <f t="shared" si="92"/>
        <v>270.11268336406368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4.1871912284337878</v>
      </c>
      <c r="BQ77" s="23">
        <f>EXP(-LN(2)/25)*BQ76+(1-EXP(-LN(2)/25))/(LN(2)/25)*Calculateur!BL77*Calculateur!BN77*VLOOKUP('Données projet'!$B$11,Paramètres!$A$1:$I$89,3,0)*0.475*44/12</f>
        <v>4.8527099011499093</v>
      </c>
      <c r="BR77" s="23">
        <f>EXP(-LN(2)/2)*BR76+(1-EXP(-LN(2)/2))/(LN(2)/2)*BL77*BO77*VLOOKUP('Données projet'!$B$11,Paramètres!$A$1:$I$89,3,0)*0.475*44/12</f>
        <v>1.5115644802865609E-6</v>
      </c>
      <c r="BS77" s="24">
        <f t="shared" si="63"/>
        <v>9.0399026411481778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7.5584615384615343</v>
      </c>
      <c r="N78" s="14">
        <f>IF('Données projet'!$A$36&gt;35,N77+M78-V77,IF(A78&lt;'Données projet'!$A$36,$K$205^A78,IF(A78='Données projet'!$A$36,'Données projet'!$B$36,N77+M78-V77)))</f>
        <v>365.11538461538436</v>
      </c>
      <c r="O78" s="14">
        <f>N78*VLOOKUP('Données projet'!$B$9,Paramètres!$A$1:$I$89,3,0)*VLOOKUP('Données projet'!$B$9,Paramètres!$A$1:$I$89,5,0)</f>
        <v>218.33899999999988</v>
      </c>
      <c r="P78" s="14">
        <f t="shared" si="87"/>
        <v>53.753716498326504</v>
      </c>
      <c r="Q78" s="22">
        <f t="shared" si="54"/>
        <v>473.8948145679185</v>
      </c>
      <c r="R78" s="62">
        <f t="shared" si="55"/>
        <v>767.22814790125176</v>
      </c>
      <c r="S78" s="62">
        <f ca="1">AVERAGE(OFFSET($R$3,0,0,'Données projet'!$E$9+1,1))-AVERAGE(OFFSET($H$3,0,0,'Données projet'!$E$9+1,1))</f>
        <v>287.05726996114242</v>
      </c>
      <c r="T78" s="62">
        <f t="shared" si="88"/>
        <v>229.06617320689003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3.7849836195052307</v>
      </c>
      <c r="AB78" s="23">
        <f>EXP(-LN(2)/2)*AB77+(1-EXP(-LN(2)/2))/(LN(2)/2)*V78*Y78*VLOOKUP('Données projet'!$B$9,Paramètres!$A$1:$I$89,3,0)*0.475*44/12</f>
        <v>8.8725343350154718E-7</v>
      </c>
      <c r="AC78" s="24">
        <f t="shared" si="57"/>
        <v>3.784984506758664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257.69230769230768</v>
      </c>
      <c r="AG78" s="13">
        <f>VLOOKUP(A78,'Données projet'!$A$61:$I$81,9,0)</f>
        <v>4.4871794871794863</v>
      </c>
      <c r="AH78" s="13">
        <f t="array" ref="AH78">INDEX(AG:AG,MIN(IF(ISNUMBER(AG78:AG274),ROW(AG78:AG274),"")))</f>
        <v>4.4871794871794863</v>
      </c>
      <c r="AI78" s="14">
        <f>IF('Données projet'!$A$62&gt;35,AI77+AH78-AQ77,IF(A78&lt;'Données projet'!$A$62,$AF$205^A78,IF(A78='Données projet'!$A$62,'Données projet'!$B$62,AI77+AH78-AQ77)))</f>
        <v>257.69230769230751</v>
      </c>
      <c r="AJ78" s="14">
        <f>AI78*VLOOKUP('Données projet'!$B$10,Paramètres!$A$1:$I$89,3,0)*VLOOKUP('Données projet'!$B$10,Paramètres!$A$1:$I$89,5,0)</f>
        <v>269.33999999999986</v>
      </c>
      <c r="AK78" s="14">
        <f t="shared" si="89"/>
        <v>64.709180685305114</v>
      </c>
      <c r="AL78" s="22">
        <f t="shared" si="58"/>
        <v>581.80232302690615</v>
      </c>
      <c r="AM78" s="62">
        <f t="shared" si="59"/>
        <v>875.13565636023941</v>
      </c>
      <c r="AN78" s="62">
        <f ca="1">AVERAGE(OFFSET($AM$3,0,0,'Données projet'!$E$10+1,1))-AVERAGE(OFFSET($H$3,0,0,'Données projet'!$E$10+1,1))</f>
        <v>493.70175665335978</v>
      </c>
      <c r="AO78" s="62">
        <f t="shared" si="90"/>
        <v>325.12357781685949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6.7984728957526396E-14</v>
      </c>
      <c r="BF78" s="14">
        <f t="shared" si="91"/>
        <v>1.0682447123141398E-12</v>
      </c>
      <c r="BG78" s="22">
        <f t="shared" si="61"/>
        <v>1.978932943548152E-12</v>
      </c>
      <c r="BH78" s="62">
        <f t="shared" si="62"/>
        <v>293.3333333333353</v>
      </c>
      <c r="BI78" s="62">
        <f ca="1">AVERAGE(OFFSET($BH$3,0,0,'Données projet'!$E$11+1,1))-AVERAGE(OFFSET($H$3,0,0,'Données projet'!$E$11+1,1))</f>
        <v>260.02504691866199</v>
      </c>
      <c r="BJ78" s="62">
        <f t="shared" si="92"/>
        <v>270.11268336406368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4.1050829623786704</v>
      </c>
      <c r="BQ78" s="23">
        <f>EXP(-LN(2)/25)*BQ77+(1-EXP(-LN(2)/25))/(LN(2)/25)*Calculateur!BL78*Calculateur!BN78*VLOOKUP('Données projet'!$B$11,Paramètres!$A$1:$I$89,3,0)*0.475*44/12</f>
        <v>4.7200122937100426</v>
      </c>
      <c r="BR78" s="23">
        <f>EXP(-LN(2)/2)*BR77+(1-EXP(-LN(2)/2))/(LN(2)/2)*BL78*BO78*VLOOKUP('Données projet'!$B$11,Paramètres!$A$1:$I$89,3,0)*0.475*44/12</f>
        <v>1.0688374942113467E-6</v>
      </c>
      <c r="BS78" s="24">
        <f t="shared" si="63"/>
        <v>8.8250963249262071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7.5584615384615343</v>
      </c>
      <c r="N79" s="14">
        <f>IF('Données projet'!$A$36&gt;35,N78+M79-V78,IF(A79&lt;'Données projet'!$A$36,$K$205^A79,IF(A79='Données projet'!$A$36,'Données projet'!$B$36,N78+M79-V78)))</f>
        <v>372.67384615384589</v>
      </c>
      <c r="O79" s="14">
        <f>N79*VLOOKUP('Données projet'!$B$9,Paramètres!$A$1:$I$89,3,0)*VLOOKUP('Données projet'!$B$9,Paramètres!$A$1:$I$89,5,0)</f>
        <v>222.85895999999985</v>
      </c>
      <c r="P79" s="14">
        <f t="shared" si="87"/>
        <v>54.735798842493168</v>
      </c>
      <c r="Q79" s="22">
        <f t="shared" si="54"/>
        <v>483.47753831734195</v>
      </c>
      <c r="R79" s="62">
        <f t="shared" si="55"/>
        <v>776.81087165067527</v>
      </c>
      <c r="S79" s="62">
        <f ca="1">AVERAGE(OFFSET($R$3,0,0,'Données projet'!$E$9+1,1))-AVERAGE(OFFSET($H$3,0,0,'Données projet'!$E$9+1,1))</f>
        <v>287.05726996114242</v>
      </c>
      <c r="T79" s="62">
        <f t="shared" si="88"/>
        <v>229.06617320689003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3.6814830433862222</v>
      </c>
      <c r="AB79" s="23">
        <f>EXP(-LN(2)/2)*AB78+(1-EXP(-LN(2)/2))/(LN(2)/2)*V79*Y79*VLOOKUP('Données projet'!$B$9,Paramètres!$A$1:$I$89,3,0)*0.475*44/12</f>
        <v>6.2738291945999151E-7</v>
      </c>
      <c r="AC79" s="24">
        <f t="shared" si="57"/>
        <v>3.6814836707691416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4.3589743589743648</v>
      </c>
      <c r="AI79" s="14">
        <f>IF('Données projet'!$A$62&gt;35,AI78+AH79-AQ78,IF(A79&lt;'Données projet'!$A$62,$AF$205^A79,IF(A79='Données projet'!$A$62,'Données projet'!$B$62,AI78+AH79-AQ78)))</f>
        <v>262.05128205128187</v>
      </c>
      <c r="AJ79" s="14">
        <f>AI79*VLOOKUP('Données projet'!$B$10,Paramètres!$A$1:$I$89,3,0)*VLOOKUP('Données projet'!$B$10,Paramètres!$A$1:$I$89,5,0)</f>
        <v>273.89599999999984</v>
      </c>
      <c r="AK79" s="14">
        <f t="shared" si="89"/>
        <v>65.675408141572404</v>
      </c>
      <c r="AL79" s="22">
        <f t="shared" si="58"/>
        <v>591.42020251323834</v>
      </c>
      <c r="AM79" s="62">
        <f t="shared" si="59"/>
        <v>884.75353584657159</v>
      </c>
      <c r="AN79" s="62">
        <f ca="1">AVERAGE(OFFSET($AM$3,0,0,'Données projet'!$E$10+1,1))-AVERAGE(OFFSET($H$3,0,0,'Données projet'!$E$10+1,1))</f>
        <v>493.70175665335978</v>
      </c>
      <c r="AO79" s="62">
        <f t="shared" si="90"/>
        <v>325.12357781685949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6.7984728957526396E-14</v>
      </c>
      <c r="BF79" s="14">
        <f t="shared" si="91"/>
        <v>1.0682447123141398E-12</v>
      </c>
      <c r="BG79" s="22">
        <f t="shared" si="61"/>
        <v>1.978932943548152E-12</v>
      </c>
      <c r="BH79" s="62">
        <f t="shared" si="62"/>
        <v>293.3333333333353</v>
      </c>
      <c r="BI79" s="62">
        <f ca="1">AVERAGE(OFFSET($BH$3,0,0,'Données projet'!$E$11+1,1))-AVERAGE(OFFSET($H$3,0,0,'Données projet'!$E$11+1,1))</f>
        <v>260.02504691866199</v>
      </c>
      <c r="BJ79" s="62">
        <f t="shared" si="92"/>
        <v>270.11268336406368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4.024584789339797</v>
      </c>
      <c r="BQ79" s="23">
        <f>EXP(-LN(2)/25)*BQ78+(1-EXP(-LN(2)/25))/(LN(2)/25)*Calculateur!BL79*Calculateur!BN79*VLOOKUP('Données projet'!$B$11,Paramètres!$A$1:$I$89,3,0)*0.475*44/12</f>
        <v>4.5909433093238823</v>
      </c>
      <c r="BR79" s="23">
        <f>EXP(-LN(2)/2)*BR78+(1-EXP(-LN(2)/2))/(LN(2)/2)*BL79*BO79*VLOOKUP('Données projet'!$B$11,Paramètres!$A$1:$I$89,3,0)*0.475*44/12</f>
        <v>7.5578224014328047E-7</v>
      </c>
      <c r="BS79" s="24">
        <f t="shared" si="63"/>
        <v>8.6155288544459196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7.5584615384615343</v>
      </c>
      <c r="N80" s="14">
        <f>IF('Données projet'!$A$36&gt;35,N79+M80-V79,IF(A80&lt;'Données projet'!$A$36,$K$205^A80,IF(A80='Données projet'!$A$36,'Données projet'!$B$36,N79+M80-V79)))</f>
        <v>380.23230769230742</v>
      </c>
      <c r="O80" s="14">
        <f>N80*VLOOKUP('Données projet'!$B$9,Paramètres!$A$1:$I$89,3,0)*VLOOKUP('Données projet'!$B$9,Paramètres!$A$1:$I$89,5,0)</f>
        <v>227.37891999999985</v>
      </c>
      <c r="P80" s="14">
        <f t="shared" si="87"/>
        <v>55.715565262615499</v>
      </c>
      <c r="Q80" s="22">
        <f t="shared" si="54"/>
        <v>493.05622849905507</v>
      </c>
      <c r="R80" s="62">
        <f t="shared" si="55"/>
        <v>786.38956183238838</v>
      </c>
      <c r="S80" s="62">
        <f ca="1">AVERAGE(OFFSET($R$3,0,0,'Données projet'!$E$9+1,1))-AVERAGE(OFFSET($H$3,0,0,'Données projet'!$E$9+1,1))</f>
        <v>287.05726996114242</v>
      </c>
      <c r="T80" s="62">
        <f t="shared" si="88"/>
        <v>229.06617320689003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3.5808126959640467</v>
      </c>
      <c r="AB80" s="23">
        <f>EXP(-LN(2)/2)*AB79+(1-EXP(-LN(2)/2))/(LN(2)/2)*V80*Y80*VLOOKUP('Données projet'!$B$9,Paramètres!$A$1:$I$89,3,0)*0.475*44/12</f>
        <v>4.4362671675077359E-7</v>
      </c>
      <c r="AC80" s="24">
        <f t="shared" si="57"/>
        <v>3.5808131395907634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4.3589743589743648</v>
      </c>
      <c r="AI80" s="14">
        <f>IF('Données projet'!$A$62&gt;35,AI79+AH80-AQ79,IF(A80&lt;'Données projet'!$A$62,$AF$205^A80,IF(A80='Données projet'!$A$62,'Données projet'!$B$62,AI79+AH80-AQ79)))</f>
        <v>266.41025641025624</v>
      </c>
      <c r="AJ80" s="14">
        <f>AI80*VLOOKUP('Données projet'!$B$10,Paramètres!$A$1:$I$89,3,0)*VLOOKUP('Données projet'!$B$10,Paramètres!$A$1:$I$89,5,0)</f>
        <v>278.45199999999988</v>
      </c>
      <c r="AK80" s="14">
        <f t="shared" si="89"/>
        <v>66.639766503676199</v>
      </c>
      <c r="AL80" s="22">
        <f t="shared" si="58"/>
        <v>601.03482666056914</v>
      </c>
      <c r="AM80" s="62">
        <f t="shared" si="59"/>
        <v>894.36815999390251</v>
      </c>
      <c r="AN80" s="62">
        <f ca="1">AVERAGE(OFFSET($AM$3,0,0,'Données projet'!$E$10+1,1))-AVERAGE(OFFSET($H$3,0,0,'Données projet'!$E$10+1,1))</f>
        <v>493.70175665335978</v>
      </c>
      <c r="AO80" s="62">
        <f t="shared" si="90"/>
        <v>325.12357781685949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6.7984728957526396E-14</v>
      </c>
      <c r="BF80" s="14">
        <f t="shared" si="91"/>
        <v>1.0682447123141398E-12</v>
      </c>
      <c r="BG80" s="22">
        <f t="shared" si="61"/>
        <v>1.978932943548152E-12</v>
      </c>
      <c r="BH80" s="62">
        <f t="shared" si="62"/>
        <v>293.3333333333353</v>
      </c>
      <c r="BI80" s="62">
        <f ca="1">AVERAGE(OFFSET($BH$3,0,0,'Données projet'!$E$11+1,1))-AVERAGE(OFFSET($H$3,0,0,'Données projet'!$E$11+1,1))</f>
        <v>260.02504691866199</v>
      </c>
      <c r="BJ80" s="62">
        <f t="shared" si="92"/>
        <v>270.11268336406368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3.9456651363751782</v>
      </c>
      <c r="BQ80" s="23">
        <f>EXP(-LN(2)/25)*BQ79+(1-EXP(-LN(2)/25))/(LN(2)/25)*Calculateur!BL80*Calculateur!BN80*VLOOKUP('Données projet'!$B$11,Paramètres!$A$1:$I$89,3,0)*0.475*44/12</f>
        <v>4.4654037231032051</v>
      </c>
      <c r="BR80" s="23">
        <f>EXP(-LN(2)/2)*BR79+(1-EXP(-LN(2)/2))/(LN(2)/2)*BL80*BO80*VLOOKUP('Données projet'!$B$11,Paramètres!$A$1:$I$89,3,0)*0.475*44/12</f>
        <v>5.3441874710567334E-7</v>
      </c>
      <c r="BS80" s="24">
        <f t="shared" si="63"/>
        <v>8.4110693938971313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7.5584615384615343</v>
      </c>
      <c r="N81" s="14">
        <f>IF('Données projet'!$A$36&gt;35,N80+M81-V80,IF(A81&lt;'Données projet'!$A$36,$K$205^A81,IF(A81='Données projet'!$A$36,'Données projet'!$B$36,N80+M81-V80)))</f>
        <v>387.79076923076894</v>
      </c>
      <c r="O81" s="14">
        <f>N81*VLOOKUP('Données projet'!$B$9,Paramètres!$A$1:$I$89,3,0)*VLOOKUP('Données projet'!$B$9,Paramètres!$A$1:$I$89,5,0)</f>
        <v>231.89887999999985</v>
      </c>
      <c r="P81" s="14">
        <f t="shared" si="87"/>
        <v>56.693067102008712</v>
      </c>
      <c r="Q81" s="22">
        <f t="shared" si="54"/>
        <v>502.63097453599829</v>
      </c>
      <c r="R81" s="62">
        <f t="shared" si="55"/>
        <v>795.96430786933161</v>
      </c>
      <c r="S81" s="62">
        <f ca="1">AVERAGE(OFFSET($R$3,0,0,'Données projet'!$E$9+1,1))-AVERAGE(OFFSET($H$3,0,0,'Données projet'!$E$9+1,1))</f>
        <v>287.05726996114242</v>
      </c>
      <c r="T81" s="62">
        <f t="shared" si="88"/>
        <v>229.06617320689003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3.4828951844861544</v>
      </c>
      <c r="AB81" s="23">
        <f>EXP(-LN(2)/2)*AB80+(1-EXP(-LN(2)/2))/(LN(2)/2)*V81*Y81*VLOOKUP('Données projet'!$B$9,Paramètres!$A$1:$I$89,3,0)*0.475*44/12</f>
        <v>3.1369145972999576E-7</v>
      </c>
      <c r="AC81" s="24">
        <f t="shared" si="57"/>
        <v>3.4828954981776143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4.3589743589743648</v>
      </c>
      <c r="AI81" s="14">
        <f>IF('Données projet'!$A$62&gt;35,AI80+AH81-AQ80,IF(A81&lt;'Données projet'!$A$62,$AF$205^A81,IF(A81='Données projet'!$A$62,'Données projet'!$B$62,AI80+AH81-AQ80)))</f>
        <v>270.7692307692306</v>
      </c>
      <c r="AJ81" s="14">
        <f>AI81*VLOOKUP('Données projet'!$B$10,Paramètres!$A$1:$I$89,3,0)*VLOOKUP('Données projet'!$B$10,Paramètres!$A$1:$I$89,5,0)</f>
        <v>283.00799999999987</v>
      </c>
      <c r="AK81" s="14">
        <f t="shared" si="89"/>
        <v>67.602289883832427</v>
      </c>
      <c r="AL81" s="22">
        <f t="shared" si="58"/>
        <v>610.64625488100796</v>
      </c>
      <c r="AM81" s="62">
        <f t="shared" si="59"/>
        <v>903.97958821434122</v>
      </c>
      <c r="AN81" s="62">
        <f ca="1">AVERAGE(OFFSET($AM$3,0,0,'Données projet'!$E$10+1,1))-AVERAGE(OFFSET($H$3,0,0,'Données projet'!$E$10+1,1))</f>
        <v>493.70175665335978</v>
      </c>
      <c r="AO81" s="62">
        <f t="shared" si="90"/>
        <v>325.12357781685949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6.7984728957526396E-14</v>
      </c>
      <c r="BF81" s="14">
        <f t="shared" si="91"/>
        <v>1.0682447123141398E-12</v>
      </c>
      <c r="BG81" s="22">
        <f t="shared" si="61"/>
        <v>1.978932943548152E-12</v>
      </c>
      <c r="BH81" s="62">
        <f t="shared" si="62"/>
        <v>293.3333333333353</v>
      </c>
      <c r="BI81" s="62">
        <f ca="1">AVERAGE(OFFSET($BH$3,0,0,'Données projet'!$E$11+1,1))-AVERAGE(OFFSET($H$3,0,0,'Données projet'!$E$11+1,1))</f>
        <v>260.02504691866199</v>
      </c>
      <c r="BJ81" s="62">
        <f t="shared" si="92"/>
        <v>270.11268336406368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3.8682930496689605</v>
      </c>
      <c r="BQ81" s="23">
        <f>EXP(-LN(2)/25)*BQ80+(1-EXP(-LN(2)/25))/(LN(2)/25)*Calculateur!BL81*Calculateur!BN81*VLOOKUP('Données projet'!$B$11,Paramètres!$A$1:$I$89,3,0)*0.475*44/12</f>
        <v>4.3432970234695718</v>
      </c>
      <c r="BR81" s="23">
        <f>EXP(-LN(2)/2)*BR80+(1-EXP(-LN(2)/2))/(LN(2)/2)*BL81*BO81*VLOOKUP('Données projet'!$B$11,Paramètres!$A$1:$I$89,3,0)*0.475*44/12</f>
        <v>3.7789112007164024E-7</v>
      </c>
      <c r="BS81" s="24">
        <f t="shared" si="63"/>
        <v>8.211590451029652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7.5584615384615343</v>
      </c>
      <c r="N82" s="14">
        <f>IF('Données projet'!$A$36&gt;35,N81+M82-V81,IF(A82&lt;'Données projet'!$A$36,$K$205^A82,IF(A82='Données projet'!$A$36,'Données projet'!$B$36,N81+M82-V81)))</f>
        <v>395.34923076923047</v>
      </c>
      <c r="O82" s="14">
        <f>N82*VLOOKUP('Données projet'!$B$9,Paramètres!$A$1:$I$89,3,0)*VLOOKUP('Données projet'!$B$9,Paramètres!$A$1:$I$89,5,0)</f>
        <v>236.41883999999985</v>
      </c>
      <c r="P82" s="14">
        <f t="shared" si="87"/>
        <v>57.668353588027863</v>
      </c>
      <c r="Q82" s="22">
        <f t="shared" si="54"/>
        <v>512.20186216581487</v>
      </c>
      <c r="R82" s="62">
        <f t="shared" si="55"/>
        <v>805.53519549914813</v>
      </c>
      <c r="S82" s="62">
        <f ca="1">AVERAGE(OFFSET($R$3,0,0,'Données projet'!$E$9+1,1))-AVERAGE(OFFSET($H$3,0,0,'Données projet'!$E$9+1,1))</f>
        <v>287.05726996114242</v>
      </c>
      <c r="T82" s="62">
        <f t="shared" si="88"/>
        <v>229.06617320689003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3.3876552325088829</v>
      </c>
      <c r="AB82" s="23">
        <f>EXP(-LN(2)/2)*AB81+(1-EXP(-LN(2)/2))/(LN(2)/2)*V82*Y82*VLOOKUP('Données projet'!$B$9,Paramètres!$A$1:$I$89,3,0)*0.475*44/12</f>
        <v>2.218133583753868E-7</v>
      </c>
      <c r="AC82" s="24">
        <f t="shared" si="57"/>
        <v>3.3876554543222412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4.3589743589743648</v>
      </c>
      <c r="AI82" s="14">
        <f>IF('Données projet'!$A$62&gt;35,AI81+AH82-AQ81,IF(A82&lt;'Données projet'!$A$62,$AF$205^A82,IF(A82='Données projet'!$A$62,'Données projet'!$B$62,AI81+AH82-AQ81)))</f>
        <v>275.12820512820497</v>
      </c>
      <c r="AJ82" s="14">
        <f>AI82*VLOOKUP('Données projet'!$B$10,Paramètres!$A$1:$I$89,3,0)*VLOOKUP('Données projet'!$B$10,Paramètres!$A$1:$I$89,5,0)</f>
        <v>287.56399999999985</v>
      </c>
      <c r="AK82" s="14">
        <f t="shared" si="89"/>
        <v>68.563011232963589</v>
      </c>
      <c r="AL82" s="22">
        <f t="shared" si="58"/>
        <v>620.25454456407806</v>
      </c>
      <c r="AM82" s="62">
        <f t="shared" si="59"/>
        <v>913.58787789741132</v>
      </c>
      <c r="AN82" s="62">
        <f ca="1">AVERAGE(OFFSET($AM$3,0,0,'Données projet'!$E$10+1,1))-AVERAGE(OFFSET($H$3,0,0,'Données projet'!$E$10+1,1))</f>
        <v>493.70175665335978</v>
      </c>
      <c r="AO82" s="62">
        <f t="shared" si="90"/>
        <v>325.12357781685949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6.7984728957526396E-14</v>
      </c>
      <c r="BF82" s="14">
        <f t="shared" si="91"/>
        <v>1.0682447123141398E-12</v>
      </c>
      <c r="BG82" s="22">
        <f t="shared" si="61"/>
        <v>1.978932943548152E-12</v>
      </c>
      <c r="BH82" s="62">
        <f t="shared" si="62"/>
        <v>293.3333333333353</v>
      </c>
      <c r="BI82" s="62">
        <f ca="1">AVERAGE(OFFSET($BH$3,0,0,'Données projet'!$E$11+1,1))-AVERAGE(OFFSET($H$3,0,0,'Données projet'!$E$11+1,1))</f>
        <v>260.02504691866199</v>
      </c>
      <c r="BJ82" s="62">
        <f t="shared" si="92"/>
        <v>270.11268336406368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3.7924381823907387</v>
      </c>
      <c r="BQ82" s="23">
        <f>EXP(-LN(2)/25)*BQ81+(1-EXP(-LN(2)/25))/(LN(2)/25)*Calculateur!BL82*Calculateur!BN82*VLOOKUP('Données projet'!$B$11,Paramètres!$A$1:$I$89,3,0)*0.475*44/12</f>
        <v>4.2245293379587325</v>
      </c>
      <c r="BR82" s="23">
        <f>EXP(-LN(2)/2)*BR81+(1-EXP(-LN(2)/2))/(LN(2)/2)*BL82*BO82*VLOOKUP('Données projet'!$B$11,Paramètres!$A$1:$I$89,3,0)*0.475*44/12</f>
        <v>2.6720937355283667E-7</v>
      </c>
      <c r="BS82" s="24">
        <f t="shared" si="63"/>
        <v>8.0169677875588441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402.90769230769229</v>
      </c>
      <c r="L83" s="13">
        <f>VLOOKUP(A83,'Données projet'!$A$35:$I$55,9,0)</f>
        <v>7.5584615384615343</v>
      </c>
      <c r="M83" s="13">
        <f t="array" ref="M83">INDEX(L:L,MIN(IF(ISNUMBER(L83:L279),ROW(L83:L279),"")))</f>
        <v>7.5584615384615343</v>
      </c>
      <c r="N83" s="14">
        <f>IF('Données projet'!$A$36&gt;35,N82+M83-V82,IF(A83&lt;'Données projet'!$A$36,$K$205^A83,IF(A83='Données projet'!$A$36,'Données projet'!$B$36,N82+M83-V82)))</f>
        <v>402.907692307692</v>
      </c>
      <c r="O83" s="14">
        <f>N83*VLOOKUP('Données projet'!$B$9,Paramètres!$A$1:$I$89,3,0)*VLOOKUP('Données projet'!$B$9,Paramètres!$A$1:$I$89,5,0)</f>
        <v>240.93879999999982</v>
      </c>
      <c r="P83" s="14">
        <f t="shared" si="87"/>
        <v>58.64147195802866</v>
      </c>
      <c r="Q83" s="22">
        <f t="shared" si="54"/>
        <v>521.76897366023286</v>
      </c>
      <c r="R83" s="62">
        <f t="shared" si="55"/>
        <v>815.10230699356612</v>
      </c>
      <c r="S83" s="62">
        <f ca="1">AVERAGE(OFFSET($R$3,0,0,'Données projet'!$E$9+1,1))-AVERAGE(OFFSET($H$3,0,0,'Données projet'!$E$9+1,1))</f>
        <v>287.05726996114242</v>
      </c>
      <c r="T83" s="62">
        <f t="shared" si="88"/>
        <v>229.06617320689003</v>
      </c>
      <c r="U83" s="16">
        <f>IF(ISNA(VLOOKUP(A83,'Données projet'!$A$35:$I$55,3,0)),0,VLOOKUP(A83,'Données projet'!$A$35:$I$55,3,0))</f>
        <v>8</v>
      </c>
      <c r="V83" s="16">
        <f>IF(ISNA(VLOOKUP(A83,'Données projet'!$A$35:$I$55,4,0)),0,VLOOKUP(A83,'Données projet'!$A$35:$I$55,4,0))</f>
        <v>402.90769230769229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3.2950196220268815</v>
      </c>
      <c r="AB83" s="23">
        <f>EXP(-LN(2)/2)*AB82+(1-EXP(-LN(2)/2))/(LN(2)/2)*V83*Y83*VLOOKUP('Données projet'!$B$9,Paramètres!$A$1:$I$89,3,0)*0.475*44/12</f>
        <v>1.5684572986499788E-7</v>
      </c>
      <c r="AC83" s="24">
        <f t="shared" si="57"/>
        <v>3.2950197788726112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279.4871794871795</v>
      </c>
      <c r="AG83" s="13">
        <f>VLOOKUP(A83,'Données projet'!$A$61:$I$81,9,0)</f>
        <v>4.3589743589743648</v>
      </c>
      <c r="AH83" s="13">
        <f t="array" ref="AH83">INDEX(AG:AG,MIN(IF(ISNUMBER(AG83:AG279),ROW(AG83:AG279),"")))</f>
        <v>4.3589743589743648</v>
      </c>
      <c r="AI83" s="14">
        <f>IF('Données projet'!$A$62&gt;35,AI82+AH83-AQ82,IF(A83&lt;'Données projet'!$A$62,$AF$205^A83,IF(A83='Données projet'!$A$62,'Données projet'!$B$62,AI82+AH83-AQ82)))</f>
        <v>279.48717948717933</v>
      </c>
      <c r="AJ83" s="14">
        <f>AI83*VLOOKUP('Données projet'!$B$10,Paramètres!$A$1:$I$89,3,0)*VLOOKUP('Données projet'!$B$10,Paramètres!$A$1:$I$89,5,0)</f>
        <v>292.11999999999989</v>
      </c>
      <c r="AK83" s="14">
        <f t="shared" si="89"/>
        <v>69.521962397994116</v>
      </c>
      <c r="AL83" s="22">
        <f t="shared" si="58"/>
        <v>629.85975117650617</v>
      </c>
      <c r="AM83" s="62">
        <f t="shared" si="59"/>
        <v>923.19308450983954</v>
      </c>
      <c r="AN83" s="62">
        <f ca="1">AVERAGE(OFFSET($AM$3,0,0,'Données projet'!$E$10+1,1))-AVERAGE(OFFSET($H$3,0,0,'Données projet'!$E$10+1,1))</f>
        <v>493.70175665335978</v>
      </c>
      <c r="AO83" s="62">
        <f t="shared" si="90"/>
        <v>325.12357781685949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22.435897435897434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6.7984728957526396E-14</v>
      </c>
      <c r="BF83" s="14">
        <f t="shared" si="91"/>
        <v>1.0682447123141398E-12</v>
      </c>
      <c r="BG83" s="22">
        <f t="shared" si="61"/>
        <v>1.978932943548152E-12</v>
      </c>
      <c r="BH83" s="62">
        <f t="shared" si="62"/>
        <v>293.3333333333353</v>
      </c>
      <c r="BI83" s="62">
        <f ca="1">AVERAGE(OFFSET($BH$3,0,0,'Données projet'!$E$11+1,1))-AVERAGE(OFFSET($H$3,0,0,'Données projet'!$E$11+1,1))</f>
        <v>260.02504691866199</v>
      </c>
      <c r="BJ83" s="62">
        <f t="shared" si="92"/>
        <v>270.11268336406368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3.718070782792942</v>
      </c>
      <c r="BQ83" s="23">
        <f>EXP(-LN(2)/25)*BQ82+(1-EXP(-LN(2)/25))/(LN(2)/25)*Calculateur!BL83*Calculateur!BN83*VLOOKUP('Données projet'!$B$11,Paramètres!$A$1:$I$89,3,0)*0.475*44/12</f>
        <v>4.109009361053908</v>
      </c>
      <c r="BR83" s="23">
        <f>EXP(-LN(2)/2)*BR82+(1-EXP(-LN(2)/2))/(LN(2)/2)*BL83*BO83*VLOOKUP('Données projet'!$B$11,Paramètres!$A$1:$I$89,3,0)*0.475*44/12</f>
        <v>1.8894556003582012E-7</v>
      </c>
      <c r="BS83" s="24">
        <f t="shared" si="63"/>
        <v>7.8270803327924092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-2.8421709430404007E-13</v>
      </c>
      <c r="O84" s="14">
        <f>N84*VLOOKUP('Données projet'!$B$9,Paramètres!$A$1:$I$89,3,0)*VLOOKUP('Données projet'!$B$9,Paramètres!$A$1:$I$89,5,0)</f>
        <v>-1.69961822393816E-13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287.05726996114242</v>
      </c>
      <c r="T84" s="62">
        <f t="shared" si="88"/>
        <v>229.06617320689003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3.2049171371850051</v>
      </c>
      <c r="AB84" s="23">
        <f>EXP(-LN(2)/2)*AB83+(1-EXP(-LN(2)/2))/(LN(2)/2)*V84*Y84*VLOOKUP('Données projet'!$B$9,Paramètres!$A$1:$I$89,3,0)*0.475*44/12</f>
        <v>1.109066791876934E-7</v>
      </c>
      <c r="AC84" s="24">
        <f t="shared" si="57"/>
        <v>3.2049172480916845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3.9743589743589722</v>
      </c>
      <c r="AI84" s="14">
        <f>IF('Données projet'!$A$62&gt;35,AI83+AH84-AQ83,IF(A84&lt;'Données projet'!$A$62,$AF$205^A84,IF(A84='Données projet'!$A$62,'Données projet'!$B$62,AI83+AH84-AQ83)))</f>
        <v>261.02564102564082</v>
      </c>
      <c r="AJ84" s="14">
        <f>AI84*VLOOKUP('Données projet'!$B$10,Paramètres!$A$1:$I$89,3,0)*VLOOKUP('Données projet'!$B$10,Paramètres!$A$1:$I$89,5,0)</f>
        <v>272.82399999999984</v>
      </c>
      <c r="AK84" s="14">
        <f t="shared" si="89"/>
        <v>65.448229947121135</v>
      </c>
      <c r="AL84" s="22">
        <f t="shared" si="58"/>
        <v>589.15746715790237</v>
      </c>
      <c r="AM84" s="62">
        <f t="shared" si="59"/>
        <v>882.49080049123563</v>
      </c>
      <c r="AN84" s="62">
        <f ca="1">AVERAGE(OFFSET($AM$3,0,0,'Données projet'!$E$10+1,1))-AVERAGE(OFFSET($H$3,0,0,'Données projet'!$E$10+1,1))</f>
        <v>493.70175665335978</v>
      </c>
      <c r="AO84" s="62">
        <f t="shared" si="90"/>
        <v>325.12357781685949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2">
        <f t="shared" si="62"/>
        <v>293.3333333333353</v>
      </c>
      <c r="BI84" s="62">
        <f ca="1">AVERAGE(OFFSET($BH$3,0,0,'Données projet'!$E$11+1,1))-AVERAGE(OFFSET($H$3,0,0,'Données projet'!$E$11+1,1))</f>
        <v>260.02504691866199</v>
      </c>
      <c r="BJ84" s="62">
        <f t="shared" si="92"/>
        <v>270.11268336406368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3.6451616825416235</v>
      </c>
      <c r="BQ84" s="23">
        <f>EXP(-LN(2)/25)*BQ83+(1-EXP(-LN(2)/25))/(LN(2)/25)*Calculateur!BL84*Calculateur!BN84*VLOOKUP('Données projet'!$B$11,Paramètres!$A$1:$I$89,3,0)*0.475*44/12</f>
        <v>3.996648283992478</v>
      </c>
      <c r="BR84" s="23">
        <f>EXP(-LN(2)/2)*BR83+(1-EXP(-LN(2)/2))/(LN(2)/2)*BL84*BO84*VLOOKUP('Données projet'!$B$11,Paramètres!$A$1:$I$89,3,0)*0.475*44/12</f>
        <v>1.3360468677641834E-7</v>
      </c>
      <c r="BS84" s="24">
        <f t="shared" si="63"/>
        <v>7.6418101001387875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-2.8421709430404007E-13</v>
      </c>
      <c r="O85" s="14">
        <f>N85*VLOOKUP('Données projet'!$B$9,Paramètres!$A$1:$I$89,3,0)*VLOOKUP('Données projet'!$B$9,Paramètres!$A$1:$I$89,5,0)</f>
        <v>-1.69961822393816E-13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287.05726996114242</v>
      </c>
      <c r="T85" s="62">
        <f t="shared" si="88"/>
        <v>229.06617320689003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3.117278509529414</v>
      </c>
      <c r="AB85" s="23">
        <f>EXP(-LN(2)/2)*AB84+(1-EXP(-LN(2)/2))/(LN(2)/2)*V85*Y85*VLOOKUP('Données projet'!$B$9,Paramètres!$A$1:$I$89,3,0)*0.475*44/12</f>
        <v>7.8422864932498939E-8</v>
      </c>
      <c r="AC85" s="24">
        <f t="shared" si="57"/>
        <v>3.1172785879522791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3.9743589743589722</v>
      </c>
      <c r="AI85" s="14">
        <f>IF('Données projet'!$A$62&gt;35,AI84+AH85-AQ84,IF(A85&lt;'Données projet'!$A$62,$AF$205^A85,IF(A85='Données projet'!$A$62,'Données projet'!$B$62,AI84+AH85-AQ84)))</f>
        <v>264.99999999999977</v>
      </c>
      <c r="AJ85" s="14">
        <f>AI85*VLOOKUP('Données projet'!$B$10,Paramètres!$A$1:$I$89,3,0)*VLOOKUP('Données projet'!$B$10,Paramètres!$A$1:$I$89,5,0)</f>
        <v>276.97799999999978</v>
      </c>
      <c r="AK85" s="14">
        <f t="shared" si="89"/>
        <v>66.327970633211649</v>
      </c>
      <c r="AL85" s="22">
        <f t="shared" si="58"/>
        <v>597.92456551950988</v>
      </c>
      <c r="AM85" s="62">
        <f t="shared" si="59"/>
        <v>891.25789885284325</v>
      </c>
      <c r="AN85" s="62">
        <f ca="1">AVERAGE(OFFSET($AM$3,0,0,'Données projet'!$E$10+1,1))-AVERAGE(OFFSET($H$3,0,0,'Données projet'!$E$10+1,1))</f>
        <v>493.70175665335978</v>
      </c>
      <c r="AO85" s="62">
        <f t="shared" si="90"/>
        <v>325.12357781685949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2">
        <f t="shared" si="62"/>
        <v>293.3333333333353</v>
      </c>
      <c r="BI85" s="62">
        <f ca="1">AVERAGE(OFFSET($BH$3,0,0,'Données projet'!$E$11+1,1))-AVERAGE(OFFSET($H$3,0,0,'Données projet'!$E$11+1,1))</f>
        <v>260.02504691866199</v>
      </c>
      <c r="BJ85" s="62">
        <f t="shared" si="92"/>
        <v>270.11268336406368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3.5736822852760732</v>
      </c>
      <c r="BQ85" s="23">
        <f>EXP(-LN(2)/25)*BQ84+(1-EXP(-LN(2)/25))/(LN(2)/25)*Calculateur!BL85*Calculateur!BN85*VLOOKUP('Données projet'!$B$11,Paramètres!$A$1:$I$89,3,0)*0.475*44/12</f>
        <v>3.8873597264921047</v>
      </c>
      <c r="BR85" s="23">
        <f>EXP(-LN(2)/2)*BR84+(1-EXP(-LN(2)/2))/(LN(2)/2)*BL85*BO85*VLOOKUP('Données projet'!$B$11,Paramètres!$A$1:$I$89,3,0)*0.475*44/12</f>
        <v>9.4472780017910059E-8</v>
      </c>
      <c r="BS85" s="24">
        <f t="shared" si="63"/>
        <v>7.4610421062409582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-2.8421709430404007E-13</v>
      </c>
      <c r="O86" s="14">
        <f>N86*VLOOKUP('Données projet'!$B$9,Paramètres!$A$1:$I$89,3,0)*VLOOKUP('Données projet'!$B$9,Paramètres!$A$1:$I$89,5,0)</f>
        <v>-1.69961822393816E-13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287.05726996114242</v>
      </c>
      <c r="T86" s="62">
        <f t="shared" si="88"/>
        <v>229.06617320689003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3.03203636475578</v>
      </c>
      <c r="AB86" s="23">
        <f>EXP(-LN(2)/2)*AB85+(1-EXP(-LN(2)/2))/(LN(2)/2)*V86*Y86*VLOOKUP('Données projet'!$B$9,Paramètres!$A$1:$I$89,3,0)*0.475*44/12</f>
        <v>5.5453339593846699E-8</v>
      </c>
      <c r="AC86" s="24">
        <f t="shared" si="57"/>
        <v>3.0320364202091197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3.9743589743589722</v>
      </c>
      <c r="AI86" s="14">
        <f>IF('Données projet'!$A$62&gt;35,AI85+AH86-AQ85,IF(A86&lt;'Données projet'!$A$62,$AF$205^A86,IF(A86='Données projet'!$A$62,'Données projet'!$B$62,AI85+AH86-AQ85)))</f>
        <v>268.97435897435872</v>
      </c>
      <c r="AJ86" s="14">
        <f>AI86*VLOOKUP('Données projet'!$B$10,Paramètres!$A$1:$I$89,3,0)*VLOOKUP('Données projet'!$B$10,Paramètres!$A$1:$I$89,5,0)</f>
        <v>281.13199999999972</v>
      </c>
      <c r="AK86" s="14">
        <f t="shared" si="89"/>
        <v>67.206176818686799</v>
      </c>
      <c r="AL86" s="22">
        <f t="shared" si="58"/>
        <v>606.68899129254567</v>
      </c>
      <c r="AM86" s="62">
        <f t="shared" si="59"/>
        <v>900.02232462587904</v>
      </c>
      <c r="AN86" s="62">
        <f ca="1">AVERAGE(OFFSET($AM$3,0,0,'Données projet'!$E$10+1,1))-AVERAGE(OFFSET($H$3,0,0,'Données projet'!$E$10+1,1))</f>
        <v>493.70175665335978</v>
      </c>
      <c r="AO86" s="62">
        <f t="shared" si="90"/>
        <v>325.12357781685949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2">
        <f t="shared" si="62"/>
        <v>293.3333333333353</v>
      </c>
      <c r="BI86" s="62">
        <f ca="1">AVERAGE(OFFSET($BH$3,0,0,'Données projet'!$E$11+1,1))-AVERAGE(OFFSET($H$3,0,0,'Données projet'!$E$11+1,1))</f>
        <v>260.02504691866199</v>
      </c>
      <c r="BJ86" s="62">
        <f t="shared" si="92"/>
        <v>270.11268336406368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3.5036045553927728</v>
      </c>
      <c r="BQ86" s="23">
        <f>EXP(-LN(2)/25)*BQ85+(1-EXP(-LN(2)/25))/(LN(2)/25)*Calculateur!BL86*Calculateur!BN86*VLOOKUP('Données projet'!$B$11,Paramètres!$A$1:$I$89,3,0)*0.475*44/12</f>
        <v>3.7810596703438146</v>
      </c>
      <c r="BR86" s="23">
        <f>EXP(-LN(2)/2)*BR85+(1-EXP(-LN(2)/2))/(LN(2)/2)*BL86*BO86*VLOOKUP('Données projet'!$B$11,Paramètres!$A$1:$I$89,3,0)*0.475*44/12</f>
        <v>6.6802343388209168E-8</v>
      </c>
      <c r="BS86" s="24">
        <f t="shared" si="63"/>
        <v>7.2846642925389311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-2.8421709430404007E-13</v>
      </c>
      <c r="O87" s="14">
        <f>N87*VLOOKUP('Données projet'!$B$9,Paramètres!$A$1:$I$89,3,0)*VLOOKUP('Données projet'!$B$9,Paramètres!$A$1:$I$89,5,0)</f>
        <v>-1.69961822393816E-13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287.05726996114242</v>
      </c>
      <c r="T87" s="62">
        <f t="shared" si="88"/>
        <v>229.06617320689003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2.9491251709136708</v>
      </c>
      <c r="AB87" s="23">
        <f>EXP(-LN(2)/2)*AB86+(1-EXP(-LN(2)/2))/(LN(2)/2)*V87*Y87*VLOOKUP('Données projet'!$B$9,Paramètres!$A$1:$I$89,3,0)*0.475*44/12</f>
        <v>3.9211432466249469E-8</v>
      </c>
      <c r="AC87" s="24">
        <f t="shared" si="57"/>
        <v>2.9491252101251031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3.9743589743589722</v>
      </c>
      <c r="AI87" s="14">
        <f>IF('Données projet'!$A$62&gt;35,AI86+AH87-AQ86,IF(A87&lt;'Données projet'!$A$62,$AF$205^A87,IF(A87='Données projet'!$A$62,'Données projet'!$B$62,AI86+AH87-AQ86)))</f>
        <v>272.94871794871767</v>
      </c>
      <c r="AJ87" s="14">
        <f>AI87*VLOOKUP('Données projet'!$B$10,Paramètres!$A$1:$I$89,3,0)*VLOOKUP('Données projet'!$B$10,Paramètres!$A$1:$I$89,5,0)</f>
        <v>285.28599999999972</v>
      </c>
      <c r="AK87" s="14">
        <f t="shared" si="89"/>
        <v>68.082873796613967</v>
      </c>
      <c r="AL87" s="22">
        <f t="shared" si="58"/>
        <v>615.45078852910217</v>
      </c>
      <c r="AM87" s="62">
        <f t="shared" si="59"/>
        <v>908.78412186243554</v>
      </c>
      <c r="AN87" s="62">
        <f ca="1">AVERAGE(OFFSET($AM$3,0,0,'Données projet'!$E$10+1,1))-AVERAGE(OFFSET($H$3,0,0,'Données projet'!$E$10+1,1))</f>
        <v>493.70175665335978</v>
      </c>
      <c r="AO87" s="62">
        <f t="shared" si="90"/>
        <v>325.12357781685949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2">
        <f t="shared" si="62"/>
        <v>293.3333333333353</v>
      </c>
      <c r="BI87" s="62">
        <f ca="1">AVERAGE(OFFSET($BH$3,0,0,'Données projet'!$E$11+1,1))-AVERAGE(OFFSET($H$3,0,0,'Données projet'!$E$11+1,1))</f>
        <v>260.02504691866199</v>
      </c>
      <c r="BJ87" s="62">
        <f t="shared" si="92"/>
        <v>270.11268336406368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3.4349010070492891</v>
      </c>
      <c r="BQ87" s="23">
        <f>EXP(-LN(2)/25)*BQ86+(1-EXP(-LN(2)/25))/(LN(2)/25)*Calculateur!BL87*Calculateur!BN87*VLOOKUP('Données projet'!$B$11,Paramètres!$A$1:$I$89,3,0)*0.475*44/12</f>
        <v>3.6776663948209767</v>
      </c>
      <c r="BR87" s="23">
        <f>EXP(-LN(2)/2)*BR86+(1-EXP(-LN(2)/2))/(LN(2)/2)*BL87*BO87*VLOOKUP('Données projet'!$B$11,Paramètres!$A$1:$I$89,3,0)*0.475*44/12</f>
        <v>4.723639000895503E-8</v>
      </c>
      <c r="BS87" s="24">
        <f t="shared" si="63"/>
        <v>7.1125674491066553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-2.8421709430404007E-13</v>
      </c>
      <c r="O88" s="14">
        <f>N88*VLOOKUP('Données projet'!$B$9,Paramètres!$A$1:$I$89,3,0)*VLOOKUP('Données projet'!$B$9,Paramètres!$A$1:$I$89,5,0)</f>
        <v>-1.69961822393816E-13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287.05726996114242</v>
      </c>
      <c r="T88" s="62">
        <f t="shared" si="88"/>
        <v>229.06617320689003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2.868481188027284</v>
      </c>
      <c r="AB88" s="23">
        <f>EXP(-LN(2)/2)*AB87+(1-EXP(-LN(2)/2))/(LN(2)/2)*V88*Y88*VLOOKUP('Données projet'!$B$9,Paramètres!$A$1:$I$89,3,0)*0.475*44/12</f>
        <v>2.7726669796923349E-8</v>
      </c>
      <c r="AC88" s="24">
        <f t="shared" si="57"/>
        <v>2.8684812157539539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276.92307692307691</v>
      </c>
      <c r="AG88" s="13">
        <f>VLOOKUP(A88,'Données projet'!$A$61:$I$81,9,0)</f>
        <v>3.9743589743589722</v>
      </c>
      <c r="AH88" s="13">
        <f t="array" ref="AH88">INDEX(AG:AG,MIN(IF(ISNUMBER(AG88:AG284),ROW(AG88:AG284),"")))</f>
        <v>3.9743589743589722</v>
      </c>
      <c r="AI88" s="14">
        <f>IF('Données projet'!$A$62&gt;35,AI87+AH88-AQ87,IF(A88&lt;'Données projet'!$A$62,$AF$205^A88,IF(A88='Données projet'!$A$62,'Données projet'!$B$62,AI87+AH88-AQ87)))</f>
        <v>276.92307692307662</v>
      </c>
      <c r="AJ88" s="14">
        <f>AI88*VLOOKUP('Données projet'!$B$10,Paramètres!$A$1:$I$89,3,0)*VLOOKUP('Données projet'!$B$10,Paramètres!$A$1:$I$89,5,0)</f>
        <v>289.43999999999971</v>
      </c>
      <c r="AK88" s="14">
        <f t="shared" si="89"/>
        <v>68.958086081193898</v>
      </c>
      <c r="AL88" s="22">
        <f t="shared" si="58"/>
        <v>624.20999992474549</v>
      </c>
      <c r="AM88" s="62">
        <f t="shared" si="59"/>
        <v>917.54333325807875</v>
      </c>
      <c r="AN88" s="62">
        <f ca="1">AVERAGE(OFFSET($AM$3,0,0,'Données projet'!$E$10+1,1))-AVERAGE(OFFSET($H$3,0,0,'Données projet'!$E$10+1,1))</f>
        <v>493.70175665335978</v>
      </c>
      <c r="AO88" s="62">
        <f t="shared" si="90"/>
        <v>325.12357781685949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2">
        <f t="shared" si="62"/>
        <v>293.3333333333353</v>
      </c>
      <c r="BI88" s="62">
        <f ca="1">AVERAGE(OFFSET($BH$3,0,0,'Données projet'!$E$11+1,1))-AVERAGE(OFFSET($H$3,0,0,'Données projet'!$E$11+1,1))</f>
        <v>260.02504691866199</v>
      </c>
      <c r="BJ88" s="62">
        <f t="shared" si="92"/>
        <v>270.11268336406368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3.3675446933837945</v>
      </c>
      <c r="BQ88" s="23">
        <f>EXP(-LN(2)/25)*BQ87+(1-EXP(-LN(2)/25))/(LN(2)/25)*Calculateur!BL88*Calculateur!BN88*VLOOKUP('Données projet'!$B$11,Paramètres!$A$1:$I$89,3,0)*0.475*44/12</f>
        <v>3.5771004138545268</v>
      </c>
      <c r="BR88" s="23">
        <f>EXP(-LN(2)/2)*BR87+(1-EXP(-LN(2)/2))/(LN(2)/2)*BL88*BO88*VLOOKUP('Données projet'!$B$11,Paramètres!$A$1:$I$89,3,0)*0.475*44/12</f>
        <v>3.3401171694104584E-8</v>
      </c>
      <c r="BS88" s="24">
        <f t="shared" si="63"/>
        <v>6.9446451406394925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-2.8421709430404007E-13</v>
      </c>
      <c r="O89" s="14">
        <f>N89*VLOOKUP('Données projet'!$B$9,Paramètres!$A$1:$I$89,3,0)*VLOOKUP('Données projet'!$B$9,Paramètres!$A$1:$I$89,5,0)</f>
        <v>-1.69961822393816E-13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287.05726996114242</v>
      </c>
      <c r="T89" s="62">
        <f t="shared" si="88"/>
        <v>229.06617320689003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2.7900424190938082</v>
      </c>
      <c r="AB89" s="23">
        <f>EXP(-LN(2)/2)*AB88+(1-EXP(-LN(2)/2))/(LN(2)/2)*V89*Y89*VLOOKUP('Données projet'!$B$9,Paramètres!$A$1:$I$89,3,0)*0.475*44/12</f>
        <v>1.9605716233124735E-8</v>
      </c>
      <c r="AC89" s="24">
        <f t="shared" si="57"/>
        <v>2.7900424386995244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3.8461538461538454</v>
      </c>
      <c r="AI89" s="14">
        <f>IF('Données projet'!$A$62&gt;35,AI88+AH89-AQ88,IF(A89&lt;'Données projet'!$A$62,$AF$205^A89,IF(A89='Données projet'!$A$62,'Données projet'!$B$62,AI88+AH89-AQ88)))</f>
        <v>280.76923076923049</v>
      </c>
      <c r="AJ89" s="14">
        <f>AI89*VLOOKUP('Données projet'!$B$10,Paramètres!$A$1:$I$89,3,0)*VLOOKUP('Données projet'!$B$10,Paramètres!$A$1:$I$89,5,0)</f>
        <v>293.45999999999975</v>
      </c>
      <c r="AK89" s="14">
        <f t="shared" si="89"/>
        <v>69.803674480051043</v>
      </c>
      <c r="AL89" s="22">
        <f t="shared" si="58"/>
        <v>632.68423305275508</v>
      </c>
      <c r="AM89" s="62">
        <f t="shared" si="59"/>
        <v>926.01756638608845</v>
      </c>
      <c r="AN89" s="62">
        <f ca="1">AVERAGE(OFFSET($AM$3,0,0,'Données projet'!$E$10+1,1))-AVERAGE(OFFSET($H$3,0,0,'Données projet'!$E$10+1,1))</f>
        <v>493.70175665335978</v>
      </c>
      <c r="AO89" s="62">
        <f t="shared" si="90"/>
        <v>325.12357781685949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2">
        <f t="shared" si="62"/>
        <v>293.3333333333353</v>
      </c>
      <c r="BI89" s="62">
        <f ca="1">AVERAGE(OFFSET($BH$3,0,0,'Données projet'!$E$11+1,1))-AVERAGE(OFFSET($H$3,0,0,'Données projet'!$E$11+1,1))</f>
        <v>260.02504691866199</v>
      </c>
      <c r="BJ89" s="62">
        <f t="shared" si="92"/>
        <v>270.11268336406368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3.3015091959459855</v>
      </c>
      <c r="BQ89" s="23">
        <f>EXP(-LN(2)/25)*BQ88+(1-EXP(-LN(2)/25))/(LN(2)/25)*Calculateur!BL89*Calculateur!BN89*VLOOKUP('Données projet'!$B$11,Paramètres!$A$1:$I$89,3,0)*0.475*44/12</f>
        <v>3.4792844149261395</v>
      </c>
      <c r="BR89" s="23">
        <f>EXP(-LN(2)/2)*BR88+(1-EXP(-LN(2)/2))/(LN(2)/2)*BL89*BO89*VLOOKUP('Données projet'!$B$11,Paramètres!$A$1:$I$89,3,0)*0.475*44/12</f>
        <v>2.3618195004477515E-8</v>
      </c>
      <c r="BS89" s="24">
        <f t="shared" si="63"/>
        <v>6.7807936344903208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-2.8421709430404007E-13</v>
      </c>
      <c r="O90" s="14">
        <f>N90*VLOOKUP('Données projet'!$B$9,Paramètres!$A$1:$I$89,3,0)*VLOOKUP('Données projet'!$B$9,Paramètres!$A$1:$I$89,5,0)</f>
        <v>-1.69961822393816E-13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287.05726996114242</v>
      </c>
      <c r="T90" s="62">
        <f t="shared" si="88"/>
        <v>229.06617320689003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2.7137485624217339</v>
      </c>
      <c r="AB90" s="23">
        <f>EXP(-LN(2)/2)*AB89+(1-EXP(-LN(2)/2))/(LN(2)/2)*V90*Y90*VLOOKUP('Données projet'!$B$9,Paramètres!$A$1:$I$89,3,0)*0.475*44/12</f>
        <v>1.3863334898461675E-8</v>
      </c>
      <c r="AC90" s="24">
        <f t="shared" si="57"/>
        <v>2.7137485762850688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3.8461538461538454</v>
      </c>
      <c r="AI90" s="14">
        <f>IF('Données projet'!$A$62&gt;35,AI89+AH90-AQ89,IF(A90&lt;'Données projet'!$A$62,$AF$205^A90,IF(A90='Données projet'!$A$62,'Données projet'!$B$62,AI89+AH90-AQ89)))</f>
        <v>284.61538461538436</v>
      </c>
      <c r="AJ90" s="14">
        <f>AI90*VLOOKUP('Données projet'!$B$10,Paramètres!$A$1:$I$89,3,0)*VLOOKUP('Données projet'!$B$10,Paramètres!$A$1:$I$89,5,0)</f>
        <v>297.47999999999979</v>
      </c>
      <c r="AK90" s="14">
        <f t="shared" si="89"/>
        <v>70.647915600656845</v>
      </c>
      <c r="AL90" s="22">
        <f t="shared" si="58"/>
        <v>641.15611967114364</v>
      </c>
      <c r="AM90" s="62">
        <f t="shared" si="59"/>
        <v>934.4894530044769</v>
      </c>
      <c r="AN90" s="62">
        <f ca="1">AVERAGE(OFFSET($AM$3,0,0,'Données projet'!$E$10+1,1))-AVERAGE(OFFSET($H$3,0,0,'Données projet'!$E$10+1,1))</f>
        <v>493.70175665335978</v>
      </c>
      <c r="AO90" s="62">
        <f t="shared" si="90"/>
        <v>325.12357781685949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2">
        <f t="shared" si="62"/>
        <v>293.3333333333353</v>
      </c>
      <c r="BI90" s="62">
        <f ca="1">AVERAGE(OFFSET($BH$3,0,0,'Données projet'!$E$11+1,1))-AVERAGE(OFFSET($H$3,0,0,'Données projet'!$E$11+1,1))</f>
        <v>260.02504691866199</v>
      </c>
      <c r="BJ90" s="62">
        <f t="shared" si="92"/>
        <v>270.11268336406368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3.2367686143352556</v>
      </c>
      <c r="BQ90" s="23">
        <f>EXP(-LN(2)/25)*BQ89+(1-EXP(-LN(2)/25))/(LN(2)/25)*Calculateur!BL90*Calculateur!BN90*VLOOKUP('Données projet'!$B$11,Paramètres!$A$1:$I$89,3,0)*0.475*44/12</f>
        <v>3.3841431996323688</v>
      </c>
      <c r="BR90" s="23">
        <f>EXP(-LN(2)/2)*BR89+(1-EXP(-LN(2)/2))/(LN(2)/2)*BL90*BO90*VLOOKUP('Données projet'!$B$11,Paramètres!$A$1:$I$89,3,0)*0.475*44/12</f>
        <v>1.6700585847052292E-8</v>
      </c>
      <c r="BS90" s="24">
        <f t="shared" si="63"/>
        <v>6.6209118306682102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-2.8421709430404007E-13</v>
      </c>
      <c r="O91" s="14">
        <f>N91*VLOOKUP('Données projet'!$B$9,Paramètres!$A$1:$I$89,3,0)*VLOOKUP('Données projet'!$B$9,Paramètres!$A$1:$I$89,5,0)</f>
        <v>-1.69961822393816E-13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287.05726996114242</v>
      </c>
      <c r="T91" s="62">
        <f t="shared" si="88"/>
        <v>229.06617320689003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2.6395409652724768</v>
      </c>
      <c r="AB91" s="23">
        <f>EXP(-LN(2)/2)*AB90+(1-EXP(-LN(2)/2))/(LN(2)/2)*V91*Y91*VLOOKUP('Données projet'!$B$9,Paramètres!$A$1:$I$89,3,0)*0.475*44/12</f>
        <v>9.8028581165623673E-9</v>
      </c>
      <c r="AC91" s="24">
        <f t="shared" si="57"/>
        <v>2.6395409750753349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3.8461538461538454</v>
      </c>
      <c r="AI91" s="14">
        <f>IF('Données projet'!$A$62&gt;35,AI90+AH91-AQ90,IF(A91&lt;'Données projet'!$A$62,$AF$205^A91,IF(A91='Données projet'!$A$62,'Données projet'!$B$62,AI90+AH91-AQ90)))</f>
        <v>288.46153846153823</v>
      </c>
      <c r="AJ91" s="14">
        <f>AI91*VLOOKUP('Données projet'!$B$10,Paramètres!$A$1:$I$89,3,0)*VLOOKUP('Données projet'!$B$10,Paramètres!$A$1:$I$89,5,0)</f>
        <v>301.49999999999977</v>
      </c>
      <c r="AK91" s="14">
        <f t="shared" si="89"/>
        <v>71.490829753972974</v>
      </c>
      <c r="AL91" s="22">
        <f t="shared" si="58"/>
        <v>649.62569515483597</v>
      </c>
      <c r="AM91" s="62">
        <f t="shared" si="59"/>
        <v>942.95902848816922</v>
      </c>
      <c r="AN91" s="62">
        <f ca="1">AVERAGE(OFFSET($AM$3,0,0,'Données projet'!$E$10+1,1))-AVERAGE(OFFSET($H$3,0,0,'Données projet'!$E$10+1,1))</f>
        <v>493.70175665335978</v>
      </c>
      <c r="AO91" s="62">
        <f t="shared" si="90"/>
        <v>325.12357781685949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2">
        <f t="shared" si="62"/>
        <v>293.3333333333353</v>
      </c>
      <c r="BI91" s="62">
        <f ca="1">AVERAGE(OFFSET($BH$3,0,0,'Données projet'!$E$11+1,1))-AVERAGE(OFFSET($H$3,0,0,'Données projet'!$E$11+1,1))</f>
        <v>260.02504691866199</v>
      </c>
      <c r="BJ91" s="62">
        <f t="shared" si="92"/>
        <v>270.11268336406368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3.1732975560420567</v>
      </c>
      <c r="BQ91" s="23">
        <f>EXP(-LN(2)/25)*BQ90+(1-EXP(-LN(2)/25))/(LN(2)/25)*Calculateur!BL91*Calculateur!BN91*VLOOKUP('Données projet'!$B$11,Paramètres!$A$1:$I$89,3,0)*0.475*44/12</f>
        <v>3.2916036258740653</v>
      </c>
      <c r="BR91" s="23">
        <f>EXP(-LN(2)/2)*BR90+(1-EXP(-LN(2)/2))/(LN(2)/2)*BL91*BO91*VLOOKUP('Données projet'!$B$11,Paramètres!$A$1:$I$89,3,0)*0.475*44/12</f>
        <v>1.1809097502238757E-8</v>
      </c>
      <c r="BS91" s="24">
        <f t="shared" si="63"/>
        <v>6.4649011937252201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-2.8421709430404007E-13</v>
      </c>
      <c r="O92" s="14">
        <f>N92*VLOOKUP('Données projet'!$B$9,Paramètres!$A$1:$I$89,3,0)*VLOOKUP('Données projet'!$B$9,Paramètres!$A$1:$I$89,5,0)</f>
        <v>-1.69961822393816E-13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287.05726996114242</v>
      </c>
      <c r="T92" s="62">
        <f t="shared" si="88"/>
        <v>229.06617320689003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2.5673625787696746</v>
      </c>
      <c r="AB92" s="23">
        <f>EXP(-LN(2)/2)*AB91+(1-EXP(-LN(2)/2))/(LN(2)/2)*V92*Y92*VLOOKUP('Données projet'!$B$9,Paramètres!$A$1:$I$89,3,0)*0.475*44/12</f>
        <v>6.9316674492308373E-9</v>
      </c>
      <c r="AC92" s="24">
        <f t="shared" si="57"/>
        <v>2.5673625857013418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3.8461538461538454</v>
      </c>
      <c r="AI92" s="14">
        <f>IF('Données projet'!$A$62&gt;35,AI91+AH92-AQ91,IF(A92&lt;'Données projet'!$A$62,$AF$205^A92,IF(A92='Données projet'!$A$62,'Données projet'!$B$62,AI91+AH92-AQ91)))</f>
        <v>292.30769230769209</v>
      </c>
      <c r="AJ92" s="14">
        <f>AI92*VLOOKUP('Données projet'!$B$10,Paramètres!$A$1:$I$89,3,0)*VLOOKUP('Données projet'!$B$10,Paramètres!$A$1:$I$89,5,0)</f>
        <v>305.51999999999981</v>
      </c>
      <c r="AK92" s="14">
        <f t="shared" si="89"/>
        <v>72.332436678206648</v>
      </c>
      <c r="AL92" s="22">
        <f t="shared" si="58"/>
        <v>658.09299388120962</v>
      </c>
      <c r="AM92" s="62">
        <f t="shared" si="59"/>
        <v>951.42632721454288</v>
      </c>
      <c r="AN92" s="62">
        <f ca="1">AVERAGE(OFFSET($AM$3,0,0,'Données projet'!$E$10+1,1))-AVERAGE(OFFSET($H$3,0,0,'Données projet'!$E$10+1,1))</f>
        <v>493.70175665335978</v>
      </c>
      <c r="AO92" s="62">
        <f t="shared" si="90"/>
        <v>325.12357781685949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2">
        <f t="shared" si="62"/>
        <v>293.3333333333353</v>
      </c>
      <c r="BI92" s="62">
        <f ca="1">AVERAGE(OFFSET($BH$3,0,0,'Données projet'!$E$11+1,1))-AVERAGE(OFFSET($H$3,0,0,'Données projet'!$E$11+1,1))</f>
        <v>260.02504691866199</v>
      </c>
      <c r="BJ92" s="62">
        <f t="shared" si="92"/>
        <v>270.11268336406368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3.1110711264884645</v>
      </c>
      <c r="BQ92" s="23">
        <f>EXP(-LN(2)/25)*BQ91+(1-EXP(-LN(2)/25))/(LN(2)/25)*Calculateur!BL92*Calculateur!BN92*VLOOKUP('Données projet'!$B$11,Paramètres!$A$1:$I$89,3,0)*0.475*44/12</f>
        <v>3.2015945516266275</v>
      </c>
      <c r="BR92" s="23">
        <f>EXP(-LN(2)/2)*BR91+(1-EXP(-LN(2)/2))/(LN(2)/2)*BL92*BO92*VLOOKUP('Données projet'!$B$11,Paramètres!$A$1:$I$89,3,0)*0.475*44/12</f>
        <v>8.3502929235261459E-9</v>
      </c>
      <c r="BS92" s="24">
        <f t="shared" si="63"/>
        <v>6.312665686465385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-2.8421709430404007E-13</v>
      </c>
      <c r="O93" s="14">
        <f>N93*VLOOKUP('Données projet'!$B$9,Paramètres!$A$1:$I$89,3,0)*VLOOKUP('Données projet'!$B$9,Paramètres!$A$1:$I$89,5,0)</f>
        <v>-1.69961822393816E-13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287.05726996114242</v>
      </c>
      <c r="T93" s="62">
        <f t="shared" si="88"/>
        <v>229.06617320689003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2.4971579140414875</v>
      </c>
      <c r="AB93" s="23">
        <f>EXP(-LN(2)/2)*AB92+(1-EXP(-LN(2)/2))/(LN(2)/2)*V93*Y93*VLOOKUP('Données projet'!$B$9,Paramètres!$A$1:$I$89,3,0)*0.475*44/12</f>
        <v>4.9014290582811837E-9</v>
      </c>
      <c r="AC93" s="24">
        <f t="shared" si="57"/>
        <v>2.4971579189429165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296.15384615384613</v>
      </c>
      <c r="AG93" s="13">
        <f>VLOOKUP(A93,'Données projet'!$A$61:$I$81,9,0)</f>
        <v>3.8461538461538454</v>
      </c>
      <c r="AH93" s="13">
        <f t="array" ref="AH93">INDEX(AG:AG,MIN(IF(ISNUMBER(AG93:AG289),ROW(AG93:AG289),"")))</f>
        <v>3.8461538461538454</v>
      </c>
      <c r="AI93" s="14">
        <f>IF('Données projet'!$A$62&gt;35,AI92+AH93-AQ92,IF(A93&lt;'Données projet'!$A$62,$AF$205^A93,IF(A93='Données projet'!$A$62,'Données projet'!$B$62,AI92+AH93-AQ92)))</f>
        <v>296.15384615384596</v>
      </c>
      <c r="AJ93" s="14">
        <f>AI93*VLOOKUP('Données projet'!$B$10,Paramètres!$A$1:$I$89,3,0)*VLOOKUP('Données projet'!$B$10,Paramètres!$A$1:$I$89,5,0)</f>
        <v>309.53999999999979</v>
      </c>
      <c r="AK93" s="14">
        <f t="shared" si="89"/>
        <v>73.172755562281282</v>
      </c>
      <c r="AL93" s="22">
        <f t="shared" si="58"/>
        <v>666.5580492709729</v>
      </c>
      <c r="AM93" s="62">
        <f t="shared" si="59"/>
        <v>959.89138260430627</v>
      </c>
      <c r="AN93" s="62">
        <f ca="1">AVERAGE(OFFSET($AM$3,0,0,'Données projet'!$E$10+1,1))-AVERAGE(OFFSET($H$3,0,0,'Données projet'!$E$10+1,1))</f>
        <v>493.70175665335978</v>
      </c>
      <c r="AO93" s="62">
        <f t="shared" si="90"/>
        <v>325.12357781685949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21.153846153846153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2">
        <f t="shared" si="62"/>
        <v>293.3333333333353</v>
      </c>
      <c r="BI93" s="62">
        <f ca="1">AVERAGE(OFFSET($BH$3,0,0,'Données projet'!$E$11+1,1))-AVERAGE(OFFSET($H$3,0,0,'Données projet'!$E$11+1,1))</f>
        <v>260.02504691866199</v>
      </c>
      <c r="BJ93" s="62">
        <f t="shared" si="92"/>
        <v>270.11268336406368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3.0500649192640439</v>
      </c>
      <c r="BQ93" s="23">
        <f>EXP(-LN(2)/25)*BQ92+(1-EXP(-LN(2)/25))/(LN(2)/25)*Calculateur!BL93*Calculateur!BN93*VLOOKUP('Données projet'!$B$11,Paramètres!$A$1:$I$89,3,0)*0.475*44/12</f>
        <v>3.1140467802478571</v>
      </c>
      <c r="BR93" s="23">
        <f>EXP(-LN(2)/2)*BR92+(1-EXP(-LN(2)/2))/(LN(2)/2)*BL93*BO93*VLOOKUP('Données projet'!$B$11,Paramètres!$A$1:$I$89,3,0)*0.475*44/12</f>
        <v>5.9045487511193787E-9</v>
      </c>
      <c r="BS93" s="24">
        <f t="shared" si="63"/>
        <v>6.1641117054164498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-2.8421709430404007E-13</v>
      </c>
      <c r="O94" s="14">
        <f>N94*VLOOKUP('Données projet'!$B$9,Paramètres!$A$1:$I$89,3,0)*VLOOKUP('Données projet'!$B$9,Paramètres!$A$1:$I$89,5,0)</f>
        <v>-1.69961822393816E-13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287.05726996114242</v>
      </c>
      <c r="T94" s="62">
        <f t="shared" si="88"/>
        <v>229.06617320689003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2.4288729995621958</v>
      </c>
      <c r="AB94" s="23">
        <f>EXP(-LN(2)/2)*AB93+(1-EXP(-LN(2)/2))/(LN(2)/2)*V94*Y94*VLOOKUP('Données projet'!$B$9,Paramètres!$A$1:$I$89,3,0)*0.475*44/12</f>
        <v>3.4658337246154187E-9</v>
      </c>
      <c r="AC94" s="24">
        <f t="shared" si="57"/>
        <v>2.4288730030280297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3.4615384615384586</v>
      </c>
      <c r="AI94" s="14">
        <f>IF('Données projet'!$A$62&gt;35,AI93+AH94-AQ93,IF(A94&lt;'Données projet'!$A$62,$AF$205^A94,IF(A94='Données projet'!$A$62,'Données projet'!$B$62,AI93+AH94-AQ93)))</f>
        <v>278.46153846153828</v>
      </c>
      <c r="AJ94" s="14">
        <f>AI94*VLOOKUP('Données projet'!$B$10,Paramètres!$A$1:$I$89,3,0)*VLOOKUP('Données projet'!$B$10,Paramètres!$A$1:$I$89,5,0)</f>
        <v>291.04799999999983</v>
      </c>
      <c r="AK94" s="14">
        <f t="shared" si="89"/>
        <v>69.296484438588436</v>
      </c>
      <c r="AL94" s="22">
        <f t="shared" si="58"/>
        <v>627.59997706387446</v>
      </c>
      <c r="AM94" s="62">
        <f t="shared" si="59"/>
        <v>920.93331039720783</v>
      </c>
      <c r="AN94" s="62">
        <f ca="1">AVERAGE(OFFSET($AM$3,0,0,'Données projet'!$E$10+1,1))-AVERAGE(OFFSET($H$3,0,0,'Données projet'!$E$10+1,1))</f>
        <v>493.70175665335978</v>
      </c>
      <c r="AO94" s="62">
        <f t="shared" si="90"/>
        <v>325.12357781685949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2">
        <f t="shared" si="62"/>
        <v>293.3333333333353</v>
      </c>
      <c r="BI94" s="62">
        <f ca="1">AVERAGE(OFFSET($BH$3,0,0,'Données projet'!$E$11+1,1))-AVERAGE(OFFSET($H$3,0,0,'Données projet'!$E$11+1,1))</f>
        <v>260.02504691866199</v>
      </c>
      <c r="BJ94" s="62">
        <f t="shared" si="92"/>
        <v>270.11268336406368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2.9902550065531819</v>
      </c>
      <c r="BQ94" s="23">
        <f>EXP(-LN(2)/25)*BQ93+(1-EXP(-LN(2)/25))/(LN(2)/25)*Calculateur!BL94*Calculateur!BN94*VLOOKUP('Données projet'!$B$11,Paramètres!$A$1:$I$89,3,0)*0.475*44/12</f>
        <v>3.0288930072813764</v>
      </c>
      <c r="BR94" s="23">
        <f>EXP(-LN(2)/2)*BR93+(1-EXP(-LN(2)/2))/(LN(2)/2)*BL94*BO94*VLOOKUP('Données projet'!$B$11,Paramètres!$A$1:$I$89,3,0)*0.475*44/12</f>
        <v>4.175146461763073E-9</v>
      </c>
      <c r="BS94" s="24">
        <f t="shared" si="63"/>
        <v>6.0191480180097043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-2.8421709430404007E-13</v>
      </c>
      <c r="O95" s="14">
        <f>N95*VLOOKUP('Données projet'!$B$9,Paramètres!$A$1:$I$89,3,0)*VLOOKUP('Données projet'!$B$9,Paramètres!$A$1:$I$89,5,0)</f>
        <v>-1.69961822393816E-13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287.05726996114242</v>
      </c>
      <c r="T95" s="62">
        <f t="shared" si="88"/>
        <v>229.06617320689003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2.3624553396602876</v>
      </c>
      <c r="AB95" s="23">
        <f>EXP(-LN(2)/2)*AB94+(1-EXP(-LN(2)/2))/(LN(2)/2)*V95*Y95*VLOOKUP('Données projet'!$B$9,Paramètres!$A$1:$I$89,3,0)*0.475*44/12</f>
        <v>2.4507145291405918E-9</v>
      </c>
      <c r="AC95" s="24">
        <f t="shared" si="57"/>
        <v>2.3624553421110024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3.4615384615384586</v>
      </c>
      <c r="AI95" s="14">
        <f>IF('Données projet'!$A$62&gt;35,AI94+AH95-AQ94,IF(A95&lt;'Données projet'!$A$62,$AF$205^A95,IF(A95='Données projet'!$A$62,'Données projet'!$B$62,AI94+AH95-AQ94)))</f>
        <v>281.92307692307674</v>
      </c>
      <c r="AJ95" s="14">
        <f>AI95*VLOOKUP('Données projet'!$B$10,Paramètres!$A$1:$I$89,3,0)*VLOOKUP('Données projet'!$B$10,Paramètres!$A$1:$I$89,5,0)</f>
        <v>294.66599999999983</v>
      </c>
      <c r="AK95" s="14">
        <f t="shared" si="89"/>
        <v>70.057087344971222</v>
      </c>
      <c r="AL95" s="22">
        <f t="shared" si="58"/>
        <v>635.22604379249128</v>
      </c>
      <c r="AM95" s="62">
        <f t="shared" si="59"/>
        <v>928.55937712582454</v>
      </c>
      <c r="AN95" s="62">
        <f ca="1">AVERAGE(OFFSET($AM$3,0,0,'Données projet'!$E$10+1,1))-AVERAGE(OFFSET($H$3,0,0,'Données projet'!$E$10+1,1))</f>
        <v>493.70175665335978</v>
      </c>
      <c r="AO95" s="62">
        <f t="shared" si="90"/>
        <v>325.12357781685949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2">
        <f t="shared" si="62"/>
        <v>293.3333333333353</v>
      </c>
      <c r="BI95" s="62">
        <f ca="1">AVERAGE(OFFSET($BH$3,0,0,'Données projet'!$E$11+1,1))-AVERAGE(OFFSET($H$3,0,0,'Données projet'!$E$11+1,1))</f>
        <v>260.02504691866199</v>
      </c>
      <c r="BJ95" s="62">
        <f t="shared" si="92"/>
        <v>270.11268336406368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2.9316179297501352</v>
      </c>
      <c r="BQ95" s="23">
        <f>EXP(-LN(2)/25)*BQ94+(1-EXP(-LN(2)/25))/(LN(2)/25)*Calculateur!BL95*Calculateur!BN95*VLOOKUP('Données projet'!$B$11,Paramètres!$A$1:$I$89,3,0)*0.475*44/12</f>
        <v>2.9460677687147068</v>
      </c>
      <c r="BR95" s="23">
        <f>EXP(-LN(2)/2)*BR94+(1-EXP(-LN(2)/2))/(LN(2)/2)*BL95*BO95*VLOOKUP('Données projet'!$B$11,Paramètres!$A$1:$I$89,3,0)*0.475*44/12</f>
        <v>2.9522743755596894E-9</v>
      </c>
      <c r="BS95" s="24">
        <f t="shared" si="63"/>
        <v>5.877685701417116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-2.8421709430404007E-13</v>
      </c>
      <c r="O96" s="14">
        <f>N96*VLOOKUP('Données projet'!$B$9,Paramètres!$A$1:$I$89,3,0)*VLOOKUP('Données projet'!$B$9,Paramètres!$A$1:$I$89,5,0)</f>
        <v>-1.69961822393816E-13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287.05726996114242</v>
      </c>
      <c r="T96" s="62">
        <f t="shared" si="88"/>
        <v>229.06617320689003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2.2978538741611501</v>
      </c>
      <c r="AB96" s="23">
        <f>EXP(-LN(2)/2)*AB95+(1-EXP(-LN(2)/2))/(LN(2)/2)*V96*Y96*VLOOKUP('Données projet'!$B$9,Paramètres!$A$1:$I$89,3,0)*0.475*44/12</f>
        <v>1.7329168623077093E-9</v>
      </c>
      <c r="AC96" s="24">
        <f t="shared" si="57"/>
        <v>2.297853875894067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3.4615384615384586</v>
      </c>
      <c r="AI96" s="14">
        <f>IF('Données projet'!$A$62&gt;35,AI95+AH96-AQ95,IF(A96&lt;'Données projet'!$A$62,$AF$205^A96,IF(A96='Données projet'!$A$62,'Données projet'!$B$62,AI95+AH96-AQ95)))</f>
        <v>285.38461538461519</v>
      </c>
      <c r="AJ96" s="14">
        <f>AI96*VLOOKUP('Données projet'!$B$10,Paramètres!$A$1:$I$89,3,0)*VLOOKUP('Données projet'!$B$10,Paramètres!$A$1:$I$89,5,0)</f>
        <v>298.28399999999982</v>
      </c>
      <c r="AK96" s="14">
        <f t="shared" si="89"/>
        <v>70.816603948985517</v>
      </c>
      <c r="AL96" s="22">
        <f t="shared" si="58"/>
        <v>642.8502185444828</v>
      </c>
      <c r="AM96" s="62">
        <f t="shared" si="59"/>
        <v>936.18355187781617</v>
      </c>
      <c r="AN96" s="62">
        <f ca="1">AVERAGE(OFFSET($AM$3,0,0,'Données projet'!$E$10+1,1))-AVERAGE(OFFSET($H$3,0,0,'Données projet'!$E$10+1,1))</f>
        <v>493.70175665335978</v>
      </c>
      <c r="AO96" s="62">
        <f t="shared" si="90"/>
        <v>325.12357781685949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2">
        <f t="shared" si="62"/>
        <v>293.3333333333353</v>
      </c>
      <c r="BI96" s="62">
        <f ca="1">AVERAGE(OFFSET($BH$3,0,0,'Données projet'!$E$11+1,1))-AVERAGE(OFFSET($H$3,0,0,'Données projet'!$E$11+1,1))</f>
        <v>260.02504691866199</v>
      </c>
      <c r="BJ96" s="62">
        <f t="shared" si="92"/>
        <v>270.11268336406368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2.8741306902581112</v>
      </c>
      <c r="BQ96" s="23">
        <f>EXP(-LN(2)/25)*BQ95+(1-EXP(-LN(2)/25))/(LN(2)/25)*Calculateur!BL96*Calculateur!BN96*VLOOKUP('Données projet'!$B$11,Paramètres!$A$1:$I$89,3,0)*0.475*44/12</f>
        <v>2.8655073906522324</v>
      </c>
      <c r="BR96" s="23">
        <f>EXP(-LN(2)/2)*BR95+(1-EXP(-LN(2)/2))/(LN(2)/2)*BL96*BO96*VLOOKUP('Données projet'!$B$11,Paramètres!$A$1:$I$89,3,0)*0.475*44/12</f>
        <v>2.0875732308815365E-9</v>
      </c>
      <c r="BS96" s="24">
        <f t="shared" si="63"/>
        <v>5.7396380829979172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-2.8421709430404007E-13</v>
      </c>
      <c r="O97" s="14">
        <f>N97*VLOOKUP('Données projet'!$B$9,Paramètres!$A$1:$I$89,3,0)*VLOOKUP('Données projet'!$B$9,Paramètres!$A$1:$I$89,5,0)</f>
        <v>-1.69961822393816E-13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287.05726996114242</v>
      </c>
      <c r="T97" s="62">
        <f t="shared" si="88"/>
        <v>229.06617320689003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2.2350189391333299</v>
      </c>
      <c r="AB97" s="23">
        <f>EXP(-LN(2)/2)*AB96+(1-EXP(-LN(2)/2))/(LN(2)/2)*V97*Y97*VLOOKUP('Données projet'!$B$9,Paramètres!$A$1:$I$89,3,0)*0.475*44/12</f>
        <v>1.2253572645702959E-9</v>
      </c>
      <c r="AC97" s="24">
        <f t="shared" si="57"/>
        <v>2.2350189403586871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3.4615384615384586</v>
      </c>
      <c r="AI97" s="14">
        <f>IF('Données projet'!$A$62&gt;35,AI96+AH97-AQ96,IF(A97&lt;'Données projet'!$A$62,$AF$205^A97,IF(A97='Données projet'!$A$62,'Données projet'!$B$62,AI96+AH97-AQ96)))</f>
        <v>288.84615384615364</v>
      </c>
      <c r="AJ97" s="14">
        <f>AI97*VLOOKUP('Données projet'!$B$10,Paramètres!$A$1:$I$89,3,0)*VLOOKUP('Données projet'!$B$10,Paramètres!$A$1:$I$89,5,0)</f>
        <v>301.90199999999982</v>
      </c>
      <c r="AK97" s="14">
        <f t="shared" si="89"/>
        <v>71.575048950857877</v>
      </c>
      <c r="AL97" s="22">
        <f t="shared" si="58"/>
        <v>650.47252692274378</v>
      </c>
      <c r="AM97" s="62">
        <f t="shared" si="59"/>
        <v>943.80586025607704</v>
      </c>
      <c r="AN97" s="62">
        <f ca="1">AVERAGE(OFFSET($AM$3,0,0,'Données projet'!$E$10+1,1))-AVERAGE(OFFSET($H$3,0,0,'Données projet'!$E$10+1,1))</f>
        <v>493.70175665335978</v>
      </c>
      <c r="AO97" s="62">
        <f t="shared" si="90"/>
        <v>325.12357781685949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2">
        <f t="shared" si="62"/>
        <v>293.3333333333353</v>
      </c>
      <c r="BI97" s="62">
        <f ca="1">AVERAGE(OFFSET($BH$3,0,0,'Données projet'!$E$11+1,1))-AVERAGE(OFFSET($H$3,0,0,'Données projet'!$E$11+1,1))</f>
        <v>260.02504691866199</v>
      </c>
      <c r="BJ97" s="62">
        <f t="shared" si="92"/>
        <v>270.11268336406368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2.8177707404687715</v>
      </c>
      <c r="BQ97" s="23">
        <f>EXP(-LN(2)/25)*BQ96+(1-EXP(-LN(2)/25))/(LN(2)/25)*Calculateur!BL97*Calculateur!BN97*VLOOKUP('Données projet'!$B$11,Paramètres!$A$1:$I$89,3,0)*0.475*44/12</f>
        <v>2.7871499403643627</v>
      </c>
      <c r="BR97" s="23">
        <f>EXP(-LN(2)/2)*BR96+(1-EXP(-LN(2)/2))/(LN(2)/2)*BL97*BO97*VLOOKUP('Données projet'!$B$11,Paramètres!$A$1:$I$89,3,0)*0.475*44/12</f>
        <v>1.4761371877798447E-9</v>
      </c>
      <c r="BS97" s="24">
        <f t="shared" si="63"/>
        <v>5.6049206823092712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-2.8421709430404007E-13</v>
      </c>
      <c r="O98" s="14">
        <f>N98*VLOOKUP('Données projet'!$B$9,Paramètres!$A$1:$I$89,3,0)*VLOOKUP('Données projet'!$B$9,Paramètres!$A$1:$I$89,5,0)</f>
        <v>-1.69961822393816E-13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287.05726996114242</v>
      </c>
      <c r="T98" s="62">
        <f t="shared" si="88"/>
        <v>229.06617320689003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2.1739022287081911</v>
      </c>
      <c r="AB98" s="23">
        <f>EXP(-LN(2)/2)*AB97+(1-EXP(-LN(2)/2))/(LN(2)/2)*V98*Y98*VLOOKUP('Données projet'!$B$9,Paramètres!$A$1:$I$89,3,0)*0.475*44/12</f>
        <v>8.6645843115385467E-10</v>
      </c>
      <c r="AC98" s="24">
        <f t="shared" si="57"/>
        <v>2.1739022295746495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3.4615384615384586</v>
      </c>
      <c r="AI98" s="14">
        <f>IF('Données projet'!$A$62&gt;35,AI97+AH98-AQ97,IF(A98&lt;'Données projet'!$A$62,$AF$205^A98,IF(A98='Données projet'!$A$62,'Données projet'!$B$62,AI97+AH98-AQ97)))</f>
        <v>292.30769230769209</v>
      </c>
      <c r="AJ98" s="14">
        <f>AI98*VLOOKUP('Données projet'!$B$10,Paramètres!$A$1:$I$89,3,0)*VLOOKUP('Données projet'!$B$10,Paramètres!$A$1:$I$89,5,0)</f>
        <v>305.51999999999981</v>
      </c>
      <c r="AK98" s="14">
        <f t="shared" si="89"/>
        <v>72.332436678206648</v>
      </c>
      <c r="AL98" s="22">
        <f t="shared" si="58"/>
        <v>658.09299388120962</v>
      </c>
      <c r="AM98" s="62">
        <f t="shared" si="59"/>
        <v>951.42632721454288</v>
      </c>
      <c r="AN98" s="62">
        <f ca="1">AVERAGE(OFFSET($AM$3,0,0,'Données projet'!$E$10+1,1))-AVERAGE(OFFSET($H$3,0,0,'Données projet'!$E$10+1,1))</f>
        <v>493.70175665335978</v>
      </c>
      <c r="AO98" s="62">
        <f t="shared" si="90"/>
        <v>325.12357781685949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2">
        <f t="shared" si="62"/>
        <v>293.3333333333353</v>
      </c>
      <c r="BI98" s="62">
        <f ca="1">AVERAGE(OFFSET($BH$3,0,0,'Données projet'!$E$11+1,1))-AVERAGE(OFFSET($H$3,0,0,'Données projet'!$E$11+1,1))</f>
        <v>260.02504691866199</v>
      </c>
      <c r="BJ98" s="62">
        <f t="shared" si="92"/>
        <v>270.11268336406368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2.7625159749186259</v>
      </c>
      <c r="BQ98" s="23">
        <f>EXP(-LN(2)/25)*BQ97+(1-EXP(-LN(2)/25))/(LN(2)/25)*Calculateur!BL98*Calculateur!BN98*VLOOKUP('Données projet'!$B$11,Paramètres!$A$1:$I$89,3,0)*0.475*44/12</f>
        <v>2.7109351786752538</v>
      </c>
      <c r="BR98" s="23">
        <f>EXP(-LN(2)/2)*BR97+(1-EXP(-LN(2)/2))/(LN(2)/2)*BL98*BO98*VLOOKUP('Données projet'!$B$11,Paramètres!$A$1:$I$89,3,0)*0.475*44/12</f>
        <v>1.0437866154407682E-9</v>
      </c>
      <c r="BS98" s="24">
        <f t="shared" si="63"/>
        <v>5.4734511546376661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-2.8421709430404007E-13</v>
      </c>
      <c r="O99" s="14">
        <f>N99*VLOOKUP('Données projet'!$B$9,Paramètres!$A$1:$I$89,3,0)*VLOOKUP('Données projet'!$B$9,Paramètres!$A$1:$I$89,5,0)</f>
        <v>-1.69961822393816E-13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287.05726996114242</v>
      </c>
      <c r="T99" s="62">
        <f t="shared" si="88"/>
        <v>229.06617320689003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2.114456757943616</v>
      </c>
      <c r="AB99" s="23">
        <f>EXP(-LN(2)/2)*AB98+(1-EXP(-LN(2)/2))/(LN(2)/2)*V99*Y99*VLOOKUP('Données projet'!$B$9,Paramètres!$A$1:$I$89,3,0)*0.475*44/12</f>
        <v>6.1267863228514796E-10</v>
      </c>
      <c r="AC99" s="24">
        <f t="shared" si="57"/>
        <v>2.1144567585562948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3.4615384615384586</v>
      </c>
      <c r="AI99" s="14">
        <f>IF('Données projet'!$A$62&gt;35,AI98+AH99-AQ98,IF(A99&lt;'Données projet'!$A$62,$AF$205^A99,IF(A99='Données projet'!$A$62,'Données projet'!$B$62,AI98+AH99-AQ98)))</f>
        <v>295.76923076923055</v>
      </c>
      <c r="AJ99" s="14">
        <f>AI99*VLOOKUP('Données projet'!$B$10,Paramètres!$A$1:$I$89,3,0)*VLOOKUP('Données projet'!$B$10,Paramètres!$A$1:$I$89,5,0)</f>
        <v>309.13799999999981</v>
      </c>
      <c r="AK99" s="14">
        <f t="shared" si="89"/>
        <v>73.088781099784711</v>
      </c>
      <c r="AL99" s="22">
        <f t="shared" si="58"/>
        <v>665.71164374879129</v>
      </c>
      <c r="AM99" s="62">
        <f t="shared" si="59"/>
        <v>959.04497708212466</v>
      </c>
      <c r="AN99" s="62">
        <f ca="1">AVERAGE(OFFSET($AM$3,0,0,'Données projet'!$E$10+1,1))-AVERAGE(OFFSET($H$3,0,0,'Données projet'!$E$10+1,1))</f>
        <v>493.70175665335978</v>
      </c>
      <c r="AO99" s="62">
        <f t="shared" si="90"/>
        <v>325.12357781685949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2">
        <f t="shared" si="62"/>
        <v>293.3333333333353</v>
      </c>
      <c r="BI99" s="62">
        <f ca="1">AVERAGE(OFFSET($BH$3,0,0,'Données projet'!$E$11+1,1))-AVERAGE(OFFSET($H$3,0,0,'Données projet'!$E$11+1,1))</f>
        <v>260.02504691866199</v>
      </c>
      <c r="BJ99" s="62">
        <f t="shared" si="92"/>
        <v>270.11268336406368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2.7083447216188397</v>
      </c>
      <c r="BQ99" s="23">
        <f>EXP(-LN(2)/25)*BQ98+(1-EXP(-LN(2)/25))/(LN(2)/25)*Calculateur!BL99*Calculateur!BN99*VLOOKUP('Données projet'!$B$11,Paramètres!$A$1:$I$89,3,0)*0.475*44/12</f>
        <v>2.636804513652494</v>
      </c>
      <c r="BR99" s="23">
        <f>EXP(-LN(2)/2)*BR98+(1-EXP(-LN(2)/2))/(LN(2)/2)*BL99*BO99*VLOOKUP('Données projet'!$B$11,Paramètres!$A$1:$I$89,3,0)*0.475*44/12</f>
        <v>7.3806859388992234E-10</v>
      </c>
      <c r="BS99" s="24">
        <f t="shared" si="63"/>
        <v>5.3451492360094024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-2.8421709430404007E-13</v>
      </c>
      <c r="O100" s="14">
        <f>N100*VLOOKUP('Données projet'!$B$9,Paramètres!$A$1:$I$89,3,0)*VLOOKUP('Données projet'!$B$9,Paramètres!$A$1:$I$89,5,0)</f>
        <v>-1.69961822393816E-13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287.05726996114242</v>
      </c>
      <c r="T100" s="62">
        <f t="shared" si="88"/>
        <v>229.06617320689003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2.0566368267031994</v>
      </c>
      <c r="AB100" s="23">
        <f>EXP(-LN(2)/2)*AB99+(1-EXP(-LN(2)/2))/(LN(2)/2)*V100*Y100*VLOOKUP('Données projet'!$B$9,Paramètres!$A$1:$I$89,3,0)*0.475*44/12</f>
        <v>4.3322921557692733E-10</v>
      </c>
      <c r="AC100" s="24">
        <f t="shared" si="57"/>
        <v>2.0566368271364284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3.4615384615384586</v>
      </c>
      <c r="AI100" s="14">
        <f>IF('Données projet'!$A$62&gt;35,AI99+AH100-AQ99,IF(A100&lt;'Données projet'!$A$62,$AF$205^A100,IF(A100='Données projet'!$A$62,'Données projet'!$B$62,AI99+AH100-AQ99)))</f>
        <v>299.230769230769</v>
      </c>
      <c r="AJ100" s="14">
        <f>AI100*VLOOKUP('Données projet'!$B$10,Paramètres!$A$1:$I$89,3,0)*VLOOKUP('Données projet'!$B$10,Paramètres!$A$1:$I$89,5,0)</f>
        <v>312.7559999999998</v>
      </c>
      <c r="AK100" s="14">
        <f t="shared" si="89"/>
        <v>73.844095838560634</v>
      </c>
      <c r="AL100" s="22">
        <f t="shared" si="58"/>
        <v>673.32850025215942</v>
      </c>
      <c r="AM100" s="62">
        <f t="shared" si="59"/>
        <v>966.66183358549279</v>
      </c>
      <c r="AN100" s="62">
        <f ca="1">AVERAGE(OFFSET($AM$3,0,0,'Données projet'!$E$10+1,1))-AVERAGE(OFFSET($H$3,0,0,'Données projet'!$E$10+1,1))</f>
        <v>493.70175665335978</v>
      </c>
      <c r="AO100" s="62">
        <f t="shared" si="90"/>
        <v>325.12357781685949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2">
        <f t="shared" si="62"/>
        <v>293.3333333333353</v>
      </c>
      <c r="BI100" s="62">
        <f ca="1">AVERAGE(OFFSET($BH$3,0,0,'Données projet'!$E$11+1,1))-AVERAGE(OFFSET($H$3,0,0,'Données projet'!$E$11+1,1))</f>
        <v>260.02504691866199</v>
      </c>
      <c r="BJ100" s="62">
        <f t="shared" si="92"/>
        <v>270.11268336406368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2.65523573355506</v>
      </c>
      <c r="BQ100" s="23">
        <f>EXP(-LN(2)/25)*BQ99+(1-EXP(-LN(2)/25))/(LN(2)/25)*Calculateur!BL100*Calculateur!BN100*VLOOKUP('Données projet'!$B$11,Paramètres!$A$1:$I$89,3,0)*0.475*44/12</f>
        <v>2.5647009555631435</v>
      </c>
      <c r="BR100" s="23">
        <f>EXP(-LN(2)/2)*BR99+(1-EXP(-LN(2)/2))/(LN(2)/2)*BL100*BO100*VLOOKUP('Données projet'!$B$11,Paramètres!$A$1:$I$89,3,0)*0.475*44/12</f>
        <v>5.2189330772038412E-10</v>
      </c>
      <c r="BS100" s="24">
        <f t="shared" si="63"/>
        <v>5.2199366896400967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-2.8421709430404007E-13</v>
      </c>
      <c r="O101" s="14">
        <f>N101*VLOOKUP('Données projet'!$B$9,Paramètres!$A$1:$I$89,3,0)*VLOOKUP('Données projet'!$B$9,Paramètres!$A$1:$I$89,5,0)</f>
        <v>-1.69961822393816E-13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287.05726996114242</v>
      </c>
      <c r="T101" s="62">
        <f t="shared" si="88"/>
        <v>229.06617320689003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2.0003979845231701</v>
      </c>
      <c r="AB101" s="23">
        <f>EXP(-LN(2)/2)*AB100+(1-EXP(-LN(2)/2))/(LN(2)/2)*V101*Y101*VLOOKUP('Données projet'!$B$9,Paramètres!$A$1:$I$89,3,0)*0.475*44/12</f>
        <v>3.0633931614257398E-10</v>
      </c>
      <c r="AC101" s="24">
        <f t="shared" si="57"/>
        <v>2.0003979848295095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3.4615384615384586</v>
      </c>
      <c r="AI101" s="14">
        <f>IF('Données projet'!$A$62&gt;35,AI100+AH101-AQ100,IF(A101&lt;'Données projet'!$A$62,$AF$205^A101,IF(A101='Données projet'!$A$62,'Données projet'!$B$62,AI100+AH101-AQ100)))</f>
        <v>302.69230769230745</v>
      </c>
      <c r="AJ101" s="14">
        <f>AI101*VLOOKUP('Données projet'!$B$10,Paramètres!$A$1:$I$89,3,0)*VLOOKUP('Données projet'!$B$10,Paramètres!$A$1:$I$89,5,0)</f>
        <v>316.37399999999974</v>
      </c>
      <c r="AK101" s="14">
        <f t="shared" si="89"/>
        <v>74.598394184177479</v>
      </c>
      <c r="AL101" s="22">
        <f t="shared" si="58"/>
        <v>680.943586537442</v>
      </c>
      <c r="AM101" s="62">
        <f t="shared" si="59"/>
        <v>974.27691987077537</v>
      </c>
      <c r="AN101" s="62">
        <f ca="1">AVERAGE(OFFSET($AM$3,0,0,'Données projet'!$E$10+1,1))-AVERAGE(OFFSET($H$3,0,0,'Données projet'!$E$10+1,1))</f>
        <v>493.70175665335978</v>
      </c>
      <c r="AO101" s="62">
        <f t="shared" si="90"/>
        <v>325.12357781685949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2">
        <f t="shared" si="62"/>
        <v>293.3333333333353</v>
      </c>
      <c r="BI101" s="62">
        <f ca="1">AVERAGE(OFFSET($BH$3,0,0,'Données projet'!$E$11+1,1))-AVERAGE(OFFSET($H$3,0,0,'Données projet'!$E$11+1,1))</f>
        <v>260.02504691866199</v>
      </c>
      <c r="BJ101" s="62">
        <f t="shared" si="92"/>
        <v>270.11268336406368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2.6031681803539271</v>
      </c>
      <c r="BQ101" s="23">
        <f>EXP(-LN(2)/25)*BQ100+(1-EXP(-LN(2)/25))/(LN(2)/25)*Calculateur!BL101*Calculateur!BN101*VLOOKUP('Données projet'!$B$11,Paramètres!$A$1:$I$89,3,0)*0.475*44/12</f>
        <v>2.4945690730615078</v>
      </c>
      <c r="BR101" s="23">
        <f>EXP(-LN(2)/2)*BR100+(1-EXP(-LN(2)/2))/(LN(2)/2)*BL101*BO101*VLOOKUP('Données projet'!$B$11,Paramètres!$A$1:$I$89,3,0)*0.475*44/12</f>
        <v>3.6903429694496117E-10</v>
      </c>
      <c r="BS101" s="24">
        <f t="shared" si="63"/>
        <v>5.0977372537844694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-2.8421709430404007E-13</v>
      </c>
      <c r="O102" s="14">
        <f>N102*VLOOKUP('Données projet'!$B$9,Paramètres!$A$1:$I$89,3,0)*VLOOKUP('Données projet'!$B$9,Paramètres!$A$1:$I$89,5,0)</f>
        <v>-1.69961822393816E-13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287.05726996114242</v>
      </c>
      <c r="T102" s="62">
        <f t="shared" si="88"/>
        <v>229.06617320689003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1.9456969964400259</v>
      </c>
      <c r="AB102" s="23">
        <f>EXP(-LN(2)/2)*AB101+(1-EXP(-LN(2)/2))/(LN(2)/2)*V102*Y102*VLOOKUP('Données projet'!$B$9,Paramètres!$A$1:$I$89,3,0)*0.475*44/12</f>
        <v>2.1661460778846367E-10</v>
      </c>
      <c r="AC102" s="24">
        <f t="shared" si="57"/>
        <v>1.9456969966566404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3.4615384615384586</v>
      </c>
      <c r="AI102" s="14">
        <f>IF('Données projet'!$A$62&gt;35,AI101+AH102-AQ101,IF(A102&lt;'Données projet'!$A$62,$AF$205^A102,IF(A102='Données projet'!$A$62,'Données projet'!$B$62,AI101+AH102-AQ101)))</f>
        <v>306.1538461538459</v>
      </c>
      <c r="AJ102" s="14">
        <f>AI102*VLOOKUP('Données projet'!$B$10,Paramètres!$A$1:$I$89,3,0)*VLOOKUP('Données projet'!$B$10,Paramètres!$A$1:$I$89,5,0)</f>
        <v>319.99199999999979</v>
      </c>
      <c r="AK102" s="14">
        <f t="shared" si="89"/>
        <v>75.351689104824757</v>
      </c>
      <c r="AL102" s="22">
        <f t="shared" si="58"/>
        <v>688.55692519090269</v>
      </c>
      <c r="AM102" s="62">
        <f t="shared" si="59"/>
        <v>981.89025852423606</v>
      </c>
      <c r="AN102" s="62">
        <f ca="1">AVERAGE(OFFSET($AM$3,0,0,'Données projet'!$E$10+1,1))-AVERAGE(OFFSET($H$3,0,0,'Données projet'!$E$10+1,1))</f>
        <v>493.70175665335978</v>
      </c>
      <c r="AO102" s="62">
        <f t="shared" si="90"/>
        <v>325.12357781685949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2">
        <f t="shared" si="62"/>
        <v>293.3333333333353</v>
      </c>
      <c r="BI102" s="62">
        <f ca="1">AVERAGE(OFFSET($BH$3,0,0,'Données projet'!$E$11+1,1))-AVERAGE(OFFSET($H$3,0,0,'Données projet'!$E$11+1,1))</f>
        <v>260.02504691866199</v>
      </c>
      <c r="BJ102" s="62">
        <f t="shared" si="92"/>
        <v>270.11268336406368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2.5521216401129969</v>
      </c>
      <c r="BQ102" s="23">
        <f>EXP(-LN(2)/25)*BQ101+(1-EXP(-LN(2)/25))/(LN(2)/25)*Calculateur!BL102*Calculateur!BN102*VLOOKUP('Données projet'!$B$11,Paramètres!$A$1:$I$89,3,0)*0.475*44/12</f>
        <v>2.4263549505749546</v>
      </c>
      <c r="BR102" s="23">
        <f>EXP(-LN(2)/2)*BR101+(1-EXP(-LN(2)/2))/(LN(2)/2)*BL102*BO102*VLOOKUP('Données projet'!$B$11,Paramètres!$A$1:$I$89,3,0)*0.475*44/12</f>
        <v>2.6094665386019206E-10</v>
      </c>
      <c r="BS102" s="24">
        <f t="shared" si="63"/>
        <v>4.9784765909488984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-2.8421709430404007E-13</v>
      </c>
      <c r="O103" s="14">
        <f>N103*VLOOKUP('Données projet'!$B$9,Paramètres!$A$1:$I$89,3,0)*VLOOKUP('Données projet'!$B$9,Paramètres!$A$1:$I$89,5,0)</f>
        <v>-1.69961822393816E-13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287.05726996114242</v>
      </c>
      <c r="T103" s="62">
        <f t="shared" si="88"/>
        <v>229.06617320689003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1.8924918097526153</v>
      </c>
      <c r="AB103" s="23">
        <f>EXP(-LN(2)/2)*AB102+(1-EXP(-LN(2)/2))/(LN(2)/2)*V103*Y103*VLOOKUP('Données projet'!$B$9,Paramètres!$A$1:$I$89,3,0)*0.475*44/12</f>
        <v>1.5316965807128699E-10</v>
      </c>
      <c r="AC103" s="24">
        <f t="shared" si="57"/>
        <v>1.892491809905785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309.61538461538458</v>
      </c>
      <c r="AG103" s="13">
        <f>VLOOKUP(A103,'Données projet'!$A$61:$I$81,9,0)</f>
        <v>3.4615384615384586</v>
      </c>
      <c r="AH103" s="13">
        <f t="array" ref="AH103">INDEX(AG:AG,MIN(IF(ISNUMBER(AG103:AG299),ROW(AG103:AG299),"")))</f>
        <v>3.4615384615384586</v>
      </c>
      <c r="AI103" s="14">
        <f>IF('Données projet'!$A$62&gt;35,AI102+AH103-AQ102,IF(A103&lt;'Données projet'!$A$62,$AF$205^A103,IF(A103='Données projet'!$A$62,'Données projet'!$B$62,AI102+AH103-AQ102)))</f>
        <v>309.61538461538436</v>
      </c>
      <c r="AJ103" s="14">
        <f>AI103*VLOOKUP('Données projet'!$B$10,Paramètres!$A$1:$I$89,3,0)*VLOOKUP('Données projet'!$B$10,Paramètres!$A$1:$I$89,5,0)</f>
        <v>323.60999999999979</v>
      </c>
      <c r="AK103" s="14">
        <f t="shared" si="89"/>
        <v>76.103993258558603</v>
      </c>
      <c r="AL103" s="22">
        <f t="shared" si="58"/>
        <v>696.16853825865599</v>
      </c>
      <c r="AM103" s="62">
        <f t="shared" si="59"/>
        <v>989.50187159198936</v>
      </c>
      <c r="AN103" s="62">
        <f ca="1">AVERAGE(OFFSET($AM$3,0,0,'Données projet'!$E$10+1,1))-AVERAGE(OFFSET($H$3,0,0,'Données projet'!$E$10+1,1))</f>
        <v>493.70175665335978</v>
      </c>
      <c r="AO103" s="62">
        <f t="shared" si="90"/>
        <v>325.12357781685949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20.512820512820511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2">
        <f t="shared" si="62"/>
        <v>293.3333333333353</v>
      </c>
      <c r="BI103" s="62">
        <f ca="1">AVERAGE(OFFSET($BH$3,0,0,'Données projet'!$E$11+1,1))-AVERAGE(OFFSET($H$3,0,0,'Données projet'!$E$11+1,1))</f>
        <v>260.02504691866199</v>
      </c>
      <c r="BJ103" s="62">
        <f t="shared" si="92"/>
        <v>270.11268336406368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2.5020760913908759</v>
      </c>
      <c r="BQ103" s="23">
        <f>EXP(-LN(2)/25)*BQ102+(1-EXP(-LN(2)/25))/(LN(2)/25)*Calculateur!BL103*Calculateur!BN103*VLOOKUP('Données projet'!$B$11,Paramètres!$A$1:$I$89,3,0)*0.475*44/12</f>
        <v>2.3600061468550213</v>
      </c>
      <c r="BR103" s="23">
        <f>EXP(-LN(2)/2)*BR102+(1-EXP(-LN(2)/2))/(LN(2)/2)*BL103*BO103*VLOOKUP('Données projet'!$B$11,Paramètres!$A$1:$I$89,3,0)*0.475*44/12</f>
        <v>1.8451714847248058E-10</v>
      </c>
      <c r="BS103" s="24">
        <f t="shared" si="63"/>
        <v>4.8620822384304141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-2.8421709430404007E-13</v>
      </c>
      <c r="O104" s="14">
        <f>N104*VLOOKUP('Données projet'!$B$9,Paramètres!$A$1:$I$89,3,0)*VLOOKUP('Données projet'!$B$9,Paramètres!$A$1:$I$89,5,0)</f>
        <v>-1.69961822393816E-13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287.05726996114242</v>
      </c>
      <c r="T104" s="62">
        <f t="shared" si="88"/>
        <v>229.06617320689003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1.8407415216931111</v>
      </c>
      <c r="AB104" s="23">
        <f>EXP(-LN(2)/2)*AB103+(1-EXP(-LN(2)/2))/(LN(2)/2)*V104*Y104*VLOOKUP('Données projet'!$B$9,Paramètres!$A$1:$I$89,3,0)*0.475*44/12</f>
        <v>1.0830730389423183E-10</v>
      </c>
      <c r="AC104" s="24">
        <f t="shared" si="57"/>
        <v>1.8407415218014185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3.2051282051282044</v>
      </c>
      <c r="AI104" s="14">
        <f>IF('Données projet'!$A$62&gt;35,AI103+AH104-AQ103,IF(A104&lt;'Données projet'!$A$62,$AF$205^A104,IF(A104='Données projet'!$A$62,'Données projet'!$B$62,AI103+AH104-AQ103)))</f>
        <v>292.30769230769209</v>
      </c>
      <c r="AJ104" s="14">
        <f>AI104*VLOOKUP('Données projet'!$B$10,Paramètres!$A$1:$I$89,3,0)*VLOOKUP('Données projet'!$B$10,Paramètres!$A$1:$I$89,5,0)</f>
        <v>305.51999999999981</v>
      </c>
      <c r="AK104" s="14">
        <f t="shared" si="89"/>
        <v>72.332436678206648</v>
      </c>
      <c r="AL104" s="22">
        <f t="shared" si="58"/>
        <v>658.09299388120962</v>
      </c>
      <c r="AM104" s="62">
        <f t="shared" si="59"/>
        <v>951.42632721454288</v>
      </c>
      <c r="AN104" s="62">
        <f ca="1">AVERAGE(OFFSET($AM$3,0,0,'Données projet'!$E$10+1,1))-AVERAGE(OFFSET($H$3,0,0,'Données projet'!$E$10+1,1))</f>
        <v>493.70175665335978</v>
      </c>
      <c r="AO104" s="62">
        <f t="shared" si="90"/>
        <v>325.12357781685949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293.3333333333353</v>
      </c>
      <c r="BI104" s="62">
        <f ca="1">AVERAGE(OFFSET($BH$3,0,0,'Données projet'!$E$11+1,1))-AVERAGE(OFFSET($H$3,0,0,'Données projet'!$E$11+1,1))</f>
        <v>260.02504691866199</v>
      </c>
      <c r="BJ104" s="62">
        <f t="shared" si="92"/>
        <v>270.11268336406368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2.4530119053544253</v>
      </c>
      <c r="BQ104" s="23">
        <f>EXP(-LN(2)/25)*BQ103+(1-EXP(-LN(2)/25))/(LN(2)/25)*Calculateur!BL104*Calculateur!BN104*VLOOKUP('Données projet'!$B$11,Paramètres!$A$1:$I$89,3,0)*0.475*44/12</f>
        <v>2.2954716546619411</v>
      </c>
      <c r="BR104" s="23">
        <f>EXP(-LN(2)/2)*BR103+(1-EXP(-LN(2)/2))/(LN(2)/2)*BL104*BO104*VLOOKUP('Données projet'!$B$11,Paramètres!$A$1:$I$89,3,0)*0.475*44/12</f>
        <v>1.3047332693009603E-10</v>
      </c>
      <c r="BS104" s="24">
        <f t="shared" si="63"/>
        <v>4.7484835601468394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-2.8421709430404007E-13</v>
      </c>
      <c r="O105" s="14">
        <f>N105*VLOOKUP('Données projet'!$B$9,Paramètres!$A$1:$I$89,3,0)*VLOOKUP('Données projet'!$B$9,Paramètres!$A$1:$I$89,5,0)</f>
        <v>-1.69961822393816E-13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287.05726996114242</v>
      </c>
      <c r="T105" s="62">
        <f t="shared" si="88"/>
        <v>229.06617320689003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1.7904063479820234</v>
      </c>
      <c r="AB105" s="23">
        <f>EXP(-LN(2)/2)*AB104+(1-EXP(-LN(2)/2))/(LN(2)/2)*V105*Y105*VLOOKUP('Données projet'!$B$9,Paramètres!$A$1:$I$89,3,0)*0.475*44/12</f>
        <v>7.6584829035643495E-11</v>
      </c>
      <c r="AC105" s="24">
        <f t="shared" si="57"/>
        <v>1.7904063480586081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3.2051282051282044</v>
      </c>
      <c r="AI105" s="14">
        <f>IF('Données projet'!$A$62&gt;35,AI104+AH105-AQ104,IF(A105&lt;'Données projet'!$A$62,$AF$205^A105,IF(A105='Données projet'!$A$62,'Données projet'!$B$62,AI104+AH105-AQ104)))</f>
        <v>295.51282051282033</v>
      </c>
      <c r="AJ105" s="14">
        <f>AI105*VLOOKUP('Données projet'!$B$10,Paramètres!$A$1:$I$89,3,0)*VLOOKUP('Données projet'!$B$10,Paramètres!$A$1:$I$89,5,0)</f>
        <v>308.86999999999983</v>
      </c>
      <c r="AK105" s="14">
        <f t="shared" si="89"/>
        <v>73.032791063818379</v>
      </c>
      <c r="AL105" s="22">
        <f t="shared" si="58"/>
        <v>665.14736110281672</v>
      </c>
      <c r="AM105" s="62">
        <f t="shared" si="59"/>
        <v>958.48069443615009</v>
      </c>
      <c r="AN105" s="62">
        <f ca="1">AVERAGE(OFFSET($AM$3,0,0,'Données projet'!$E$10+1,1))-AVERAGE(OFFSET($H$3,0,0,'Données projet'!$E$10+1,1))</f>
        <v>493.70175665335978</v>
      </c>
      <c r="AO105" s="62">
        <f t="shared" si="90"/>
        <v>325.12357781685949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293.3333333333353</v>
      </c>
      <c r="BI105" s="62">
        <f ca="1">AVERAGE(OFFSET($BH$3,0,0,'Données projet'!$E$11+1,1))-AVERAGE(OFFSET($H$3,0,0,'Données projet'!$E$11+1,1))</f>
        <v>260.02504691866199</v>
      </c>
      <c r="BJ105" s="62">
        <f t="shared" si="92"/>
        <v>270.11268336406368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2.4049098380799507</v>
      </c>
      <c r="BQ105" s="23">
        <f>EXP(-LN(2)/25)*BQ104+(1-EXP(-LN(2)/25))/(LN(2)/25)*Calculateur!BL105*Calculateur!BN105*VLOOKUP('Données projet'!$B$11,Paramètres!$A$1:$I$89,3,0)*0.475*44/12</f>
        <v>2.2327018615516026</v>
      </c>
      <c r="BR105" s="23">
        <f>EXP(-LN(2)/2)*BR104+(1-EXP(-LN(2)/2))/(LN(2)/2)*BL105*BO105*VLOOKUP('Données projet'!$B$11,Paramètres!$A$1:$I$89,3,0)*0.475*44/12</f>
        <v>9.2258574236240292E-11</v>
      </c>
      <c r="BS105" s="24">
        <f t="shared" si="63"/>
        <v>4.6376116997238119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-2.8421709430404007E-13</v>
      </c>
      <c r="O106" s="14">
        <f>N106*VLOOKUP('Données projet'!$B$9,Paramètres!$A$1:$I$89,3,0)*VLOOKUP('Données projet'!$B$9,Paramètres!$A$1:$I$89,5,0)</f>
        <v>-1.69961822393816E-13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287.05726996114242</v>
      </c>
      <c r="T106" s="62">
        <f t="shared" si="88"/>
        <v>229.06617320689003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1.7414475922430772</v>
      </c>
      <c r="AB106" s="23">
        <f>EXP(-LN(2)/2)*AB105+(1-EXP(-LN(2)/2))/(LN(2)/2)*V106*Y106*VLOOKUP('Données projet'!$B$9,Paramètres!$A$1:$I$89,3,0)*0.475*44/12</f>
        <v>5.4153651947115917E-11</v>
      </c>
      <c r="AC106" s="24">
        <f t="shared" si="57"/>
        <v>1.7414475922972308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3.2051282051282044</v>
      </c>
      <c r="AI106" s="14">
        <f>IF('Données projet'!$A$62&gt;35,AI105+AH106-AQ105,IF(A106&lt;'Données projet'!$A$62,$AF$205^A106,IF(A106='Données projet'!$A$62,'Données projet'!$B$62,AI105+AH106-AQ105)))</f>
        <v>298.7179487179485</v>
      </c>
      <c r="AJ106" s="14">
        <f>AI106*VLOOKUP('Données projet'!$B$10,Paramètres!$A$1:$I$89,3,0)*VLOOKUP('Données projet'!$B$10,Paramètres!$A$1:$I$89,5,0)</f>
        <v>312.2199999999998</v>
      </c>
      <c r="AK106" s="14">
        <f t="shared" si="89"/>
        <v>73.732261810577455</v>
      </c>
      <c r="AL106" s="22">
        <f t="shared" si="58"/>
        <v>672.20018932008873</v>
      </c>
      <c r="AM106" s="62">
        <f t="shared" si="59"/>
        <v>965.5335226534221</v>
      </c>
      <c r="AN106" s="62">
        <f ca="1">AVERAGE(OFFSET($AM$3,0,0,'Données projet'!$E$10+1,1))-AVERAGE(OFFSET($H$3,0,0,'Données projet'!$E$10+1,1))</f>
        <v>493.70175665335978</v>
      </c>
      <c r="AO106" s="62">
        <f t="shared" si="90"/>
        <v>325.12357781685949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293.3333333333353</v>
      </c>
      <c r="BI106" s="62">
        <f ca="1">AVERAGE(OFFSET($BH$3,0,0,'Données projet'!$E$11+1,1))-AVERAGE(OFFSET($H$3,0,0,'Données projet'!$E$11+1,1))</f>
        <v>260.02504691866199</v>
      </c>
      <c r="BJ106" s="62">
        <f t="shared" si="92"/>
        <v>270.11268336406368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2.3577510230053647</v>
      </c>
      <c r="BQ106" s="23">
        <f>EXP(-LN(2)/25)*BQ105+(1-EXP(-LN(2)/25))/(LN(2)/25)*Calculateur!BL106*Calculateur!BN106*VLOOKUP('Données projet'!$B$11,Paramètres!$A$1:$I$89,3,0)*0.475*44/12</f>
        <v>2.1716485117347859</v>
      </c>
      <c r="BR106" s="23">
        <f>EXP(-LN(2)/2)*BR105+(1-EXP(-LN(2)/2))/(LN(2)/2)*BL106*BO106*VLOOKUP('Données projet'!$B$11,Paramètres!$A$1:$I$89,3,0)*0.475*44/12</f>
        <v>6.5236663465048015E-11</v>
      </c>
      <c r="BS106" s="24">
        <f t="shared" si="63"/>
        <v>4.5293995348053873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-2.8421709430404007E-13</v>
      </c>
      <c r="O107" s="14">
        <f>N107*VLOOKUP('Données projet'!$B$9,Paramètres!$A$1:$I$89,3,0)*VLOOKUP('Données projet'!$B$9,Paramètres!$A$1:$I$89,5,0)</f>
        <v>-1.69961822393816E-13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287.05726996114242</v>
      </c>
      <c r="T107" s="62">
        <f t="shared" si="88"/>
        <v>229.06617320689003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1.6938276162544414</v>
      </c>
      <c r="AB107" s="23">
        <f>EXP(-LN(2)/2)*AB106+(1-EXP(-LN(2)/2))/(LN(2)/2)*V107*Y107*VLOOKUP('Données projet'!$B$9,Paramètres!$A$1:$I$89,3,0)*0.475*44/12</f>
        <v>3.8292414517821747E-11</v>
      </c>
      <c r="AC107" s="24">
        <f t="shared" si="57"/>
        <v>1.6938276162927339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3.2051282051282044</v>
      </c>
      <c r="AI107" s="14">
        <f>IF('Données projet'!$A$62&gt;35,AI106+AH107-AQ106,IF(A107&lt;'Données projet'!$A$62,$AF$205^A107,IF(A107='Données projet'!$A$62,'Données projet'!$B$62,AI106+AH107-AQ106)))</f>
        <v>301.92307692307668</v>
      </c>
      <c r="AJ107" s="14">
        <f>AI107*VLOOKUP('Données projet'!$B$10,Paramètres!$A$1:$I$89,3,0)*VLOOKUP('Données projet'!$B$10,Paramètres!$A$1:$I$89,5,0)</f>
        <v>315.56999999999977</v>
      </c>
      <c r="AK107" s="14">
        <f t="shared" si="89"/>
        <v>74.430859496988774</v>
      </c>
      <c r="AL107" s="22">
        <f t="shared" si="58"/>
        <v>679.25149695725497</v>
      </c>
      <c r="AM107" s="62">
        <f t="shared" si="59"/>
        <v>972.58483029058834</v>
      </c>
      <c r="AN107" s="62">
        <f ca="1">AVERAGE(OFFSET($AM$3,0,0,'Données projet'!$E$10+1,1))-AVERAGE(OFFSET($H$3,0,0,'Données projet'!$E$10+1,1))</f>
        <v>493.70175665335978</v>
      </c>
      <c r="AO107" s="62">
        <f t="shared" si="90"/>
        <v>325.12357781685949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293.3333333333353</v>
      </c>
      <c r="BI107" s="62">
        <f ca="1">AVERAGE(OFFSET($BH$3,0,0,'Données projet'!$E$11+1,1))-AVERAGE(OFFSET($H$3,0,0,'Données projet'!$E$11+1,1))</f>
        <v>260.02504691866199</v>
      </c>
      <c r="BJ107" s="62">
        <f t="shared" si="92"/>
        <v>270.11268336406368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2.3115169635303543</v>
      </c>
      <c r="BQ107" s="23">
        <f>EXP(-LN(2)/25)*BQ106+(1-EXP(-LN(2)/25))/(LN(2)/25)*Calculateur!BL107*Calculateur!BN107*VLOOKUP('Données projet'!$B$11,Paramètres!$A$1:$I$89,3,0)*0.475*44/12</f>
        <v>2.1122646689793663</v>
      </c>
      <c r="BR107" s="23">
        <f>EXP(-LN(2)/2)*BR106+(1-EXP(-LN(2)/2))/(LN(2)/2)*BL107*BO107*VLOOKUP('Données projet'!$B$11,Paramètres!$A$1:$I$89,3,0)*0.475*44/12</f>
        <v>4.6129287118120146E-11</v>
      </c>
      <c r="BS107" s="24">
        <f t="shared" si="63"/>
        <v>4.4237816325558503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-2.8421709430404007E-13</v>
      </c>
      <c r="O108" s="14">
        <f>N108*VLOOKUP('Données projet'!$B$9,Paramètres!$A$1:$I$89,3,0)*VLOOKUP('Données projet'!$B$9,Paramètres!$A$1:$I$89,5,0)</f>
        <v>-1.69961822393816E-13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287.05726996114242</v>
      </c>
      <c r="T108" s="62">
        <f t="shared" si="88"/>
        <v>229.06617320689003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1.6475098110134407</v>
      </c>
      <c r="AB108" s="23">
        <f>EXP(-LN(2)/2)*AB107+(1-EXP(-LN(2)/2))/(LN(2)/2)*V108*Y108*VLOOKUP('Données projet'!$B$9,Paramètres!$A$1:$I$89,3,0)*0.475*44/12</f>
        <v>2.7076825973557958E-11</v>
      </c>
      <c r="AC108" s="24">
        <f t="shared" si="57"/>
        <v>1.6475098110405175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3.2051282051282044</v>
      </c>
      <c r="AI108" s="14">
        <f>IF('Données projet'!$A$62&gt;35,AI107+AH108-AQ107,IF(A108&lt;'Données projet'!$A$62,$AF$205^A108,IF(A108='Données projet'!$A$62,'Données projet'!$B$62,AI107+AH108-AQ107)))</f>
        <v>305.12820512820485</v>
      </c>
      <c r="AJ108" s="14">
        <f>AI108*VLOOKUP('Données projet'!$B$10,Paramètres!$A$1:$I$89,3,0)*VLOOKUP('Données projet'!$B$10,Paramètres!$A$1:$I$89,5,0)</f>
        <v>318.91999999999973</v>
      </c>
      <c r="AK108" s="14">
        <f t="shared" si="89"/>
        <v>75.128594464022456</v>
      </c>
      <c r="AL108" s="22">
        <f t="shared" si="58"/>
        <v>686.30130202483861</v>
      </c>
      <c r="AM108" s="62">
        <f t="shared" si="59"/>
        <v>979.63463535817186</v>
      </c>
      <c r="AN108" s="62">
        <f ca="1">AVERAGE(OFFSET($AM$3,0,0,'Données projet'!$E$10+1,1))-AVERAGE(OFFSET($H$3,0,0,'Données projet'!$E$10+1,1))</f>
        <v>493.70175665335978</v>
      </c>
      <c r="AO108" s="62">
        <f t="shared" si="90"/>
        <v>325.12357781685949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293.3333333333353</v>
      </c>
      <c r="BI108" s="62">
        <f ca="1">AVERAGE(OFFSET($BH$3,0,0,'Données projet'!$E$11+1,1))-AVERAGE(OFFSET($H$3,0,0,'Données projet'!$E$11+1,1))</f>
        <v>260.02504691866199</v>
      </c>
      <c r="BJ108" s="62">
        <f t="shared" si="92"/>
        <v>270.11268336406368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2.2661895257616571</v>
      </c>
      <c r="BQ108" s="23">
        <f>EXP(-LN(2)/25)*BQ107+(1-EXP(-LN(2)/25))/(LN(2)/25)*Calculateur!BL108*Calculateur!BN108*VLOOKUP('Données projet'!$B$11,Paramètres!$A$1:$I$89,3,0)*0.475*44/12</f>
        <v>2.054504680526954</v>
      </c>
      <c r="BR108" s="23">
        <f>EXP(-LN(2)/2)*BR107+(1-EXP(-LN(2)/2))/(LN(2)/2)*BL108*BO108*VLOOKUP('Données projet'!$B$11,Paramètres!$A$1:$I$89,3,0)*0.475*44/12</f>
        <v>3.2618331732524008E-11</v>
      </c>
      <c r="BS108" s="24">
        <f t="shared" si="63"/>
        <v>4.320694206321229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-2.8421709430404007E-13</v>
      </c>
      <c r="O109" s="14">
        <f>N109*VLOOKUP('Données projet'!$B$9,Paramètres!$A$1:$I$89,3,0)*VLOOKUP('Données projet'!$B$9,Paramètres!$A$1:$I$89,5,0)</f>
        <v>-1.69961822393816E-13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287.05726996114242</v>
      </c>
      <c r="T109" s="62">
        <f t="shared" si="88"/>
        <v>229.06617320689003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1.6024585685925026</v>
      </c>
      <c r="AB109" s="23">
        <f>EXP(-LN(2)/2)*AB108+(1-EXP(-LN(2)/2))/(LN(2)/2)*V109*Y109*VLOOKUP('Données projet'!$B$9,Paramètres!$A$1:$I$89,3,0)*0.475*44/12</f>
        <v>1.9146207258910874E-11</v>
      </c>
      <c r="AC109" s="24">
        <f t="shared" si="57"/>
        <v>1.6024585686116488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3.2051282051282044</v>
      </c>
      <c r="AI109" s="14">
        <f>IF('Données projet'!$A$62&gt;35,AI108+AH109-AQ108,IF(A109&lt;'Données projet'!$A$62,$AF$205^A109,IF(A109='Données projet'!$A$62,'Données projet'!$B$62,AI108+AH109-AQ108)))</f>
        <v>308.33333333333303</v>
      </c>
      <c r="AJ109" s="14">
        <f>AI109*VLOOKUP('Données projet'!$B$10,Paramètres!$A$1:$I$89,3,0)*VLOOKUP('Données projet'!$B$10,Paramètres!$A$1:$I$89,5,0)</f>
        <v>322.2699999999997</v>
      </c>
      <c r="AK109" s="14">
        <f t="shared" si="89"/>
        <v>75.825476822885705</v>
      </c>
      <c r="AL109" s="22">
        <f t="shared" si="58"/>
        <v>693.34962213319204</v>
      </c>
      <c r="AM109" s="62">
        <f t="shared" si="59"/>
        <v>986.6829554665253</v>
      </c>
      <c r="AN109" s="62">
        <f ca="1">AVERAGE(OFFSET($AM$3,0,0,'Données projet'!$E$10+1,1))-AVERAGE(OFFSET($H$3,0,0,'Données projet'!$E$10+1,1))</f>
        <v>493.70175665335978</v>
      </c>
      <c r="AO109" s="62">
        <f t="shared" si="90"/>
        <v>325.12357781685949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293.3333333333353</v>
      </c>
      <c r="BI109" s="62">
        <f ca="1">AVERAGE(OFFSET($BH$3,0,0,'Données projet'!$E$11+1,1))-AVERAGE(OFFSET($H$3,0,0,'Données projet'!$E$11+1,1))</f>
        <v>260.02504691866199</v>
      </c>
      <c r="BJ109" s="62">
        <f t="shared" si="92"/>
        <v>270.11268336406368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2.2217509314005968</v>
      </c>
      <c r="BQ109" s="23">
        <f>EXP(-LN(2)/25)*BQ108+(1-EXP(-LN(2)/25))/(LN(2)/25)*Calculateur!BL109*Calculateur!BN109*VLOOKUP('Données projet'!$B$11,Paramètres!$A$1:$I$89,3,0)*0.475*44/12</f>
        <v>1.998324141996239</v>
      </c>
      <c r="BR109" s="23">
        <f>EXP(-LN(2)/2)*BR108+(1-EXP(-LN(2)/2))/(LN(2)/2)*BL109*BO109*VLOOKUP('Données projet'!$B$11,Paramètres!$A$1:$I$89,3,0)*0.475*44/12</f>
        <v>2.3064643559060073E-11</v>
      </c>
      <c r="BS109" s="24">
        <f t="shared" si="63"/>
        <v>4.2200750734199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-2.8421709430404007E-13</v>
      </c>
      <c r="O110" s="14">
        <f>N110*VLOOKUP('Données projet'!$B$9,Paramètres!$A$1:$I$89,3,0)*VLOOKUP('Données projet'!$B$9,Paramètres!$A$1:$I$89,5,0)</f>
        <v>-1.69961822393816E-13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287.05726996114242</v>
      </c>
      <c r="T110" s="62">
        <f t="shared" si="88"/>
        <v>229.06617320689003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1.558639254764707</v>
      </c>
      <c r="AB110" s="23">
        <f>EXP(-LN(2)/2)*AB109+(1-EXP(-LN(2)/2))/(LN(2)/2)*V110*Y110*VLOOKUP('Données projet'!$B$9,Paramètres!$A$1:$I$89,3,0)*0.475*44/12</f>
        <v>1.3538412986778979E-11</v>
      </c>
      <c r="AC110" s="24">
        <f t="shared" si="57"/>
        <v>1.5586392547782455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3.2051282051282044</v>
      </c>
      <c r="AI110" s="14">
        <f>IF('Données projet'!$A$62&gt;35,AI109+AH110-AQ109,IF(A110&lt;'Données projet'!$A$62,$AF$205^A110,IF(A110='Données projet'!$A$62,'Données projet'!$B$62,AI109+AH110-AQ109)))</f>
        <v>311.53846153846121</v>
      </c>
      <c r="AJ110" s="14">
        <f>AI110*VLOOKUP('Données projet'!$B$10,Paramètres!$A$1:$I$89,3,0)*VLOOKUP('Données projet'!$B$10,Paramètres!$A$1:$I$89,5,0)</f>
        <v>325.61999999999972</v>
      </c>
      <c r="AK110" s="14">
        <f t="shared" si="89"/>
        <v>76.521516462461591</v>
      </c>
      <c r="AL110" s="22">
        <f t="shared" si="58"/>
        <v>700.39647450545351</v>
      </c>
      <c r="AM110" s="62">
        <f t="shared" si="59"/>
        <v>993.72980783878688</v>
      </c>
      <c r="AN110" s="62">
        <f ca="1">AVERAGE(OFFSET($AM$3,0,0,'Données projet'!$E$10+1,1))-AVERAGE(OFFSET($H$3,0,0,'Données projet'!$E$10+1,1))</f>
        <v>493.70175665335978</v>
      </c>
      <c r="AO110" s="62">
        <f t="shared" si="90"/>
        <v>325.12357781685949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293.3333333333353</v>
      </c>
      <c r="BI110" s="62">
        <f ca="1">AVERAGE(OFFSET($BH$3,0,0,'Données projet'!$E$11+1,1))-AVERAGE(OFFSET($H$3,0,0,'Données projet'!$E$11+1,1))</f>
        <v>260.02504691866199</v>
      </c>
      <c r="BJ110" s="62">
        <f t="shared" si="92"/>
        <v>270.11268336406368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2.1781837507700907</v>
      </c>
      <c r="BQ110" s="23">
        <f>EXP(-LN(2)/25)*BQ109+(1-EXP(-LN(2)/25))/(LN(2)/25)*Calculateur!BL110*Calculateur!BN110*VLOOKUP('Données projet'!$B$11,Paramètres!$A$1:$I$89,3,0)*0.475*44/12</f>
        <v>1.9436798632460524</v>
      </c>
      <c r="BR110" s="23">
        <f>EXP(-LN(2)/2)*BR109+(1-EXP(-LN(2)/2))/(LN(2)/2)*BL110*BO110*VLOOKUP('Données projet'!$B$11,Paramètres!$A$1:$I$89,3,0)*0.475*44/12</f>
        <v>1.6309165866262004E-11</v>
      </c>
      <c r="BS110" s="24">
        <f t="shared" si="63"/>
        <v>4.1218636140324518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-2.8421709430404007E-13</v>
      </c>
      <c r="O111" s="14">
        <f>N111*VLOOKUP('Données projet'!$B$9,Paramètres!$A$1:$I$89,3,0)*VLOOKUP('Données projet'!$B$9,Paramètres!$A$1:$I$89,5,0)</f>
        <v>-1.69961822393816E-13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287.05726996114242</v>
      </c>
      <c r="T111" s="62">
        <f t="shared" si="88"/>
        <v>229.06617320689003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1.51601818237789</v>
      </c>
      <c r="AB111" s="23">
        <f>EXP(-LN(2)/2)*AB110+(1-EXP(-LN(2)/2))/(LN(2)/2)*V111*Y111*VLOOKUP('Données projet'!$B$9,Paramètres!$A$1:$I$89,3,0)*0.475*44/12</f>
        <v>9.5731036294554369E-12</v>
      </c>
      <c r="AC111" s="24">
        <f t="shared" si="57"/>
        <v>1.516018182387463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3.2051282051282044</v>
      </c>
      <c r="AI111" s="14">
        <f>IF('Données projet'!$A$62&gt;35,AI110+AH111-AQ110,IF(A111&lt;'Données projet'!$A$62,$AF$205^A111,IF(A111='Données projet'!$A$62,'Données projet'!$B$62,AI110+AH111-AQ110)))</f>
        <v>314.74358974358938</v>
      </c>
      <c r="AJ111" s="14">
        <f>AI111*VLOOKUP('Données projet'!$B$10,Paramètres!$A$1:$I$89,3,0)*VLOOKUP('Données projet'!$B$10,Paramètres!$A$1:$I$89,5,0)</f>
        <v>328.96999999999969</v>
      </c>
      <c r="AK111" s="14">
        <f t="shared" si="89"/>
        <v>77.216723056433693</v>
      </c>
      <c r="AL111" s="22">
        <f t="shared" si="58"/>
        <v>707.44187598995484</v>
      </c>
      <c r="AM111" s="62">
        <f t="shared" si="59"/>
        <v>1000.7752093232882</v>
      </c>
      <c r="AN111" s="62">
        <f ca="1">AVERAGE(OFFSET($AM$3,0,0,'Données projet'!$E$10+1,1))-AVERAGE(OFFSET($H$3,0,0,'Données projet'!$E$10+1,1))</f>
        <v>493.70175665335978</v>
      </c>
      <c r="AO111" s="62">
        <f t="shared" si="90"/>
        <v>325.12357781685949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293.3333333333353</v>
      </c>
      <c r="BI111" s="62">
        <f ca="1">AVERAGE(OFFSET($BH$3,0,0,'Données projet'!$E$11+1,1))-AVERAGE(OFFSET($H$3,0,0,'Données projet'!$E$11+1,1))</f>
        <v>260.02504691866199</v>
      </c>
      <c r="BJ111" s="62">
        <f t="shared" si="92"/>
        <v>270.11268336406368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2.1354708959783926</v>
      </c>
      <c r="BQ111" s="23">
        <f>EXP(-LN(2)/25)*BQ110+(1-EXP(-LN(2)/25))/(LN(2)/25)*Calculateur!BL111*Calculateur!BN111*VLOOKUP('Données projet'!$B$11,Paramètres!$A$1:$I$89,3,0)*0.475*44/12</f>
        <v>1.8905298351719073</v>
      </c>
      <c r="BR111" s="23">
        <f>EXP(-LN(2)/2)*BR110+(1-EXP(-LN(2)/2))/(LN(2)/2)*BL111*BO111*VLOOKUP('Données projet'!$B$11,Paramètres!$A$1:$I$89,3,0)*0.475*44/12</f>
        <v>1.1532321779530037E-11</v>
      </c>
      <c r="BS111" s="24">
        <f t="shared" si="63"/>
        <v>4.0260007311618322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-2.8421709430404007E-13</v>
      </c>
      <c r="O112" s="14">
        <f>N112*VLOOKUP('Données projet'!$B$9,Paramètres!$A$1:$I$89,3,0)*VLOOKUP('Données projet'!$B$9,Paramètres!$A$1:$I$89,5,0)</f>
        <v>-1.69961822393816E-13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287.05726996114242</v>
      </c>
      <c r="T112" s="62">
        <f t="shared" si="88"/>
        <v>229.06617320689003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1.4745625854568354</v>
      </c>
      <c r="AB112" s="23">
        <f>EXP(-LN(2)/2)*AB111+(1-EXP(-LN(2)/2))/(LN(2)/2)*V112*Y112*VLOOKUP('Données projet'!$B$9,Paramètres!$A$1:$I$89,3,0)*0.475*44/12</f>
        <v>6.7692064933894896E-12</v>
      </c>
      <c r="AC112" s="24">
        <f t="shared" si="57"/>
        <v>1.4745625854636046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3.2051282051282044</v>
      </c>
      <c r="AI112" s="14">
        <f>IF('Données projet'!$A$62&gt;35,AI111+AH112-AQ111,IF(A112&lt;'Données projet'!$A$62,$AF$205^A112,IF(A112='Données projet'!$A$62,'Données projet'!$B$62,AI111+AH112-AQ111)))</f>
        <v>317.94871794871756</v>
      </c>
      <c r="AJ112" s="14">
        <f>AI112*VLOOKUP('Données projet'!$B$10,Paramètres!$A$1:$I$89,3,0)*VLOOKUP('Données projet'!$B$10,Paramètres!$A$1:$I$89,5,0)</f>
        <v>332.3199999999996</v>
      </c>
      <c r="AK112" s="14">
        <f t="shared" si="89"/>
        <v>77.911106070111614</v>
      </c>
      <c r="AL112" s="22">
        <f t="shared" si="58"/>
        <v>714.48584307211024</v>
      </c>
      <c r="AM112" s="62">
        <f t="shared" si="59"/>
        <v>1007.8191764054436</v>
      </c>
      <c r="AN112" s="62">
        <f ca="1">AVERAGE(OFFSET($AM$3,0,0,'Données projet'!$E$10+1,1))-AVERAGE(OFFSET($H$3,0,0,'Données projet'!$E$10+1,1))</f>
        <v>493.70175665335978</v>
      </c>
      <c r="AO112" s="62">
        <f t="shared" si="90"/>
        <v>325.12357781685949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293.3333333333353</v>
      </c>
      <c r="BI112" s="62">
        <f ca="1">AVERAGE(OFFSET($BH$3,0,0,'Données projet'!$E$11+1,1))-AVERAGE(OFFSET($H$3,0,0,'Données projet'!$E$11+1,1))</f>
        <v>260.02504691866199</v>
      </c>
      <c r="BJ112" s="62">
        <f t="shared" si="92"/>
        <v>270.11268336406368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2.0935956142168908</v>
      </c>
      <c r="BQ112" s="23">
        <f>EXP(-LN(2)/25)*BQ111+(1-EXP(-LN(2)/25))/(LN(2)/25)*Calculateur!BL112*Calculateur!BN112*VLOOKUP('Données projet'!$B$11,Paramètres!$A$1:$I$89,3,0)*0.475*44/12</f>
        <v>1.8388331974104883</v>
      </c>
      <c r="BR112" s="23">
        <f>EXP(-LN(2)/2)*BR111+(1-EXP(-LN(2)/2))/(LN(2)/2)*BL112*BO112*VLOOKUP('Données projet'!$B$11,Paramètres!$A$1:$I$89,3,0)*0.475*44/12</f>
        <v>8.1545829331310019E-12</v>
      </c>
      <c r="BS112" s="24">
        <f t="shared" si="63"/>
        <v>3.9324288116355337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-2.8421709430404007E-13</v>
      </c>
      <c r="O113" s="14">
        <f>N113*VLOOKUP('Données projet'!$B$9,Paramètres!$A$1:$I$89,3,0)*VLOOKUP('Données projet'!$B$9,Paramètres!$A$1:$I$89,5,0)</f>
        <v>-1.69961822393816E-13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287.05726996114242</v>
      </c>
      <c r="T113" s="62">
        <f t="shared" si="88"/>
        <v>229.06617320689003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1.434240594013642</v>
      </c>
      <c r="AB113" s="23">
        <f>EXP(-LN(2)/2)*AB112+(1-EXP(-LN(2)/2))/(LN(2)/2)*V113*Y113*VLOOKUP('Données projet'!$B$9,Paramètres!$A$1:$I$89,3,0)*0.475*44/12</f>
        <v>4.7865518147277184E-12</v>
      </c>
      <c r="AC113" s="24">
        <f t="shared" si="57"/>
        <v>1.4342405940184286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321.15384615384613</v>
      </c>
      <c r="AG113" s="13">
        <f>VLOOKUP(A113,'Données projet'!$A$61:$I$81,9,0)</f>
        <v>3.2051282051282044</v>
      </c>
      <c r="AH113" s="13">
        <f t="array" ref="AH113">INDEX(AG:AG,MIN(IF(ISNUMBER(AG113:AG309),ROW(AG113:AG309),"")))</f>
        <v>3.2051282051282044</v>
      </c>
      <c r="AI113" s="14">
        <f>IF('Données projet'!$A$62&gt;35,AI112+AH113-AQ112,IF(A113&lt;'Données projet'!$A$62,$AF$205^A113,IF(A113='Données projet'!$A$62,'Données projet'!$B$62,AI112+AH113-AQ112)))</f>
        <v>321.15384615384573</v>
      </c>
      <c r="AJ113" s="14">
        <f>AI113*VLOOKUP('Données projet'!$B$10,Paramètres!$A$1:$I$89,3,0)*VLOOKUP('Données projet'!$B$10,Paramètres!$A$1:$I$89,5,0)</f>
        <v>335.66999999999956</v>
      </c>
      <c r="AK113" s="14">
        <f t="shared" si="89"/>
        <v>78.604674766974242</v>
      </c>
      <c r="AL113" s="22">
        <f t="shared" si="58"/>
        <v>721.52839188581265</v>
      </c>
      <c r="AM113" s="62">
        <f t="shared" si="59"/>
        <v>1014.8617252191459</v>
      </c>
      <c r="AN113" s="62">
        <f ca="1">AVERAGE(OFFSET($AM$3,0,0,'Données projet'!$E$10+1,1))-AVERAGE(OFFSET($H$3,0,0,'Données projet'!$E$10+1,1))</f>
        <v>493.70175665335978</v>
      </c>
      <c r="AO113" s="62">
        <f t="shared" si="90"/>
        <v>325.12357781685949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19.23076923076923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293.3333333333353</v>
      </c>
      <c r="BI113" s="62">
        <f ca="1">AVERAGE(OFFSET($BH$3,0,0,'Données projet'!$E$11+1,1))-AVERAGE(OFFSET($H$3,0,0,'Données projet'!$E$11+1,1))</f>
        <v>260.02504691866199</v>
      </c>
      <c r="BJ113" s="62">
        <f t="shared" si="92"/>
        <v>270.11268336406368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2.0525414811893321</v>
      </c>
      <c r="BQ113" s="23">
        <f>EXP(-LN(2)/25)*BQ112+(1-EXP(-LN(2)/25))/(LN(2)/25)*Calculateur!BL113*Calculateur!BN113*VLOOKUP('Données projet'!$B$11,Paramètres!$A$1:$I$89,3,0)*0.475*44/12</f>
        <v>1.7885502069272634</v>
      </c>
      <c r="BR113" s="23">
        <f>EXP(-LN(2)/2)*BR112+(1-EXP(-LN(2)/2))/(LN(2)/2)*BL113*BO113*VLOOKUP('Données projet'!$B$11,Paramètres!$A$1:$I$89,3,0)*0.475*44/12</f>
        <v>5.7661608897650183E-12</v>
      </c>
      <c r="BS113" s="24">
        <f t="shared" si="63"/>
        <v>3.8410916881223613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-2.8421709430404007E-13</v>
      </c>
      <c r="O114" s="14">
        <f>N114*VLOOKUP('Données projet'!$B$9,Paramètres!$A$1:$I$89,3,0)*VLOOKUP('Données projet'!$B$9,Paramètres!$A$1:$I$89,5,0)</f>
        <v>-1.69961822393816E-13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287.05726996114242</v>
      </c>
      <c r="T114" s="62">
        <f t="shared" si="88"/>
        <v>229.06617320689003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1.3950212095469041</v>
      </c>
      <c r="AB114" s="23">
        <f>EXP(-LN(2)/2)*AB113+(1-EXP(-LN(2)/2))/(LN(2)/2)*V114*Y114*VLOOKUP('Données projet'!$B$9,Paramètres!$A$1:$I$89,3,0)*0.475*44/12</f>
        <v>3.3846032466947448E-12</v>
      </c>
      <c r="AC114" s="24">
        <f t="shared" si="57"/>
        <v>1.3950212095502887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2.8846153846153868</v>
      </c>
      <c r="AI114" s="14">
        <f>IF('Données projet'!$A$62&gt;35,AI113+AH114-AQ113,IF(A114&lt;'Données projet'!$A$62,$AF$205^A114,IF(A114='Données projet'!$A$62,'Données projet'!$B$62,AI113+AH114-AQ113)))</f>
        <v>304.80769230769187</v>
      </c>
      <c r="AJ114" s="14">
        <f>AI114*VLOOKUP('Données projet'!$B$10,Paramètres!$A$1:$I$89,3,0)*VLOOKUP('Données projet'!$B$10,Paramètres!$A$1:$I$89,5,0)</f>
        <v>318.58499999999958</v>
      </c>
      <c r="AK114" s="14">
        <f t="shared" si="89"/>
        <v>75.058859499755215</v>
      </c>
      <c r="AL114" s="22">
        <f t="shared" si="58"/>
        <v>685.59638862873953</v>
      </c>
      <c r="AM114" s="62">
        <f t="shared" si="59"/>
        <v>978.92972196207279</v>
      </c>
      <c r="AN114" s="62">
        <f ca="1">AVERAGE(OFFSET($AM$3,0,0,'Données projet'!$E$10+1,1))-AVERAGE(OFFSET($H$3,0,0,'Données projet'!$E$10+1,1))</f>
        <v>493.70175665335978</v>
      </c>
      <c r="AO114" s="62">
        <f t="shared" si="90"/>
        <v>325.12357781685949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293.3333333333353</v>
      </c>
      <c r="BI114" s="62">
        <f ca="1">AVERAGE(OFFSET($BH$3,0,0,'Données projet'!$E$11+1,1))-AVERAGE(OFFSET($H$3,0,0,'Données projet'!$E$11+1,1))</f>
        <v>260.02504691866199</v>
      </c>
      <c r="BJ114" s="62">
        <f t="shared" si="92"/>
        <v>270.11268336406368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2.0122923946698954</v>
      </c>
      <c r="BQ114" s="23">
        <f>EXP(-LN(2)/25)*BQ113+(1-EXP(-LN(2)/25))/(LN(2)/25)*Calculateur!BL114*Calculateur!BN114*VLOOKUP('Données projet'!$B$11,Paramètres!$A$1:$I$89,3,0)*0.475*44/12</f>
        <v>1.7396422074630697</v>
      </c>
      <c r="BR114" s="23">
        <f>EXP(-LN(2)/2)*BR113+(1-EXP(-LN(2)/2))/(LN(2)/2)*BL114*BO114*VLOOKUP('Données projet'!$B$11,Paramètres!$A$1:$I$89,3,0)*0.475*44/12</f>
        <v>4.0772914665655009E-12</v>
      </c>
      <c r="BS114" s="24">
        <f t="shared" si="63"/>
        <v>3.7519346021370423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-2.8421709430404007E-13</v>
      </c>
      <c r="O115" s="14">
        <f>N115*VLOOKUP('Données projet'!$B$9,Paramètres!$A$1:$I$89,3,0)*VLOOKUP('Données projet'!$B$9,Paramètres!$A$1:$I$89,5,0)</f>
        <v>-1.69961822393816E-13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287.05726996114242</v>
      </c>
      <c r="T115" s="62">
        <f t="shared" si="88"/>
        <v>229.06617320689003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1.356874281210867</v>
      </c>
      <c r="AB115" s="23">
        <f>EXP(-LN(2)/2)*AB114+(1-EXP(-LN(2)/2))/(LN(2)/2)*V115*Y115*VLOOKUP('Données projet'!$B$9,Paramètres!$A$1:$I$89,3,0)*0.475*44/12</f>
        <v>2.3932759073638592E-12</v>
      </c>
      <c r="AC115" s="24">
        <f t="shared" si="57"/>
        <v>1.3568742812132601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2.8846153846153868</v>
      </c>
      <c r="AI115" s="14">
        <f>IF('Données projet'!$A$62&gt;35,AI114+AH115-AQ114,IF(A115&lt;'Données projet'!$A$62,$AF$205^A115,IF(A115='Données projet'!$A$62,'Données projet'!$B$62,AI114+AH115-AQ114)))</f>
        <v>307.69230769230728</v>
      </c>
      <c r="AJ115" s="14">
        <f>AI115*VLOOKUP('Données projet'!$B$10,Paramètres!$A$1:$I$89,3,0)*VLOOKUP('Données projet'!$B$10,Paramètres!$A$1:$I$89,5,0)</f>
        <v>321.59999999999962</v>
      </c>
      <c r="AK115" s="14">
        <f t="shared" si="89"/>
        <v>75.686168081957248</v>
      </c>
      <c r="AL115" s="22">
        <f t="shared" si="58"/>
        <v>691.94007607607489</v>
      </c>
      <c r="AM115" s="62">
        <f t="shared" si="59"/>
        <v>985.27340940940826</v>
      </c>
      <c r="AN115" s="62">
        <f ca="1">AVERAGE(OFFSET($AM$3,0,0,'Données projet'!$E$10+1,1))-AVERAGE(OFFSET($H$3,0,0,'Données projet'!$E$10+1,1))</f>
        <v>493.70175665335978</v>
      </c>
      <c r="AO115" s="62">
        <f t="shared" si="90"/>
        <v>325.12357781685949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293.3333333333353</v>
      </c>
      <c r="BI115" s="62">
        <f ca="1">AVERAGE(OFFSET($BH$3,0,0,'Données projet'!$E$11+1,1))-AVERAGE(OFFSET($H$3,0,0,'Données projet'!$E$11+1,1))</f>
        <v>260.02504691866199</v>
      </c>
      <c r="BJ115" s="62">
        <f t="shared" si="92"/>
        <v>270.11268336406368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1.972832568187586</v>
      </c>
      <c r="BQ115" s="23">
        <f>EXP(-LN(2)/25)*BQ114+(1-EXP(-LN(2)/25))/(LN(2)/25)*Calculateur!BL115*Calculateur!BN115*VLOOKUP('Données projet'!$B$11,Paramètres!$A$1:$I$89,3,0)*0.475*44/12</f>
        <v>1.6920715998161844</v>
      </c>
      <c r="BR115" s="23">
        <f>EXP(-LN(2)/2)*BR114+(1-EXP(-LN(2)/2))/(LN(2)/2)*BL115*BO115*VLOOKUP('Données projet'!$B$11,Paramètres!$A$1:$I$89,3,0)*0.475*44/12</f>
        <v>2.8830804448825091E-12</v>
      </c>
      <c r="BS115" s="24">
        <f t="shared" si="63"/>
        <v>3.6649041680066534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-2.8421709430404007E-13</v>
      </c>
      <c r="O116" s="14">
        <f>N116*VLOOKUP('Données projet'!$B$9,Paramètres!$A$1:$I$89,3,0)*VLOOKUP('Données projet'!$B$9,Paramètres!$A$1:$I$89,5,0)</f>
        <v>-1.69961822393816E-13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287.05726996114242</v>
      </c>
      <c r="T116" s="62">
        <f t="shared" si="88"/>
        <v>229.06617320689003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1.3197704826362384</v>
      </c>
      <c r="AB116" s="23">
        <f>EXP(-LN(2)/2)*AB115+(1-EXP(-LN(2)/2))/(LN(2)/2)*V116*Y116*VLOOKUP('Données projet'!$B$9,Paramètres!$A$1:$I$89,3,0)*0.475*44/12</f>
        <v>1.6923016233473724E-12</v>
      </c>
      <c r="AC116" s="24">
        <f t="shared" si="57"/>
        <v>1.3197704826379306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2.8846153846153868</v>
      </c>
      <c r="AI116" s="14">
        <f>IF('Données projet'!$A$62&gt;35,AI115+AH116-AQ115,IF(A116&lt;'Données projet'!$A$62,$AF$205^A116,IF(A116='Données projet'!$A$62,'Données projet'!$B$62,AI115+AH116-AQ115)))</f>
        <v>310.57692307692264</v>
      </c>
      <c r="AJ116" s="14">
        <f>AI116*VLOOKUP('Données projet'!$B$10,Paramètres!$A$1:$I$89,3,0)*VLOOKUP('Données projet'!$B$10,Paramètres!$A$1:$I$89,5,0)</f>
        <v>324.61499999999955</v>
      </c>
      <c r="AK116" s="14">
        <f t="shared" si="89"/>
        <v>76.312792476440805</v>
      </c>
      <c r="AL116" s="22">
        <f t="shared" si="58"/>
        <v>698.28257189646683</v>
      </c>
      <c r="AM116" s="62">
        <f t="shared" si="59"/>
        <v>991.61590522980009</v>
      </c>
      <c r="AN116" s="62">
        <f ca="1">AVERAGE(OFFSET($AM$3,0,0,'Données projet'!$E$10+1,1))-AVERAGE(OFFSET($H$3,0,0,'Données projet'!$E$10+1,1))</f>
        <v>493.70175665335978</v>
      </c>
      <c r="AO116" s="62">
        <f t="shared" si="90"/>
        <v>325.12357781685949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293.3333333333353</v>
      </c>
      <c r="BI116" s="62">
        <f ca="1">AVERAGE(OFFSET($BH$3,0,0,'Données projet'!$E$11+1,1))-AVERAGE(OFFSET($H$3,0,0,'Données projet'!$E$11+1,1))</f>
        <v>260.02504691866199</v>
      </c>
      <c r="BJ116" s="62">
        <f t="shared" si="92"/>
        <v>270.11268336406368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1.9341465248344771</v>
      </c>
      <c r="BQ116" s="23">
        <f>EXP(-LN(2)/25)*BQ115+(1-EXP(-LN(2)/25))/(LN(2)/25)*Calculateur!BL116*Calculateur!BN116*VLOOKUP('Données projet'!$B$11,Paramètres!$A$1:$I$89,3,0)*0.475*44/12</f>
        <v>1.6458018129370326</v>
      </c>
      <c r="BR116" s="23">
        <f>EXP(-LN(2)/2)*BR115+(1-EXP(-LN(2)/2))/(LN(2)/2)*BL116*BO116*VLOOKUP('Données projet'!$B$11,Paramètres!$A$1:$I$89,3,0)*0.475*44/12</f>
        <v>2.0386457332827505E-12</v>
      </c>
      <c r="BS116" s="24">
        <f t="shared" si="63"/>
        <v>3.5799483377735486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-2.8421709430404007E-13</v>
      </c>
      <c r="O117" s="14">
        <f>N117*VLOOKUP('Données projet'!$B$9,Paramètres!$A$1:$I$89,3,0)*VLOOKUP('Données projet'!$B$9,Paramètres!$A$1:$I$89,5,0)</f>
        <v>-1.69961822393816E-13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287.05726996114242</v>
      </c>
      <c r="T117" s="62">
        <f t="shared" si="88"/>
        <v>229.06617320689003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1.2836812893848373</v>
      </c>
      <c r="AB117" s="23">
        <f>EXP(-LN(2)/2)*AB116+(1-EXP(-LN(2)/2))/(LN(2)/2)*V117*Y117*VLOOKUP('Données projet'!$B$9,Paramètres!$A$1:$I$89,3,0)*0.475*44/12</f>
        <v>1.1966379536819296E-12</v>
      </c>
      <c r="AC117" s="24">
        <f t="shared" si="57"/>
        <v>1.2836812893860339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2.8846153846153868</v>
      </c>
      <c r="AI117" s="14">
        <f>IF('Données projet'!$A$62&gt;35,AI116+AH117-AQ116,IF(A117&lt;'Données projet'!$A$62,$AF$205^A117,IF(A117='Données projet'!$A$62,'Données projet'!$B$62,AI116+AH117-AQ116)))</f>
        <v>313.461538461538</v>
      </c>
      <c r="AJ117" s="14">
        <f>AI117*VLOOKUP('Données projet'!$B$10,Paramètres!$A$1:$I$89,3,0)*VLOOKUP('Données projet'!$B$10,Paramètres!$A$1:$I$89,5,0)</f>
        <v>327.62999999999954</v>
      </c>
      <c r="AK117" s="14">
        <f t="shared" si="89"/>
        <v>76.938739773947404</v>
      </c>
      <c r="AL117" s="22">
        <f t="shared" si="58"/>
        <v>704.62388843962435</v>
      </c>
      <c r="AM117" s="62">
        <f t="shared" si="59"/>
        <v>997.95722177295761</v>
      </c>
      <c r="AN117" s="62">
        <f ca="1">AVERAGE(OFFSET($AM$3,0,0,'Données projet'!$E$10+1,1))-AVERAGE(OFFSET($H$3,0,0,'Données projet'!$E$10+1,1))</f>
        <v>493.70175665335978</v>
      </c>
      <c r="AO117" s="62">
        <f t="shared" si="90"/>
        <v>325.12357781685949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293.3333333333353</v>
      </c>
      <c r="BI117" s="62">
        <f ca="1">AVERAGE(OFFSET($BH$3,0,0,'Données projet'!$E$11+1,1))-AVERAGE(OFFSET($H$3,0,0,'Données projet'!$E$11+1,1))</f>
        <v>260.02504691866199</v>
      </c>
      <c r="BJ117" s="62">
        <f t="shared" si="92"/>
        <v>270.11268336406368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1.8962190911953662</v>
      </c>
      <c r="BQ117" s="23">
        <f>EXP(-LN(2)/25)*BQ116+(1-EXP(-LN(2)/25))/(LN(2)/25)*Calculateur!BL117*Calculateur!BN117*VLOOKUP('Données projet'!$B$11,Paramètres!$A$1:$I$89,3,0)*0.475*44/12</f>
        <v>1.6007972758133138</v>
      </c>
      <c r="BR117" s="23">
        <f>EXP(-LN(2)/2)*BR116+(1-EXP(-LN(2)/2))/(LN(2)/2)*BL117*BO117*VLOOKUP('Données projet'!$B$11,Paramètres!$A$1:$I$89,3,0)*0.475*44/12</f>
        <v>1.4415402224412546E-12</v>
      </c>
      <c r="BS117" s="24">
        <f t="shared" si="63"/>
        <v>3.4970163670101213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-2.8421709430404007E-13</v>
      </c>
      <c r="O118" s="14">
        <f>N118*VLOOKUP('Données projet'!$B$9,Paramètres!$A$1:$I$89,3,0)*VLOOKUP('Données projet'!$B$9,Paramètres!$A$1:$I$89,5,0)</f>
        <v>-1.69961822393816E-13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287.05726996114242</v>
      </c>
      <c r="T118" s="62">
        <f t="shared" si="88"/>
        <v>229.06617320689003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1.2485789570207437</v>
      </c>
      <c r="AB118" s="23">
        <f>EXP(-LN(2)/2)*AB117+(1-EXP(-LN(2)/2))/(LN(2)/2)*V118*Y118*VLOOKUP('Données projet'!$B$9,Paramètres!$A$1:$I$89,3,0)*0.475*44/12</f>
        <v>8.461508116736862E-13</v>
      </c>
      <c r="AC118" s="24">
        <f t="shared" si="57"/>
        <v>1.2485789570215899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2.8846153846153868</v>
      </c>
      <c r="AI118" s="14">
        <f>IF('Données projet'!$A$62&gt;35,AI117+AH118-AQ117,IF(A118&lt;'Données projet'!$A$62,$AF$205^A118,IF(A118='Données projet'!$A$62,'Données projet'!$B$62,AI117+AH118-AQ117)))</f>
        <v>316.34615384615336</v>
      </c>
      <c r="AJ118" s="14">
        <f>AI118*VLOOKUP('Données projet'!$B$10,Paramètres!$A$1:$I$89,3,0)*VLOOKUP('Données projet'!$B$10,Paramètres!$A$1:$I$89,5,0)</f>
        <v>330.64499999999953</v>
      </c>
      <c r="AK118" s="14">
        <f t="shared" si="89"/>
        <v>77.564016927186358</v>
      </c>
      <c r="AL118" s="22">
        <f t="shared" si="58"/>
        <v>710.96403781484867</v>
      </c>
      <c r="AM118" s="62">
        <f t="shared" si="59"/>
        <v>1004.297371148182</v>
      </c>
      <c r="AN118" s="62">
        <f ca="1">AVERAGE(OFFSET($AM$3,0,0,'Données projet'!$E$10+1,1))-AVERAGE(OFFSET($H$3,0,0,'Données projet'!$E$10+1,1))</f>
        <v>493.70175665335978</v>
      </c>
      <c r="AO118" s="62">
        <f t="shared" si="90"/>
        <v>325.12357781685949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293.3333333333353</v>
      </c>
      <c r="BI118" s="62">
        <f ca="1">AVERAGE(OFFSET($BH$3,0,0,'Données projet'!$E$11+1,1))-AVERAGE(OFFSET($H$3,0,0,'Données projet'!$E$11+1,1))</f>
        <v>260.02504691866199</v>
      </c>
      <c r="BJ118" s="62">
        <f t="shared" si="92"/>
        <v>270.11268336406368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1.8590353913964681</v>
      </c>
      <c r="BQ118" s="23">
        <f>EXP(-LN(2)/25)*BQ117+(1-EXP(-LN(2)/25))/(LN(2)/25)*Calculateur!BL118*Calculateur!BN118*VLOOKUP('Données projet'!$B$11,Paramètres!$A$1:$I$89,3,0)*0.475*44/12</f>
        <v>1.5570233901239285</v>
      </c>
      <c r="BR118" s="23">
        <f>EXP(-LN(2)/2)*BR117+(1-EXP(-LN(2)/2))/(LN(2)/2)*BL118*BO118*VLOOKUP('Données projet'!$B$11,Paramètres!$A$1:$I$89,3,0)*0.475*44/12</f>
        <v>1.0193228666413752E-12</v>
      </c>
      <c r="BS118" s="24">
        <f t="shared" si="63"/>
        <v>3.4160587815214156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-2.8421709430404007E-13</v>
      </c>
      <c r="O119" s="14">
        <f>N119*VLOOKUP('Données projet'!$B$9,Paramètres!$A$1:$I$89,3,0)*VLOOKUP('Données projet'!$B$9,Paramètres!$A$1:$I$89,5,0)</f>
        <v>-1.69961822393816E-13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287.05726996114242</v>
      </c>
      <c r="T119" s="62">
        <f t="shared" si="88"/>
        <v>229.06617320689003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1.2144364997810979</v>
      </c>
      <c r="AB119" s="23">
        <f>EXP(-LN(2)/2)*AB118+(1-EXP(-LN(2)/2))/(LN(2)/2)*V119*Y119*VLOOKUP('Données projet'!$B$9,Paramètres!$A$1:$I$89,3,0)*0.475*44/12</f>
        <v>5.983189768409648E-13</v>
      </c>
      <c r="AC119" s="24">
        <f t="shared" si="57"/>
        <v>1.2144364997816963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2.8846153846153868</v>
      </c>
      <c r="AI119" s="14">
        <f>IF('Données projet'!$A$62&gt;35,AI118+AH119-AQ118,IF(A119&lt;'Données projet'!$A$62,$AF$205^A119,IF(A119='Données projet'!$A$62,'Données projet'!$B$62,AI118+AH119-AQ118)))</f>
        <v>319.23076923076871</v>
      </c>
      <c r="AJ119" s="14">
        <f>AI119*VLOOKUP('Données projet'!$B$10,Paramètres!$A$1:$I$89,3,0)*VLOOKUP('Données projet'!$B$10,Paramètres!$A$1:$I$89,5,0)</f>
        <v>333.65999999999946</v>
      </c>
      <c r="AK119" s="14">
        <f t="shared" si="89"/>
        <v>78.188630754756275</v>
      </c>
      <c r="AL119" s="22">
        <f t="shared" si="58"/>
        <v>717.30303189786616</v>
      </c>
      <c r="AM119" s="62">
        <f t="shared" si="59"/>
        <v>1010.6363652311995</v>
      </c>
      <c r="AN119" s="62">
        <f ca="1">AVERAGE(OFFSET($AM$3,0,0,'Données projet'!$E$10+1,1))-AVERAGE(OFFSET($H$3,0,0,'Données projet'!$E$10+1,1))</f>
        <v>493.70175665335978</v>
      </c>
      <c r="AO119" s="62">
        <f t="shared" si="90"/>
        <v>325.12357781685949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293.3333333333353</v>
      </c>
      <c r="BI119" s="62">
        <f ca="1">AVERAGE(OFFSET($BH$3,0,0,'Données projet'!$E$11+1,1))-AVERAGE(OFFSET($H$3,0,0,'Données projet'!$E$11+1,1))</f>
        <v>260.02504691866199</v>
      </c>
      <c r="BJ119" s="62">
        <f t="shared" si="92"/>
        <v>270.11268336406368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1.8225808412708089</v>
      </c>
      <c r="BQ119" s="23">
        <f>EXP(-LN(2)/25)*BQ118+(1-EXP(-LN(2)/25))/(LN(2)/25)*Calculateur!BL119*Calculateur!BN119*VLOOKUP('Données projet'!$B$11,Paramètres!$A$1:$I$89,3,0)*0.475*44/12</f>
        <v>1.5144465036406882</v>
      </c>
      <c r="BR119" s="23">
        <f>EXP(-LN(2)/2)*BR118+(1-EXP(-LN(2)/2))/(LN(2)/2)*BL119*BO119*VLOOKUP('Données projet'!$B$11,Paramètres!$A$1:$I$89,3,0)*0.475*44/12</f>
        <v>7.2077011122062728E-13</v>
      </c>
      <c r="BS119" s="24">
        <f t="shared" si="63"/>
        <v>3.3370273449122179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-2.8421709430404007E-13</v>
      </c>
      <c r="O120" s="14">
        <f>N120*VLOOKUP('Données projet'!$B$9,Paramètres!$A$1:$I$89,3,0)*VLOOKUP('Données projet'!$B$9,Paramètres!$A$1:$I$89,5,0)</f>
        <v>-1.69961822393816E-13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287.05726996114242</v>
      </c>
      <c r="T120" s="62">
        <f t="shared" si="88"/>
        <v>229.06617320689003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1.1812276698301438</v>
      </c>
      <c r="AB120" s="23">
        <f>EXP(-LN(2)/2)*AB119+(1-EXP(-LN(2)/2))/(LN(2)/2)*V120*Y120*VLOOKUP('Données projet'!$B$9,Paramètres!$A$1:$I$89,3,0)*0.475*44/12</f>
        <v>4.230754058368431E-13</v>
      </c>
      <c r="AC120" s="24">
        <f t="shared" si="57"/>
        <v>1.1812276698305668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2.8846153846153868</v>
      </c>
      <c r="AI120" s="14">
        <f>IF('Données projet'!$A$62&gt;35,AI119+AH120-AQ119,IF(A120&lt;'Données projet'!$A$62,$AF$205^A120,IF(A120='Données projet'!$A$62,'Données projet'!$B$62,AI119+AH120-AQ119)))</f>
        <v>322.11538461538407</v>
      </c>
      <c r="AJ120" s="14">
        <f>AI120*VLOOKUP('Données projet'!$B$10,Paramètres!$A$1:$I$89,3,0)*VLOOKUP('Données projet'!$B$10,Paramètres!$A$1:$I$89,5,0)</f>
        <v>336.67499999999944</v>
      </c>
      <c r="AK120" s="14">
        <f t="shared" si="89"/>
        <v>78.8125879449194</v>
      </c>
      <c r="AL120" s="22">
        <f t="shared" si="58"/>
        <v>723.64088233740028</v>
      </c>
      <c r="AM120" s="62">
        <f t="shared" si="59"/>
        <v>1016.9742156707337</v>
      </c>
      <c r="AN120" s="62">
        <f ca="1">AVERAGE(OFFSET($AM$3,0,0,'Données projet'!$E$10+1,1))-AVERAGE(OFFSET($H$3,0,0,'Données projet'!$E$10+1,1))</f>
        <v>493.70175665335978</v>
      </c>
      <c r="AO120" s="62">
        <f t="shared" si="90"/>
        <v>325.12357781685949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293.3333333333353</v>
      </c>
      <c r="BI120" s="62">
        <f ca="1">AVERAGE(OFFSET($BH$3,0,0,'Données projet'!$E$11+1,1))-AVERAGE(OFFSET($H$3,0,0,'Données projet'!$E$11+1,1))</f>
        <v>260.02504691866199</v>
      </c>
      <c r="BJ120" s="62">
        <f t="shared" si="92"/>
        <v>270.11268336406368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1.7868411426380337</v>
      </c>
      <c r="BQ120" s="23">
        <f>EXP(-LN(2)/25)*BQ119+(1-EXP(-LN(2)/25))/(LN(2)/25)*Calculateur!BL120*Calculateur!BN120*VLOOKUP('Données projet'!$B$11,Paramètres!$A$1:$I$89,3,0)*0.475*44/12</f>
        <v>1.4730338843573534</v>
      </c>
      <c r="BR120" s="23">
        <f>EXP(-LN(2)/2)*BR119+(1-EXP(-LN(2)/2))/(LN(2)/2)*BL120*BO120*VLOOKUP('Données projet'!$B$11,Paramètres!$A$1:$I$89,3,0)*0.475*44/12</f>
        <v>5.0966143332068762E-13</v>
      </c>
      <c r="BS120" s="24">
        <f t="shared" si="63"/>
        <v>3.2598750269958972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-2.8421709430404007E-13</v>
      </c>
      <c r="O121" s="14">
        <f>N121*VLOOKUP('Données projet'!$B$9,Paramètres!$A$1:$I$89,3,0)*VLOOKUP('Données projet'!$B$9,Paramètres!$A$1:$I$89,5,0)</f>
        <v>-1.69961822393816E-13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287.05726996114242</v>
      </c>
      <c r="T121" s="62">
        <f t="shared" si="88"/>
        <v>229.06617320689003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1.148926937080575</v>
      </c>
      <c r="AB121" s="23">
        <f>EXP(-LN(2)/2)*AB120+(1-EXP(-LN(2)/2))/(LN(2)/2)*V121*Y121*VLOOKUP('Données projet'!$B$9,Paramètres!$A$1:$I$89,3,0)*0.475*44/12</f>
        <v>2.991594884204824E-13</v>
      </c>
      <c r="AC121" s="24">
        <f t="shared" si="57"/>
        <v>1.1489269370808741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2.8846153846153868</v>
      </c>
      <c r="AI121" s="14">
        <f>IF('Données projet'!$A$62&gt;35,AI120+AH121-AQ120,IF(A121&lt;'Données projet'!$A$62,$AF$205^A121,IF(A121='Données projet'!$A$62,'Données projet'!$B$62,AI120+AH121-AQ120)))</f>
        <v>324.99999999999943</v>
      </c>
      <c r="AJ121" s="14">
        <f>AI121*VLOOKUP('Données projet'!$B$10,Paramètres!$A$1:$I$89,3,0)*VLOOKUP('Données projet'!$B$10,Paramètres!$A$1:$I$89,5,0)</f>
        <v>339.68999999999943</v>
      </c>
      <c r="AK121" s="14">
        <f t="shared" si="89"/>
        <v>79.435895059237467</v>
      </c>
      <c r="AL121" s="22">
        <f t="shared" si="58"/>
        <v>729.97760056150412</v>
      </c>
      <c r="AM121" s="62">
        <f t="shared" si="59"/>
        <v>1023.3109338948375</v>
      </c>
      <c r="AN121" s="62">
        <f ca="1">AVERAGE(OFFSET($AM$3,0,0,'Données projet'!$E$10+1,1))-AVERAGE(OFFSET($H$3,0,0,'Données projet'!$E$10+1,1))</f>
        <v>493.70175665335978</v>
      </c>
      <c r="AO121" s="62">
        <f t="shared" si="90"/>
        <v>325.12357781685949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293.3333333333353</v>
      </c>
      <c r="BI121" s="62">
        <f ca="1">AVERAGE(OFFSET($BH$3,0,0,'Données projet'!$E$11+1,1))-AVERAGE(OFFSET($H$3,0,0,'Données projet'!$E$11+1,1))</f>
        <v>260.02504691866199</v>
      </c>
      <c r="BJ121" s="62">
        <f t="shared" si="92"/>
        <v>270.11268336406368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1.7518022776963835</v>
      </c>
      <c r="BQ121" s="23">
        <f>EXP(-LN(2)/25)*BQ120+(1-EXP(-LN(2)/25))/(LN(2)/25)*Calculateur!BL121*Calculateur!BN121*VLOOKUP('Données projet'!$B$11,Paramètres!$A$1:$I$89,3,0)*0.475*44/12</f>
        <v>1.4327536953261162</v>
      </c>
      <c r="BR121" s="23">
        <f>EXP(-LN(2)/2)*BR120+(1-EXP(-LN(2)/2))/(LN(2)/2)*BL121*BO121*VLOOKUP('Données projet'!$B$11,Paramètres!$A$1:$I$89,3,0)*0.475*44/12</f>
        <v>3.6038505561031364E-13</v>
      </c>
      <c r="BS121" s="24">
        <f t="shared" si="63"/>
        <v>3.1845559730228601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-2.8421709430404007E-13</v>
      </c>
      <c r="O122" s="14">
        <f>N122*VLOOKUP('Données projet'!$B$9,Paramètres!$A$1:$I$89,3,0)*VLOOKUP('Données projet'!$B$9,Paramètres!$A$1:$I$89,5,0)</f>
        <v>-1.69961822393816E-13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287.05726996114242</v>
      </c>
      <c r="T122" s="62">
        <f t="shared" si="88"/>
        <v>229.06617320689003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1.117509469566665</v>
      </c>
      <c r="AB122" s="23">
        <f>EXP(-LN(2)/2)*AB121+(1-EXP(-LN(2)/2))/(LN(2)/2)*V122*Y122*VLOOKUP('Données projet'!$B$9,Paramètres!$A$1:$I$89,3,0)*0.475*44/12</f>
        <v>2.1153770291842155E-13</v>
      </c>
      <c r="AC122" s="24">
        <f t="shared" si="57"/>
        <v>1.1175094695668766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2.8846153846153868</v>
      </c>
      <c r="AI122" s="14">
        <f>IF('Données projet'!$A$62&gt;35,AI121+AH122-AQ121,IF(A122&lt;'Données projet'!$A$62,$AF$205^A122,IF(A122='Données projet'!$A$62,'Données projet'!$B$62,AI121+AH122-AQ121)))</f>
        <v>327.88461538461479</v>
      </c>
      <c r="AJ122" s="14">
        <f>AI122*VLOOKUP('Données projet'!$B$10,Paramètres!$A$1:$I$89,3,0)*VLOOKUP('Données projet'!$B$10,Paramètres!$A$1:$I$89,5,0)</f>
        <v>342.70499999999942</v>
      </c>
      <c r="AK122" s="14">
        <f t="shared" si="89"/>
        <v>80.058558536074614</v>
      </c>
      <c r="AL122" s="22">
        <f t="shared" si="58"/>
        <v>736.31319778366208</v>
      </c>
      <c r="AM122" s="62">
        <f t="shared" si="59"/>
        <v>1029.6465311169954</v>
      </c>
      <c r="AN122" s="62">
        <f ca="1">AVERAGE(OFFSET($AM$3,0,0,'Données projet'!$E$10+1,1))-AVERAGE(OFFSET($H$3,0,0,'Données projet'!$E$10+1,1))</f>
        <v>493.70175665335978</v>
      </c>
      <c r="AO122" s="62">
        <f t="shared" si="90"/>
        <v>325.12357781685949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293.3333333333353</v>
      </c>
      <c r="BI122" s="62">
        <f ca="1">AVERAGE(OFFSET($BH$3,0,0,'Données projet'!$E$11+1,1))-AVERAGE(OFFSET($H$3,0,0,'Données projet'!$E$11+1,1))</f>
        <v>260.02504691866199</v>
      </c>
      <c r="BJ122" s="62">
        <f t="shared" si="92"/>
        <v>270.11268336406368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1.7174505035246419</v>
      </c>
      <c r="BQ122" s="23">
        <f>EXP(-LN(2)/25)*BQ121+(1-EXP(-LN(2)/25))/(LN(2)/25)*Calculateur!BL122*Calculateur!BN122*VLOOKUP('Données projet'!$B$11,Paramètres!$A$1:$I$89,3,0)*0.475*44/12</f>
        <v>1.3935749701821813</v>
      </c>
      <c r="BR122" s="23">
        <f>EXP(-LN(2)/2)*BR121+(1-EXP(-LN(2)/2))/(LN(2)/2)*BL122*BO122*VLOOKUP('Données projet'!$B$11,Paramètres!$A$1:$I$89,3,0)*0.475*44/12</f>
        <v>2.5483071666034381E-13</v>
      </c>
      <c r="BS122" s="24">
        <f t="shared" si="63"/>
        <v>3.1110254737070782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-2.8421709430404007E-13</v>
      </c>
      <c r="O123" s="14">
        <f>N123*VLOOKUP('Données projet'!$B$9,Paramètres!$A$1:$I$89,3,0)*VLOOKUP('Données projet'!$B$9,Paramètres!$A$1:$I$89,5,0)</f>
        <v>-1.69961822393816E-13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287.05726996114242</v>
      </c>
      <c r="T123" s="62">
        <f t="shared" si="88"/>
        <v>229.06617320689003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1.0869511143540955</v>
      </c>
      <c r="AB123" s="23">
        <f>EXP(-LN(2)/2)*AB122+(1-EXP(-LN(2)/2))/(LN(2)/2)*V123*Y123*VLOOKUP('Données projet'!$B$9,Paramètres!$A$1:$I$89,3,0)*0.475*44/12</f>
        <v>1.495797442102412E-13</v>
      </c>
      <c r="AC123" s="24">
        <f t="shared" si="57"/>
        <v>1.0869511143542452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330.76923076923077</v>
      </c>
      <c r="AG123" s="13">
        <f>VLOOKUP(A123,'Données projet'!$A$61:$I$81,9,0)</f>
        <v>2.8846153846153868</v>
      </c>
      <c r="AH123" s="13">
        <f t="array" ref="AH123">INDEX(AG:AG,MIN(IF(ISNUMBER(AG123:AG319),ROW(AG123:AG319),"")))</f>
        <v>2.8846153846153868</v>
      </c>
      <c r="AI123" s="14">
        <f>IF('Données projet'!$A$62&gt;35,AI122+AH123-AQ122,IF(A123&lt;'Données projet'!$A$62,$AF$205^A123,IF(A123='Données projet'!$A$62,'Données projet'!$B$62,AI122+AH123-AQ122)))</f>
        <v>330.76923076923015</v>
      </c>
      <c r="AJ123" s="14">
        <f>AI123*VLOOKUP('Données projet'!$B$10,Paramètres!$A$1:$I$89,3,0)*VLOOKUP('Données projet'!$B$10,Paramètres!$A$1:$I$89,5,0)</f>
        <v>345.7199999999994</v>
      </c>
      <c r="AK123" s="14">
        <f t="shared" si="89"/>
        <v>80.6805846939736</v>
      </c>
      <c r="AL123" s="22">
        <f t="shared" si="58"/>
        <v>742.64768500866955</v>
      </c>
      <c r="AM123" s="62">
        <f t="shared" si="59"/>
        <v>1035.9810183420029</v>
      </c>
      <c r="AN123" s="62">
        <f ca="1">AVERAGE(OFFSET($AM$3,0,0,'Données projet'!$E$10+1,1))-AVERAGE(OFFSET($H$3,0,0,'Données projet'!$E$10+1,1))</f>
        <v>493.70175665335978</v>
      </c>
      <c r="AO123" s="62">
        <f t="shared" si="90"/>
        <v>325.12357781685949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17.948717948717949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293.3333333333353</v>
      </c>
      <c r="BI123" s="62">
        <f ca="1">AVERAGE(OFFSET($BH$3,0,0,'Données projet'!$E$11+1,1))-AVERAGE(OFFSET($H$3,0,0,'Données projet'!$E$11+1,1))</f>
        <v>260.02504691866199</v>
      </c>
      <c r="BJ123" s="62">
        <f t="shared" si="92"/>
        <v>270.11268336406368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1.6837723466918948</v>
      </c>
      <c r="BQ123" s="23">
        <f>EXP(-LN(2)/25)*BQ122+(1-EXP(-LN(2)/25))/(LN(2)/25)*Calculateur!BL123*Calculateur!BN123*VLOOKUP('Données projet'!$B$11,Paramètres!$A$1:$I$89,3,0)*0.475*44/12</f>
        <v>1.3554675893376269</v>
      </c>
      <c r="BR123" s="23">
        <f>EXP(-LN(2)/2)*BR122+(1-EXP(-LN(2)/2))/(LN(2)/2)*BL123*BO123*VLOOKUP('Données projet'!$B$11,Paramètres!$A$1:$I$89,3,0)*0.475*44/12</f>
        <v>1.8019252780515682E-13</v>
      </c>
      <c r="BS123" s="24">
        <f t="shared" si="63"/>
        <v>3.039239936029702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-2.8421709430404007E-13</v>
      </c>
      <c r="O124" s="14">
        <f>N124*VLOOKUP('Données projet'!$B$9,Paramètres!$A$1:$I$89,3,0)*VLOOKUP('Données projet'!$B$9,Paramètres!$A$1:$I$89,5,0)</f>
        <v>-1.69961822393816E-13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287.05726996114242</v>
      </c>
      <c r="T124" s="62">
        <f t="shared" si="88"/>
        <v>229.06617320689003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1.057228378971808</v>
      </c>
      <c r="AB124" s="23">
        <f>EXP(-LN(2)/2)*AB123+(1-EXP(-LN(2)/2))/(LN(2)/2)*V124*Y124*VLOOKUP('Données projet'!$B$9,Paramètres!$A$1:$I$89,3,0)*0.475*44/12</f>
        <v>1.0576885145921077E-13</v>
      </c>
      <c r="AC124" s="24">
        <f t="shared" si="57"/>
        <v>1.0572283789719137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2.6282051282051269</v>
      </c>
      <c r="AI124" s="14">
        <f>IF('Données projet'!$A$62&gt;35,AI123+AH124-AQ123,IF(A124&lt;'Données projet'!$A$62,$AF$205^A124,IF(A124='Données projet'!$A$62,'Données projet'!$B$62,AI123+AH124-AQ123)))</f>
        <v>315.44871794871733</v>
      </c>
      <c r="AJ124" s="14">
        <f>AI124*VLOOKUP('Données projet'!$B$10,Paramètres!$A$1:$I$89,3,0)*VLOOKUP('Données projet'!$B$10,Paramètres!$A$1:$I$89,5,0)</f>
        <v>329.70699999999937</v>
      </c>
      <c r="AK124" s="14">
        <f t="shared" si="89"/>
        <v>77.369557656320978</v>
      </c>
      <c r="AL124" s="22">
        <f t="shared" si="58"/>
        <v>708.99167125142458</v>
      </c>
      <c r="AM124" s="62">
        <f t="shared" si="59"/>
        <v>1002.3250045847578</v>
      </c>
      <c r="AN124" s="62">
        <f ca="1">AVERAGE(OFFSET($AM$3,0,0,'Données projet'!$E$10+1,1))-AVERAGE(OFFSET($H$3,0,0,'Données projet'!$E$10+1,1))</f>
        <v>493.70175665335978</v>
      </c>
      <c r="AO124" s="62">
        <f t="shared" si="90"/>
        <v>325.12357781685949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293.3333333333353</v>
      </c>
      <c r="BI124" s="62">
        <f ca="1">AVERAGE(OFFSET($BH$3,0,0,'Données projet'!$E$11+1,1))-AVERAGE(OFFSET($H$3,0,0,'Données projet'!$E$11+1,1))</f>
        <v>260.02504691866199</v>
      </c>
      <c r="BJ124" s="62">
        <f t="shared" si="92"/>
        <v>270.11268336406368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1.6507545979729905</v>
      </c>
      <c r="BQ124" s="23">
        <f>EXP(-LN(2)/25)*BQ123+(1-EXP(-LN(2)/25))/(LN(2)/25)*Calculateur!BL124*Calculateur!BN124*VLOOKUP('Données projet'!$B$11,Paramètres!$A$1:$I$89,3,0)*0.475*44/12</f>
        <v>1.318402256826247</v>
      </c>
      <c r="BR124" s="23">
        <f>EXP(-LN(2)/2)*BR123+(1-EXP(-LN(2)/2))/(LN(2)/2)*BL124*BO124*VLOOKUP('Données projet'!$B$11,Paramètres!$A$1:$I$89,3,0)*0.475*44/12</f>
        <v>1.274153583301719E-13</v>
      </c>
      <c r="BS124" s="24">
        <f t="shared" si="63"/>
        <v>2.969156854799365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-2.8421709430404007E-13</v>
      </c>
      <c r="O125" s="14">
        <f>N125*VLOOKUP('Données projet'!$B$9,Paramètres!$A$1:$I$89,3,0)*VLOOKUP('Données projet'!$B$9,Paramètres!$A$1:$I$89,5,0)</f>
        <v>-1.69961822393816E-13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287.05726996114242</v>
      </c>
      <c r="T125" s="62">
        <f t="shared" si="88"/>
        <v>229.06617320689003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1.0283184133515997</v>
      </c>
      <c r="AB125" s="23">
        <f>EXP(-LN(2)/2)*AB124+(1-EXP(-LN(2)/2))/(LN(2)/2)*V125*Y125*VLOOKUP('Données projet'!$B$9,Paramètres!$A$1:$I$89,3,0)*0.475*44/12</f>
        <v>7.47898721051206E-14</v>
      </c>
      <c r="AC125" s="24">
        <f t="shared" si="57"/>
        <v>1.0283184133516745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2.6282051282051269</v>
      </c>
      <c r="AI125" s="14">
        <f>IF('Données projet'!$A$62&gt;35,AI124+AH125-AQ124,IF(A125&lt;'Données projet'!$A$62,$AF$205^A125,IF(A125='Données projet'!$A$62,'Données projet'!$B$62,AI124+AH125-AQ124)))</f>
        <v>318.07692307692247</v>
      </c>
      <c r="AJ125" s="14">
        <f>AI125*VLOOKUP('Données projet'!$B$10,Paramètres!$A$1:$I$89,3,0)*VLOOKUP('Données projet'!$B$10,Paramètres!$A$1:$I$89,5,0)</f>
        <v>332.45399999999938</v>
      </c>
      <c r="AK125" s="14">
        <f t="shared" si="89"/>
        <v>77.938864391883257</v>
      </c>
      <c r="AL125" s="22">
        <f t="shared" si="58"/>
        <v>714.76757214919553</v>
      </c>
      <c r="AM125" s="62">
        <f t="shared" si="59"/>
        <v>1008.1009054825288</v>
      </c>
      <c r="AN125" s="62">
        <f ca="1">AVERAGE(OFFSET($AM$3,0,0,'Données projet'!$E$10+1,1))-AVERAGE(OFFSET($H$3,0,0,'Données projet'!$E$10+1,1))</f>
        <v>493.70175665335978</v>
      </c>
      <c r="AO125" s="62">
        <f t="shared" si="90"/>
        <v>325.12357781685949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293.3333333333353</v>
      </c>
      <c r="BI125" s="62">
        <f ca="1">AVERAGE(OFFSET($BH$3,0,0,'Données projet'!$E$11+1,1))-AVERAGE(OFFSET($H$3,0,0,'Données projet'!$E$11+1,1))</f>
        <v>260.02504691866199</v>
      </c>
      <c r="BJ125" s="62">
        <f t="shared" si="92"/>
        <v>270.11268336406368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1.6183843071676256</v>
      </c>
      <c r="BQ125" s="23">
        <f>EXP(-LN(2)/25)*BQ124+(1-EXP(-LN(2)/25))/(LN(2)/25)*Calculateur!BL125*Calculateur!BN125*VLOOKUP('Données projet'!$B$11,Paramètres!$A$1:$I$89,3,0)*0.475*44/12</f>
        <v>1.2823504777815717</v>
      </c>
      <c r="BR125" s="23">
        <f>EXP(-LN(2)/2)*BR124+(1-EXP(-LN(2)/2))/(LN(2)/2)*BL125*BO125*VLOOKUP('Données projet'!$B$11,Paramètres!$A$1:$I$89,3,0)*0.475*44/12</f>
        <v>9.009626390257841E-14</v>
      </c>
      <c r="BS125" s="24">
        <f t="shared" si="63"/>
        <v>2.9007347849492873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-2.8421709430404007E-13</v>
      </c>
      <c r="O126" s="14">
        <f>N126*VLOOKUP('Données projet'!$B$9,Paramètres!$A$1:$I$89,3,0)*VLOOKUP('Données projet'!$B$9,Paramètres!$A$1:$I$89,5,0)</f>
        <v>-1.69961822393816E-13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287.05726996114242</v>
      </c>
      <c r="T126" s="62">
        <f t="shared" si="88"/>
        <v>229.06617320689003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1.000198992261585</v>
      </c>
      <c r="AB126" s="23">
        <f>EXP(-LN(2)/2)*AB125+(1-EXP(-LN(2)/2))/(LN(2)/2)*V126*Y126*VLOOKUP('Données projet'!$B$9,Paramètres!$A$1:$I$89,3,0)*0.475*44/12</f>
        <v>5.2884425729605387E-14</v>
      </c>
      <c r="AC126" s="24">
        <f t="shared" si="57"/>
        <v>1.0001989922616379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2.6282051282051269</v>
      </c>
      <c r="AI126" s="14">
        <f>IF('Données projet'!$A$62&gt;35,AI125+AH126-AQ125,IF(A126&lt;'Données projet'!$A$62,$AF$205^A126,IF(A126='Données projet'!$A$62,'Données projet'!$B$62,AI125+AH126-AQ125)))</f>
        <v>320.70512820512761</v>
      </c>
      <c r="AJ126" s="14">
        <f>AI126*VLOOKUP('Données projet'!$B$10,Paramètres!$A$1:$I$89,3,0)*VLOOKUP('Données projet'!$B$10,Paramètres!$A$1:$I$89,5,0)</f>
        <v>335.2009999999994</v>
      </c>
      <c r="AK126" s="14">
        <f t="shared" si="89"/>
        <v>78.507623830791573</v>
      </c>
      <c r="AL126" s="22">
        <f t="shared" si="58"/>
        <v>720.54251983862753</v>
      </c>
      <c r="AM126" s="62">
        <f t="shared" si="59"/>
        <v>1013.8758531719609</v>
      </c>
      <c r="AN126" s="62">
        <f ca="1">AVERAGE(OFFSET($AM$3,0,0,'Données projet'!$E$10+1,1))-AVERAGE(OFFSET($H$3,0,0,'Données projet'!$E$10+1,1))</f>
        <v>493.70175665335978</v>
      </c>
      <c r="AO126" s="62">
        <f t="shared" si="90"/>
        <v>325.12357781685949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293.3333333333353</v>
      </c>
      <c r="BI126" s="62">
        <f ca="1">AVERAGE(OFFSET($BH$3,0,0,'Données projet'!$E$11+1,1))-AVERAGE(OFFSET($H$3,0,0,'Données projet'!$E$11+1,1))</f>
        <v>260.02504691866199</v>
      </c>
      <c r="BJ126" s="62">
        <f t="shared" si="92"/>
        <v>270.11268336406368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1.5866487780210261</v>
      </c>
      <c r="BQ126" s="23">
        <f>EXP(-LN(2)/25)*BQ125+(1-EXP(-LN(2)/25))/(LN(2)/25)*Calculateur!BL126*Calculateur!BN126*VLOOKUP('Données projet'!$B$11,Paramètres!$A$1:$I$89,3,0)*0.475*44/12</f>
        <v>1.2472845365307539</v>
      </c>
      <c r="BR126" s="23">
        <f>EXP(-LN(2)/2)*BR125+(1-EXP(-LN(2)/2))/(LN(2)/2)*BL126*BO126*VLOOKUP('Données projet'!$B$11,Paramètres!$A$1:$I$89,3,0)*0.475*44/12</f>
        <v>6.3707679165085952E-14</v>
      </c>
      <c r="BS126" s="24">
        <f t="shared" si="63"/>
        <v>2.8339333145518437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-2.8421709430404007E-13</v>
      </c>
      <c r="O127" s="14">
        <f>N127*VLOOKUP('Données projet'!$B$9,Paramètres!$A$1:$I$89,3,0)*VLOOKUP('Données projet'!$B$9,Paramètres!$A$1:$I$89,5,0)</f>
        <v>-1.69961822393816E-13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287.05726996114242</v>
      </c>
      <c r="T127" s="62">
        <f t="shared" si="88"/>
        <v>229.06617320689003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0.97284849822001296</v>
      </c>
      <c r="AB127" s="23">
        <f>EXP(-LN(2)/2)*AB126+(1-EXP(-LN(2)/2))/(LN(2)/2)*V127*Y127*VLOOKUP('Données projet'!$B$9,Paramètres!$A$1:$I$89,3,0)*0.475*44/12</f>
        <v>3.73949360525603E-14</v>
      </c>
      <c r="AC127" s="24">
        <f t="shared" si="57"/>
        <v>0.97284849822005037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2.6282051282051269</v>
      </c>
      <c r="AI127" s="14">
        <f>IF('Données projet'!$A$62&gt;35,AI126+AH127-AQ126,IF(A127&lt;'Données projet'!$A$62,$AF$205^A127,IF(A127='Données projet'!$A$62,'Données projet'!$B$62,AI126+AH127-AQ126)))</f>
        <v>323.33333333333275</v>
      </c>
      <c r="AJ127" s="14">
        <f>AI127*VLOOKUP('Données projet'!$B$10,Paramètres!$A$1:$I$89,3,0)*VLOOKUP('Données projet'!$B$10,Paramètres!$A$1:$I$89,5,0)</f>
        <v>337.94799999999941</v>
      </c>
      <c r="AK127" s="14">
        <f t="shared" si="89"/>
        <v>79.075840977982864</v>
      </c>
      <c r="AL127" s="22">
        <f t="shared" si="58"/>
        <v>726.31652303665248</v>
      </c>
      <c r="AM127" s="62">
        <f t="shared" si="59"/>
        <v>1019.6498563699859</v>
      </c>
      <c r="AN127" s="62">
        <f ca="1">AVERAGE(OFFSET($AM$3,0,0,'Données projet'!$E$10+1,1))-AVERAGE(OFFSET($H$3,0,0,'Données projet'!$E$10+1,1))</f>
        <v>493.70175665335978</v>
      </c>
      <c r="AO127" s="62">
        <f t="shared" si="90"/>
        <v>325.12357781685949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293.3333333333353</v>
      </c>
      <c r="BI127" s="62">
        <f ca="1">AVERAGE(OFFSET($BH$3,0,0,'Données projet'!$E$11+1,1))-AVERAGE(OFFSET($H$3,0,0,'Données projet'!$E$11+1,1))</f>
        <v>260.02504691866199</v>
      </c>
      <c r="BJ127" s="62">
        <f t="shared" si="92"/>
        <v>270.11268336406368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1.55553556324423</v>
      </c>
      <c r="BQ127" s="23">
        <f>EXP(-LN(2)/25)*BQ126+(1-EXP(-LN(2)/25))/(LN(2)/25)*Calculateur!BL127*Calculateur!BN127*VLOOKUP('Données projet'!$B$11,Paramètres!$A$1:$I$89,3,0)*0.475*44/12</f>
        <v>1.2131774752874773</v>
      </c>
      <c r="BR127" s="23">
        <f>EXP(-LN(2)/2)*BR126+(1-EXP(-LN(2)/2))/(LN(2)/2)*BL127*BO127*VLOOKUP('Données projet'!$B$11,Paramètres!$A$1:$I$89,3,0)*0.475*44/12</f>
        <v>4.5048131951289205E-14</v>
      </c>
      <c r="BS127" s="24">
        <f t="shared" si="63"/>
        <v>2.7687130385317524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-2.8421709430404007E-13</v>
      </c>
      <c r="O128" s="14">
        <f>N128*VLOOKUP('Données projet'!$B$9,Paramètres!$A$1:$I$89,3,0)*VLOOKUP('Données projet'!$B$9,Paramètres!$A$1:$I$89,5,0)</f>
        <v>-1.69961822393816E-13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287.05726996114242</v>
      </c>
      <c r="T128" s="62">
        <f t="shared" si="88"/>
        <v>229.06617320689003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0.94624590487630766</v>
      </c>
      <c r="AB128" s="23">
        <f>EXP(-LN(2)/2)*AB127+(1-EXP(-LN(2)/2))/(LN(2)/2)*V128*Y128*VLOOKUP('Données projet'!$B$9,Paramètres!$A$1:$I$89,3,0)*0.475*44/12</f>
        <v>2.6442212864802694E-14</v>
      </c>
      <c r="AC128" s="24">
        <f t="shared" si="57"/>
        <v>0.94624590487633409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2.6282051282051269</v>
      </c>
      <c r="AI128" s="14">
        <f>IF('Données projet'!$A$62&gt;35,AI127+AH128-AQ127,IF(A128&lt;'Données projet'!$A$62,$AF$205^A128,IF(A128='Données projet'!$A$62,'Données projet'!$B$62,AI127+AH128-AQ127)))</f>
        <v>325.96153846153788</v>
      </c>
      <c r="AJ128" s="14">
        <f>AI128*VLOOKUP('Données projet'!$B$10,Paramètres!$A$1:$I$89,3,0)*VLOOKUP('Données projet'!$B$10,Paramètres!$A$1:$I$89,5,0)</f>
        <v>340.69499999999942</v>
      </c>
      <c r="AK128" s="14">
        <f t="shared" si="89"/>
        <v>79.643520752331625</v>
      </c>
      <c r="AL128" s="22">
        <f t="shared" si="58"/>
        <v>732.08959031030997</v>
      </c>
      <c r="AM128" s="62">
        <f t="shared" si="59"/>
        <v>1025.4229236436433</v>
      </c>
      <c r="AN128" s="62">
        <f ca="1">AVERAGE(OFFSET($AM$3,0,0,'Données projet'!$E$10+1,1))-AVERAGE(OFFSET($H$3,0,0,'Données projet'!$E$10+1,1))</f>
        <v>493.70175665335978</v>
      </c>
      <c r="AO128" s="62">
        <f t="shared" si="90"/>
        <v>325.12357781685949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293.3333333333353</v>
      </c>
      <c r="BI128" s="62">
        <f ca="1">AVERAGE(OFFSET($BH$3,0,0,'Données projet'!$E$11+1,1))-AVERAGE(OFFSET($H$3,0,0,'Données projet'!$E$11+1,1))</f>
        <v>260.02504691866199</v>
      </c>
      <c r="BJ128" s="62">
        <f t="shared" si="92"/>
        <v>270.11268336406368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1.5250324596320197</v>
      </c>
      <c r="BQ128" s="23">
        <f>EXP(-LN(2)/25)*BQ127+(1-EXP(-LN(2)/25))/(LN(2)/25)*Calculateur!BL128*Calculateur!BN128*VLOOKUP('Données projet'!$B$11,Paramètres!$A$1:$I$89,3,0)*0.475*44/12</f>
        <v>1.1800030734275107</v>
      </c>
      <c r="BR128" s="23">
        <f>EXP(-LN(2)/2)*BR127+(1-EXP(-LN(2)/2))/(LN(2)/2)*BL128*BO128*VLOOKUP('Données projet'!$B$11,Paramètres!$A$1:$I$89,3,0)*0.475*44/12</f>
        <v>3.1853839582542976E-14</v>
      </c>
      <c r="BS128" s="24">
        <f t="shared" si="63"/>
        <v>2.7050355330595623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-2.8421709430404007E-13</v>
      </c>
      <c r="O129" s="14">
        <f>N129*VLOOKUP('Données projet'!$B$9,Paramètres!$A$1:$I$89,3,0)*VLOOKUP('Données projet'!$B$9,Paramètres!$A$1:$I$89,5,0)</f>
        <v>-1.69961822393816E-13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287.05726996114242</v>
      </c>
      <c r="T129" s="62">
        <f t="shared" si="88"/>
        <v>229.06617320689003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0.92037076084655556</v>
      </c>
      <c r="AB129" s="23">
        <f>EXP(-LN(2)/2)*AB128+(1-EXP(-LN(2)/2))/(LN(2)/2)*V129*Y129*VLOOKUP('Données projet'!$B$9,Paramètres!$A$1:$I$89,3,0)*0.475*44/12</f>
        <v>1.869746802628015E-14</v>
      </c>
      <c r="AC129" s="24">
        <f t="shared" si="57"/>
        <v>0.92037076084657421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2.6282051282051269</v>
      </c>
      <c r="AI129" s="14">
        <f>IF('Données projet'!$A$62&gt;35,AI128+AH129-AQ128,IF(A129&lt;'Données projet'!$A$62,$AF$205^A129,IF(A129='Données projet'!$A$62,'Données projet'!$B$62,AI128+AH129-AQ128)))</f>
        <v>328.58974358974302</v>
      </c>
      <c r="AJ129" s="14">
        <f>AI129*VLOOKUP('Données projet'!$B$10,Paramètres!$A$1:$I$89,3,0)*VLOOKUP('Données projet'!$B$10,Paramètres!$A$1:$I$89,5,0)</f>
        <v>343.44199999999944</v>
      </c>
      <c r="AK129" s="14">
        <f t="shared" si="89"/>
        <v>80.210667988811437</v>
      </c>
      <c r="AL129" s="22">
        <f t="shared" si="58"/>
        <v>737.86173008051219</v>
      </c>
      <c r="AM129" s="62">
        <f t="shared" si="59"/>
        <v>1031.1950634138454</v>
      </c>
      <c r="AN129" s="62">
        <f ca="1">AVERAGE(OFFSET($AM$3,0,0,'Données projet'!$E$10+1,1))-AVERAGE(OFFSET($H$3,0,0,'Données projet'!$E$10+1,1))</f>
        <v>493.70175665335978</v>
      </c>
      <c r="AO129" s="62">
        <f t="shared" si="90"/>
        <v>325.12357781685949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293.3333333333353</v>
      </c>
      <c r="BI129" s="62">
        <f ca="1">AVERAGE(OFFSET($BH$3,0,0,'Données projet'!$E$11+1,1))-AVERAGE(OFFSET($H$3,0,0,'Données projet'!$E$11+1,1))</f>
        <v>260.02504691866199</v>
      </c>
      <c r="BJ129" s="62">
        <f t="shared" si="92"/>
        <v>270.11268336406368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1.4951275032765887</v>
      </c>
      <c r="BQ129" s="23">
        <f>EXP(-LN(2)/25)*BQ128+(1-EXP(-LN(2)/25))/(LN(2)/25)*Calculateur!BL129*Calculateur!BN129*VLOOKUP('Données projet'!$B$11,Paramètres!$A$1:$I$89,3,0)*0.475*44/12</f>
        <v>1.1477358273309706</v>
      </c>
      <c r="BR129" s="23">
        <f>EXP(-LN(2)/2)*BR128+(1-EXP(-LN(2)/2))/(LN(2)/2)*BL129*BO129*VLOOKUP('Données projet'!$B$11,Paramètres!$A$1:$I$89,3,0)*0.475*44/12</f>
        <v>2.2524065975644603E-14</v>
      </c>
      <c r="BS129" s="24">
        <f t="shared" si="63"/>
        <v>2.6428633306075819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-2.8421709430404007E-13</v>
      </c>
      <c r="O130" s="14">
        <f>N130*VLOOKUP('Données projet'!$B$9,Paramètres!$A$1:$I$89,3,0)*VLOOKUP('Données projet'!$B$9,Paramètres!$A$1:$I$89,5,0)</f>
        <v>-1.69961822393816E-13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287.05726996114242</v>
      </c>
      <c r="T130" s="62">
        <f t="shared" si="88"/>
        <v>229.06617320689003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0.89520317399101168</v>
      </c>
      <c r="AB130" s="23">
        <f>EXP(-LN(2)/2)*AB129+(1-EXP(-LN(2)/2))/(LN(2)/2)*V130*Y130*VLOOKUP('Données projet'!$B$9,Paramètres!$A$1:$I$89,3,0)*0.475*44/12</f>
        <v>1.3221106432401347E-14</v>
      </c>
      <c r="AC130" s="24">
        <f t="shared" si="57"/>
        <v>0.89520317399102489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2.6282051282051269</v>
      </c>
      <c r="AI130" s="14">
        <f>IF('Données projet'!$A$62&gt;35,AI129+AH130-AQ129,IF(A130&lt;'Données projet'!$A$62,$AF$205^A130,IF(A130='Données projet'!$A$62,'Données projet'!$B$62,AI129+AH130-AQ129)))</f>
        <v>331.21794871794816</v>
      </c>
      <c r="AJ130" s="14">
        <f>AI130*VLOOKUP('Données projet'!$B$10,Paramètres!$A$1:$I$89,3,0)*VLOOKUP('Données projet'!$B$10,Paramètres!$A$1:$I$89,5,0)</f>
        <v>346.18899999999945</v>
      </c>
      <c r="AK130" s="14">
        <f t="shared" si="89"/>
        <v>80.77728744058544</v>
      </c>
      <c r="AL130" s="22">
        <f t="shared" si="58"/>
        <v>743.63295062568523</v>
      </c>
      <c r="AM130" s="62">
        <f t="shared" si="59"/>
        <v>1036.9662839590185</v>
      </c>
      <c r="AN130" s="62">
        <f ca="1">AVERAGE(OFFSET($AM$3,0,0,'Données projet'!$E$10+1,1))-AVERAGE(OFFSET($H$3,0,0,'Données projet'!$E$10+1,1))</f>
        <v>493.70175665335978</v>
      </c>
      <c r="AO130" s="62">
        <f t="shared" si="90"/>
        <v>325.12357781685949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293.3333333333353</v>
      </c>
      <c r="BI130" s="62">
        <f ca="1">AVERAGE(OFFSET($BH$3,0,0,'Données projet'!$E$11+1,1))-AVERAGE(OFFSET($H$3,0,0,'Données projet'!$E$11+1,1))</f>
        <v>260.02504691866199</v>
      </c>
      <c r="BJ130" s="62">
        <f t="shared" si="92"/>
        <v>270.11268336406368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1.4658089648750654</v>
      </c>
      <c r="BQ130" s="23">
        <f>EXP(-LN(2)/25)*BQ129+(1-EXP(-LN(2)/25))/(LN(2)/25)*Calculateur!BL130*Calculateur!BN130*VLOOKUP('Données projet'!$B$11,Paramètres!$A$1:$I$89,3,0)*0.475*44/12</f>
        <v>1.1163509307758013</v>
      </c>
      <c r="BR130" s="23">
        <f>EXP(-LN(2)/2)*BR129+(1-EXP(-LN(2)/2))/(LN(2)/2)*BL130*BO130*VLOOKUP('Données projet'!$B$11,Paramètres!$A$1:$I$89,3,0)*0.475*44/12</f>
        <v>1.5926919791271488E-14</v>
      </c>
      <c r="BS130" s="24">
        <f t="shared" si="63"/>
        <v>2.5821598956508827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-2.8421709430404007E-13</v>
      </c>
      <c r="O131" s="14">
        <f>N131*VLOOKUP('Données projet'!$B$9,Paramètres!$A$1:$I$89,3,0)*VLOOKUP('Données projet'!$B$9,Paramètres!$A$1:$I$89,5,0)</f>
        <v>-1.69961822393816E-13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287.05726996114242</v>
      </c>
      <c r="T131" s="62">
        <f t="shared" si="88"/>
        <v>229.06617320689003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0.87072379612153861</v>
      </c>
      <c r="AB131" s="23">
        <f>EXP(-LN(2)/2)*AB130+(1-EXP(-LN(2)/2))/(LN(2)/2)*V131*Y131*VLOOKUP('Données projet'!$B$9,Paramètres!$A$1:$I$89,3,0)*0.475*44/12</f>
        <v>9.3487340131400751E-15</v>
      </c>
      <c r="AC131" s="24">
        <f t="shared" si="57"/>
        <v>0.87072379612154793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2.6282051282051269</v>
      </c>
      <c r="AI131" s="14">
        <f>IF('Données projet'!$A$62&gt;35,AI130+AH131-AQ130,IF(A131&lt;'Données projet'!$A$62,$AF$205^A131,IF(A131='Données projet'!$A$62,'Données projet'!$B$62,AI130+AH131-AQ130)))</f>
        <v>333.8461538461533</v>
      </c>
      <c r="AJ131" s="14">
        <f>AI131*VLOOKUP('Données projet'!$B$10,Paramètres!$A$1:$I$89,3,0)*VLOOKUP('Données projet'!$B$10,Paramètres!$A$1:$I$89,5,0)</f>
        <v>348.93599999999947</v>
      </c>
      <c r="AK131" s="14">
        <f t="shared" si="89"/>
        <v>81.343383781028564</v>
      </c>
      <c r="AL131" s="22">
        <f t="shared" si="58"/>
        <v>749.40326008529053</v>
      </c>
      <c r="AM131" s="62">
        <f t="shared" si="59"/>
        <v>1042.7365934186239</v>
      </c>
      <c r="AN131" s="62">
        <f ca="1">AVERAGE(OFFSET($AM$3,0,0,'Données projet'!$E$10+1,1))-AVERAGE(OFFSET($H$3,0,0,'Données projet'!$E$10+1,1))</f>
        <v>493.70175665335978</v>
      </c>
      <c r="AO131" s="62">
        <f t="shared" si="90"/>
        <v>325.12357781685949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293.3333333333353</v>
      </c>
      <c r="BI131" s="62">
        <f ca="1">AVERAGE(OFFSET($BH$3,0,0,'Données projet'!$E$11+1,1))-AVERAGE(OFFSET($H$3,0,0,'Données projet'!$E$11+1,1))</f>
        <v>260.02504691866199</v>
      </c>
      <c r="BJ131" s="62">
        <f t="shared" si="92"/>
        <v>270.11268336406368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1.4370653451290534</v>
      </c>
      <c r="BQ131" s="23">
        <f>EXP(-LN(2)/25)*BQ130+(1-EXP(-LN(2)/25))/(LN(2)/25)*Calculateur!BL131*Calculateur!BN131*VLOOKUP('Données projet'!$B$11,Paramètres!$A$1:$I$89,3,0)*0.475*44/12</f>
        <v>1.085824255867393</v>
      </c>
      <c r="BR131" s="23">
        <f>EXP(-LN(2)/2)*BR130+(1-EXP(-LN(2)/2))/(LN(2)/2)*BL131*BO131*VLOOKUP('Données projet'!$B$11,Paramètres!$A$1:$I$89,3,0)*0.475*44/12</f>
        <v>1.1262032987822301E-14</v>
      </c>
      <c r="BS131" s="24">
        <f t="shared" si="63"/>
        <v>2.5228896009964576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-2.8421709430404007E-13</v>
      </c>
      <c r="O132" s="14">
        <f>N132*VLOOKUP('Données projet'!$B$9,Paramètres!$A$1:$I$89,3,0)*VLOOKUP('Données projet'!$B$9,Paramètres!$A$1:$I$89,5,0)</f>
        <v>-1.69961822393816E-13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287.05726996114242</v>
      </c>
      <c r="T132" s="62">
        <f t="shared" si="88"/>
        <v>229.06617320689003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0.84691380812722072</v>
      </c>
      <c r="AB132" s="23">
        <f>EXP(-LN(2)/2)*AB131+(1-EXP(-LN(2)/2))/(LN(2)/2)*V132*Y132*VLOOKUP('Données projet'!$B$9,Paramètres!$A$1:$I$89,3,0)*0.475*44/12</f>
        <v>6.6105532162006734E-15</v>
      </c>
      <c r="AC132" s="24">
        <f t="shared" ref="AC132:AC153" si="111">SUM(Z132:AB132)</f>
        <v>0.84691380812722739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2.6282051282051269</v>
      </c>
      <c r="AI132" s="14">
        <f>IF('Données projet'!$A$62&gt;35,AI131+AH132-AQ131,IF(A132&lt;'Données projet'!$A$62,$AF$205^A132,IF(A132='Données projet'!$A$62,'Données projet'!$B$62,AI131+AH132-AQ131)))</f>
        <v>336.47435897435844</v>
      </c>
      <c r="AJ132" s="14">
        <f>AI132*VLOOKUP('Données projet'!$B$10,Paramètres!$A$1:$I$89,3,0)*VLOOKUP('Données projet'!$B$10,Paramètres!$A$1:$I$89,5,0)</f>
        <v>351.68299999999948</v>
      </c>
      <c r="AK132" s="14">
        <f t="shared" si="89"/>
        <v>81.908961605684084</v>
      </c>
      <c r="AL132" s="22">
        <f t="shared" ref="AL132:AL153" si="112">(AJ132+AK132)*0.475*44/12</f>
        <v>755.17266646323208</v>
      </c>
      <c r="AM132" s="62">
        <f t="shared" ref="AM132:AM195" si="113">AL132+(AD132+AE132)*44/12</f>
        <v>1048.5059997965654</v>
      </c>
      <c r="AN132" s="62">
        <f ca="1">AVERAGE(OFFSET($AM$3,0,0,'Données projet'!$E$10+1,1))-AVERAGE(OFFSET($H$3,0,0,'Données projet'!$E$10+1,1))</f>
        <v>493.70175665335978</v>
      </c>
      <c r="AO132" s="62">
        <f t="shared" si="90"/>
        <v>325.12357781685949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293.3333333333353</v>
      </c>
      <c r="BI132" s="62">
        <f ca="1">AVERAGE(OFFSET($BH$3,0,0,'Données projet'!$E$11+1,1))-AVERAGE(OFFSET($H$3,0,0,'Données projet'!$E$11+1,1))</f>
        <v>260.02504691866199</v>
      </c>
      <c r="BJ132" s="62">
        <f t="shared" si="92"/>
        <v>270.11268336406368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1.4088853702343838</v>
      </c>
      <c r="BQ132" s="23">
        <f>EXP(-LN(2)/25)*BQ131+(1-EXP(-LN(2)/25))/(LN(2)/25)*Calculateur!BL132*Calculateur!BN132*VLOOKUP('Données projet'!$B$11,Paramètres!$A$1:$I$89,3,0)*0.475*44/12</f>
        <v>1.0561323344896831</v>
      </c>
      <c r="BR132" s="23">
        <f>EXP(-LN(2)/2)*BR131+(1-EXP(-LN(2)/2))/(LN(2)/2)*BL132*BO132*VLOOKUP('Données projet'!$B$11,Paramètres!$A$1:$I$89,3,0)*0.475*44/12</f>
        <v>7.963459895635744E-15</v>
      </c>
      <c r="BS132" s="24">
        <f t="shared" ref="BS132:BS153" si="117">SUM(BP132:BR132)</f>
        <v>2.4650177047240751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-2.8421709430404007E-13</v>
      </c>
      <c r="O133" s="14">
        <f>N133*VLOOKUP('Données projet'!$B$9,Paramètres!$A$1:$I$89,3,0)*VLOOKUP('Données projet'!$B$9,Paramètres!$A$1:$I$89,5,0)</f>
        <v>-1.69961822393816E-13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287.05726996114242</v>
      </c>
      <c r="T133" s="62">
        <f t="shared" ref="T133:T196" si="142">$T$3</f>
        <v>229.06617320689003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0.82375490550672037</v>
      </c>
      <c r="AB133" s="23">
        <f>EXP(-LN(2)/2)*AB132+(1-EXP(-LN(2)/2))/(LN(2)/2)*V133*Y133*VLOOKUP('Données projet'!$B$9,Paramètres!$A$1:$I$89,3,0)*0.475*44/12</f>
        <v>4.6743670065700375E-15</v>
      </c>
      <c r="AC133" s="24">
        <f t="shared" si="111"/>
        <v>0.82375490550672503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339.10256410256409</v>
      </c>
      <c r="AG133" s="13">
        <f>VLOOKUP(A133,'Données projet'!$A$61:$I$81,9,0)</f>
        <v>2.6282051282051269</v>
      </c>
      <c r="AH133" s="13">
        <f t="array" ref="AH133">INDEX(AG:AG,MIN(IF(ISNUMBER(AG133:AG329),ROW(AG133:AG329),"")))</f>
        <v>2.6282051282051269</v>
      </c>
      <c r="AI133" s="14">
        <f>IF('Données projet'!$A$62&gt;35,AI132+AH133-AQ132,IF(A133&lt;'Données projet'!$A$62,$AF$205^A133,IF(A133='Données projet'!$A$62,'Données projet'!$B$62,AI132+AH133-AQ132)))</f>
        <v>339.10256410256358</v>
      </c>
      <c r="AJ133" s="14">
        <f>AI133*VLOOKUP('Données projet'!$B$10,Paramètres!$A$1:$I$89,3,0)*VLOOKUP('Données projet'!$B$10,Paramètres!$A$1:$I$89,5,0)</f>
        <v>354.4299999999995</v>
      </c>
      <c r="AK133" s="14">
        <f t="shared" ref="AK133:AK153" si="143">EXP(-1.0587+0.8836*LN(AJ133)+0.284)</f>
        <v>82.474025434157767</v>
      </c>
      <c r="AL133" s="22">
        <f t="shared" si="112"/>
        <v>760.94117763115719</v>
      </c>
      <c r="AM133" s="62">
        <f t="shared" si="113"/>
        <v>1054.2745109644904</v>
      </c>
      <c r="AN133" s="62">
        <f ca="1">AVERAGE(OFFSET($AM$3,0,0,'Données projet'!$E$10+1,1))-AVERAGE(OFFSET($H$3,0,0,'Données projet'!$E$10+1,1))</f>
        <v>493.70175665335978</v>
      </c>
      <c r="AO133" s="62">
        <f t="shared" ref="AO133:AO196" si="144">$AO$3</f>
        <v>325.12357781685949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339.10256410256409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293.3333333333353</v>
      </c>
      <c r="BI133" s="62">
        <f ca="1">AVERAGE(OFFSET($BH$3,0,0,'Données projet'!$E$11+1,1))-AVERAGE(OFFSET($H$3,0,0,'Données projet'!$E$11+1,1))</f>
        <v>260.02504691866199</v>
      </c>
      <c r="BJ133" s="62">
        <f t="shared" ref="BJ133:BJ196" si="146">$BJ$3</f>
        <v>270.11268336406368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1.3812579874593109</v>
      </c>
      <c r="BQ133" s="23">
        <f>EXP(-LN(2)/25)*BQ132+(1-EXP(-LN(2)/25))/(LN(2)/25)*Calculateur!BL133*Calculateur!BN133*VLOOKUP('Données projet'!$B$11,Paramètres!$A$1:$I$89,3,0)*0.475*44/12</f>
        <v>1.027252340263477</v>
      </c>
      <c r="BR133" s="23">
        <f>EXP(-LN(2)/2)*BR132+(1-EXP(-LN(2)/2))/(LN(2)/2)*BL133*BO133*VLOOKUP('Données projet'!$B$11,Paramètres!$A$1:$I$89,3,0)*0.475*44/12</f>
        <v>5.6310164939111507E-15</v>
      </c>
      <c r="BS133" s="24">
        <f t="shared" si="117"/>
        <v>2.4085103277227939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-2.8421709430404007E-13</v>
      </c>
      <c r="O134" s="14">
        <f>N134*VLOOKUP('Données projet'!$B$9,Paramètres!$A$1:$I$89,3,0)*VLOOKUP('Données projet'!$B$9,Paramètres!$A$1:$I$89,5,0)</f>
        <v>-1.69961822393816E-13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287.05726996114242</v>
      </c>
      <c r="T134" s="62">
        <f t="shared" si="142"/>
        <v>229.06617320689003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0.80122928429625129</v>
      </c>
      <c r="AB134" s="23">
        <f>EXP(-LN(2)/2)*AB133+(1-EXP(-LN(2)/2))/(LN(2)/2)*V134*Y134*VLOOKUP('Données projet'!$B$9,Paramètres!$A$1:$I$89,3,0)*0.475*44/12</f>
        <v>3.3052766081003367E-15</v>
      </c>
      <c r="AC134" s="24">
        <f t="shared" si="111"/>
        <v>0.80122928429625462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-5.1159076974727213E-13</v>
      </c>
      <c r="AJ134" s="14">
        <f>AI134*VLOOKUP('Données projet'!$B$10,Paramètres!$A$1:$I$89,3,0)*VLOOKUP('Données projet'!$B$10,Paramètres!$A$1:$I$89,5,0)</f>
        <v>-5.3471467253984886E-13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493.70175665335978</v>
      </c>
      <c r="AO134" s="62">
        <f t="shared" si="144"/>
        <v>325.12357781685949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293.3333333333353</v>
      </c>
      <c r="BI134" s="62">
        <f ca="1">AVERAGE(OFFSET($BH$3,0,0,'Données projet'!$E$11+1,1))-AVERAGE(OFFSET($H$3,0,0,'Données projet'!$E$11+1,1))</f>
        <v>260.02504691866199</v>
      </c>
      <c r="BJ134" s="62">
        <f t="shared" si="146"/>
        <v>270.11268336406368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1.3541723608094178</v>
      </c>
      <c r="BQ134" s="23">
        <f>EXP(-LN(2)/25)*BQ133+(1-EXP(-LN(2)/25))/(LN(2)/25)*Calculateur!BL134*Calculateur!BN134*VLOOKUP('Données projet'!$B$11,Paramètres!$A$1:$I$89,3,0)*0.475*44/12</f>
        <v>0.99916207099811949</v>
      </c>
      <c r="BR134" s="23">
        <f>EXP(-LN(2)/2)*BR133+(1-EXP(-LN(2)/2))/(LN(2)/2)*BL134*BO134*VLOOKUP('Données projet'!$B$11,Paramètres!$A$1:$I$89,3,0)*0.475*44/12</f>
        <v>3.981729947817872E-15</v>
      </c>
      <c r="BS134" s="24">
        <f t="shared" si="117"/>
        <v>2.3533344318075415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-2.8421709430404007E-13</v>
      </c>
      <c r="O135" s="14">
        <f>N135*VLOOKUP('Données projet'!$B$9,Paramètres!$A$1:$I$89,3,0)*VLOOKUP('Données projet'!$B$9,Paramètres!$A$1:$I$89,5,0)</f>
        <v>-1.69961822393816E-13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287.05726996114242</v>
      </c>
      <c r="T135" s="62">
        <f t="shared" si="142"/>
        <v>229.06617320689003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0.7793196273823535</v>
      </c>
      <c r="AB135" s="23">
        <f>EXP(-LN(2)/2)*AB134+(1-EXP(-LN(2)/2))/(LN(2)/2)*V135*Y135*VLOOKUP('Données projet'!$B$9,Paramètres!$A$1:$I$89,3,0)*0.475*44/12</f>
        <v>2.3371835032850188E-15</v>
      </c>
      <c r="AC135" s="24">
        <f t="shared" si="111"/>
        <v>0.77931962738235583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-5.1159076974727213E-13</v>
      </c>
      <c r="AJ135" s="14">
        <f>AI135*VLOOKUP('Données projet'!$B$10,Paramètres!$A$1:$I$89,3,0)*VLOOKUP('Données projet'!$B$10,Paramètres!$A$1:$I$89,5,0)</f>
        <v>-5.3471467253984886E-13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493.70175665335978</v>
      </c>
      <c r="AO135" s="62">
        <f t="shared" si="144"/>
        <v>325.12357781685949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293.3333333333353</v>
      </c>
      <c r="BI135" s="62">
        <f ca="1">AVERAGE(OFFSET($BH$3,0,0,'Données projet'!$E$11+1,1))-AVERAGE(OFFSET($H$3,0,0,'Données projet'!$E$11+1,1))</f>
        <v>260.02504691866199</v>
      </c>
      <c r="BJ135" s="62">
        <f t="shared" si="146"/>
        <v>270.11268336406368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1.327617866777528</v>
      </c>
      <c r="BQ135" s="23">
        <f>EXP(-LN(2)/25)*BQ134+(1-EXP(-LN(2)/25))/(LN(2)/25)*Calculateur!BL135*Calculateur!BN135*VLOOKUP('Données projet'!$B$11,Paramètres!$A$1:$I$89,3,0)*0.475*44/12</f>
        <v>0.97183993162302618</v>
      </c>
      <c r="BR135" s="23">
        <f>EXP(-LN(2)/2)*BR134+(1-EXP(-LN(2)/2))/(LN(2)/2)*BL135*BO135*VLOOKUP('Données projet'!$B$11,Paramètres!$A$1:$I$89,3,0)*0.475*44/12</f>
        <v>2.8155082469555753E-15</v>
      </c>
      <c r="BS135" s="24">
        <f t="shared" si="117"/>
        <v>2.2994577984005566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-2.8421709430404007E-13</v>
      </c>
      <c r="O136" s="14">
        <f>N136*VLOOKUP('Données projet'!$B$9,Paramètres!$A$1:$I$89,3,0)*VLOOKUP('Données projet'!$B$9,Paramètres!$A$1:$I$89,5,0)</f>
        <v>-1.69961822393816E-13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287.05726996114242</v>
      </c>
      <c r="T136" s="62">
        <f t="shared" si="142"/>
        <v>229.06617320689003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0.75800909118894499</v>
      </c>
      <c r="AB136" s="23">
        <f>EXP(-LN(2)/2)*AB135+(1-EXP(-LN(2)/2))/(LN(2)/2)*V136*Y136*VLOOKUP('Données projet'!$B$9,Paramètres!$A$1:$I$89,3,0)*0.475*44/12</f>
        <v>1.6526383040501684E-15</v>
      </c>
      <c r="AC136" s="24">
        <f t="shared" si="111"/>
        <v>0.75800909118894666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-5.1159076974727213E-13</v>
      </c>
      <c r="AJ136" s="14">
        <f>AI136*VLOOKUP('Données projet'!$B$10,Paramètres!$A$1:$I$89,3,0)*VLOOKUP('Données projet'!$B$10,Paramètres!$A$1:$I$89,5,0)</f>
        <v>-5.3471467253984886E-13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493.70175665335978</v>
      </c>
      <c r="AO136" s="62">
        <f t="shared" si="144"/>
        <v>325.12357781685949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293.3333333333353</v>
      </c>
      <c r="BI136" s="62">
        <f ca="1">AVERAGE(OFFSET($BH$3,0,0,'Données projet'!$E$11+1,1))-AVERAGE(OFFSET($H$3,0,0,'Données projet'!$E$11+1,1))</f>
        <v>260.02504691866199</v>
      </c>
      <c r="BJ136" s="62">
        <f t="shared" si="146"/>
        <v>270.11268336406368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1.3015840901769615</v>
      </c>
      <c r="BQ136" s="23">
        <f>EXP(-LN(2)/25)*BQ135+(1-EXP(-LN(2)/25))/(LN(2)/25)*Calculateur!BL136*Calculateur!BN136*VLOOKUP('Données projet'!$B$11,Paramètres!$A$1:$I$89,3,0)*0.475*44/12</f>
        <v>0.94526491758595366</v>
      </c>
      <c r="BR136" s="23">
        <f>EXP(-LN(2)/2)*BR135+(1-EXP(-LN(2)/2))/(LN(2)/2)*BL136*BO136*VLOOKUP('Données projet'!$B$11,Paramètres!$A$1:$I$89,3,0)*0.475*44/12</f>
        <v>1.990864973908936E-15</v>
      </c>
      <c r="BS136" s="24">
        <f t="shared" si="117"/>
        <v>2.2468490077629171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-2.8421709430404007E-13</v>
      </c>
      <c r="O137" s="14">
        <f>N137*VLOOKUP('Données projet'!$B$9,Paramètres!$A$1:$I$89,3,0)*VLOOKUP('Données projet'!$B$9,Paramètres!$A$1:$I$89,5,0)</f>
        <v>-1.69961822393816E-13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287.05726996114242</v>
      </c>
      <c r="T137" s="62">
        <f t="shared" si="142"/>
        <v>229.06617320689003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0.73728129272841769</v>
      </c>
      <c r="AB137" s="23">
        <f>EXP(-LN(2)/2)*AB136+(1-EXP(-LN(2)/2))/(LN(2)/2)*V137*Y137*VLOOKUP('Données projet'!$B$9,Paramètres!$A$1:$I$89,3,0)*0.475*44/12</f>
        <v>1.1685917516425094E-15</v>
      </c>
      <c r="AC137" s="24">
        <f t="shared" si="111"/>
        <v>0.73728129272841891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-5.1159076974727213E-13</v>
      </c>
      <c r="AJ137" s="14">
        <f>AI137*VLOOKUP('Données projet'!$B$10,Paramètres!$A$1:$I$89,3,0)*VLOOKUP('Données projet'!$B$10,Paramètres!$A$1:$I$89,5,0)</f>
        <v>-5.3471467253984886E-13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493.70175665335978</v>
      </c>
      <c r="AO137" s="62">
        <f t="shared" si="144"/>
        <v>325.12357781685949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293.3333333333353</v>
      </c>
      <c r="BI137" s="62">
        <f ca="1">AVERAGE(OFFSET($BH$3,0,0,'Données projet'!$E$11+1,1))-AVERAGE(OFFSET($H$3,0,0,'Données projet'!$E$11+1,1))</f>
        <v>260.02504691866199</v>
      </c>
      <c r="BJ137" s="62">
        <f t="shared" si="146"/>
        <v>270.11268336406368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1.2760608200564965</v>
      </c>
      <c r="BQ137" s="23">
        <f>EXP(-LN(2)/25)*BQ136+(1-EXP(-LN(2)/25))/(LN(2)/25)*Calculateur!BL137*Calculateur!BN137*VLOOKUP('Données projet'!$B$11,Paramètres!$A$1:$I$89,3,0)*0.475*44/12</f>
        <v>0.91941659870524417</v>
      </c>
      <c r="BR137" s="23">
        <f>EXP(-LN(2)/2)*BR136+(1-EXP(-LN(2)/2))/(LN(2)/2)*BL137*BO137*VLOOKUP('Données projet'!$B$11,Paramètres!$A$1:$I$89,3,0)*0.475*44/12</f>
        <v>1.4077541234777877E-15</v>
      </c>
      <c r="BS137" s="24">
        <f t="shared" si="117"/>
        <v>2.1954774187617421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-2.8421709430404007E-13</v>
      </c>
      <c r="O138" s="14">
        <f>N138*VLOOKUP('Données projet'!$B$9,Paramètres!$A$1:$I$89,3,0)*VLOOKUP('Données projet'!$B$9,Paramètres!$A$1:$I$89,5,0)</f>
        <v>-1.69961822393816E-13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287.05726996114242</v>
      </c>
      <c r="T138" s="62">
        <f t="shared" si="142"/>
        <v>229.06617320689003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0.71712029700682101</v>
      </c>
      <c r="AB138" s="23">
        <f>EXP(-LN(2)/2)*AB137+(1-EXP(-LN(2)/2))/(LN(2)/2)*V138*Y138*VLOOKUP('Données projet'!$B$9,Paramètres!$A$1:$I$89,3,0)*0.475*44/12</f>
        <v>8.2631915202508418E-16</v>
      </c>
      <c r="AC138" s="24">
        <f t="shared" si="111"/>
        <v>0.71712029700682178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-5.1159076974727213E-13</v>
      </c>
      <c r="AJ138" s="14">
        <f>AI138*VLOOKUP('Données projet'!$B$10,Paramètres!$A$1:$I$89,3,0)*VLOOKUP('Données projet'!$B$10,Paramètres!$A$1:$I$89,5,0)</f>
        <v>-5.3471467253984886E-13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493.70175665335978</v>
      </c>
      <c r="AO138" s="62">
        <f t="shared" si="144"/>
        <v>325.12357781685949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293.3333333333353</v>
      </c>
      <c r="BI138" s="62">
        <f ca="1">AVERAGE(OFFSET($BH$3,0,0,'Données projet'!$E$11+1,1))-AVERAGE(OFFSET($H$3,0,0,'Données projet'!$E$11+1,1))</f>
        <v>260.02504691866199</v>
      </c>
      <c r="BJ138" s="62">
        <f t="shared" si="146"/>
        <v>270.11268336406368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1.251038045695436</v>
      </c>
      <c r="BQ138" s="23">
        <f>EXP(-LN(2)/25)*BQ137+(1-EXP(-LN(2)/25))/(LN(2)/25)*Calculateur!BL138*Calculateur!BN138*VLOOKUP('Données projet'!$B$11,Paramètres!$A$1:$I$89,3,0)*0.475*44/12</f>
        <v>0.8942751034636317</v>
      </c>
      <c r="BR138" s="23">
        <f>EXP(-LN(2)/2)*BR137+(1-EXP(-LN(2)/2))/(LN(2)/2)*BL138*BO138*VLOOKUP('Données projet'!$B$11,Paramètres!$A$1:$I$89,3,0)*0.475*44/12</f>
        <v>9.9543248695446801E-16</v>
      </c>
      <c r="BS138" s="24">
        <f t="shared" si="117"/>
        <v>2.1453131491590685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-2.8421709430404007E-13</v>
      </c>
      <c r="O139" s="14">
        <f>N139*VLOOKUP('Données projet'!$B$9,Paramètres!$A$1:$I$89,3,0)*VLOOKUP('Données projet'!$B$9,Paramètres!$A$1:$I$89,5,0)</f>
        <v>-1.69961822393816E-13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287.05726996114242</v>
      </c>
      <c r="T139" s="62">
        <f t="shared" si="142"/>
        <v>229.06617320689003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0.69751060477345206</v>
      </c>
      <c r="AB139" s="23">
        <f>EXP(-LN(2)/2)*AB138+(1-EXP(-LN(2)/2))/(LN(2)/2)*V139*Y139*VLOOKUP('Données projet'!$B$9,Paramètres!$A$1:$I$89,3,0)*0.475*44/12</f>
        <v>5.8429587582125469E-16</v>
      </c>
      <c r="AC139" s="24">
        <f t="shared" si="111"/>
        <v>0.69751060477345261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-5.1159076974727213E-13</v>
      </c>
      <c r="AJ139" s="14">
        <f>AI139*VLOOKUP('Données projet'!$B$10,Paramètres!$A$1:$I$89,3,0)*VLOOKUP('Données projet'!$B$10,Paramètres!$A$1:$I$89,5,0)</f>
        <v>-5.3471467253984886E-13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493.70175665335978</v>
      </c>
      <c r="AO139" s="62">
        <f t="shared" si="144"/>
        <v>325.12357781685949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293.3333333333353</v>
      </c>
      <c r="BI139" s="62">
        <f ca="1">AVERAGE(OFFSET($BH$3,0,0,'Données projet'!$E$11+1,1))-AVERAGE(OFFSET($H$3,0,0,'Données projet'!$E$11+1,1))</f>
        <v>260.02504691866199</v>
      </c>
      <c r="BJ139" s="62">
        <f t="shared" si="146"/>
        <v>270.11268336406368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1.2265059526772106</v>
      </c>
      <c r="BQ139" s="23">
        <f>EXP(-LN(2)/25)*BQ138+(1-EXP(-LN(2)/25))/(LN(2)/25)*Calculateur!BL139*Calculateur!BN139*VLOOKUP('Données projet'!$B$11,Paramètres!$A$1:$I$89,3,0)*0.475*44/12</f>
        <v>0.86982110373153487</v>
      </c>
      <c r="BR139" s="23">
        <f>EXP(-LN(2)/2)*BR138+(1-EXP(-LN(2)/2))/(LN(2)/2)*BL139*BO139*VLOOKUP('Données projet'!$B$11,Paramètres!$A$1:$I$89,3,0)*0.475*44/12</f>
        <v>7.0387706173889383E-16</v>
      </c>
      <c r="BS139" s="24">
        <f t="shared" si="117"/>
        <v>2.0963270564087466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-2.8421709430404007E-13</v>
      </c>
      <c r="O140" s="14">
        <f>N140*VLOOKUP('Données projet'!$B$9,Paramètres!$A$1:$I$89,3,0)*VLOOKUP('Données projet'!$B$9,Paramètres!$A$1:$I$89,5,0)</f>
        <v>-1.69961822393816E-13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287.05726996114242</v>
      </c>
      <c r="T140" s="62">
        <f t="shared" si="142"/>
        <v>229.06617320689003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0.67843714060543348</v>
      </c>
      <c r="AB140" s="23">
        <f>EXP(-LN(2)/2)*AB139+(1-EXP(-LN(2)/2))/(LN(2)/2)*V140*Y140*VLOOKUP('Données projet'!$B$9,Paramètres!$A$1:$I$89,3,0)*0.475*44/12</f>
        <v>4.1315957601254209E-16</v>
      </c>
      <c r="AC140" s="24">
        <f t="shared" si="111"/>
        <v>0.67843714060543392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-5.1159076974727213E-13</v>
      </c>
      <c r="AJ140" s="14">
        <f>AI140*VLOOKUP('Données projet'!$B$10,Paramètres!$A$1:$I$89,3,0)*VLOOKUP('Données projet'!$B$10,Paramètres!$A$1:$I$89,5,0)</f>
        <v>-5.3471467253984886E-13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493.70175665335978</v>
      </c>
      <c r="AO140" s="62">
        <f t="shared" si="144"/>
        <v>325.12357781685949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293.3333333333353</v>
      </c>
      <c r="BI140" s="62">
        <f ca="1">AVERAGE(OFFSET($BH$3,0,0,'Données projet'!$E$11+1,1))-AVERAGE(OFFSET($H$3,0,0,'Données projet'!$E$11+1,1))</f>
        <v>260.02504691866199</v>
      </c>
      <c r="BJ140" s="62">
        <f t="shared" si="146"/>
        <v>270.11268336406368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1.2024549190399734</v>
      </c>
      <c r="BQ140" s="23">
        <f>EXP(-LN(2)/25)*BQ139+(1-EXP(-LN(2)/25))/(LN(2)/25)*Calculateur!BL140*Calculateur!BN140*VLOOKUP('Données projet'!$B$11,Paramètres!$A$1:$I$89,3,0)*0.475*44/12</f>
        <v>0.84603579990809219</v>
      </c>
      <c r="BR140" s="23">
        <f>EXP(-LN(2)/2)*BR139+(1-EXP(-LN(2)/2))/(LN(2)/2)*BL140*BO140*VLOOKUP('Données projet'!$B$11,Paramètres!$A$1:$I$89,3,0)*0.475*44/12</f>
        <v>4.97716243477234E-16</v>
      </c>
      <c r="BS140" s="24">
        <f t="shared" si="117"/>
        <v>2.0484907189480661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-2.8421709430404007E-13</v>
      </c>
      <c r="O141" s="14">
        <f>N141*VLOOKUP('Données projet'!$B$9,Paramètres!$A$1:$I$89,3,0)*VLOOKUP('Données projet'!$B$9,Paramètres!$A$1:$I$89,5,0)</f>
        <v>-1.69961822393816E-13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287.05726996114242</v>
      </c>
      <c r="T141" s="62">
        <f t="shared" si="142"/>
        <v>229.06617320689003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0.65988524131811921</v>
      </c>
      <c r="AB141" s="23">
        <f>EXP(-LN(2)/2)*AB140+(1-EXP(-LN(2)/2))/(LN(2)/2)*V141*Y141*VLOOKUP('Données projet'!$B$9,Paramètres!$A$1:$I$89,3,0)*0.475*44/12</f>
        <v>2.9214793791062735E-16</v>
      </c>
      <c r="AC141" s="24">
        <f t="shared" si="111"/>
        <v>0.65988524131811954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-5.1159076974727213E-13</v>
      </c>
      <c r="AJ141" s="14">
        <f>AI141*VLOOKUP('Données projet'!$B$10,Paramètres!$A$1:$I$89,3,0)*VLOOKUP('Données projet'!$B$10,Paramètres!$A$1:$I$89,5,0)</f>
        <v>-5.3471467253984886E-13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493.70175665335978</v>
      </c>
      <c r="AO141" s="62">
        <f t="shared" si="144"/>
        <v>325.12357781685949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293.3333333333353</v>
      </c>
      <c r="BI141" s="62">
        <f ca="1">AVERAGE(OFFSET($BH$3,0,0,'Données projet'!$E$11+1,1))-AVERAGE(OFFSET($H$3,0,0,'Données projet'!$E$11+1,1))</f>
        <v>260.02504691866199</v>
      </c>
      <c r="BJ141" s="62">
        <f t="shared" si="146"/>
        <v>270.11268336406368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1.1788755115026803</v>
      </c>
      <c r="BQ141" s="23">
        <f>EXP(-LN(2)/25)*BQ140+(1-EXP(-LN(2)/25))/(LN(2)/25)*Calculateur!BL141*Calculateur!BN141*VLOOKUP('Données projet'!$B$11,Paramètres!$A$1:$I$89,3,0)*0.475*44/12</f>
        <v>0.82290090646851632</v>
      </c>
      <c r="BR141" s="23">
        <f>EXP(-LN(2)/2)*BR140+(1-EXP(-LN(2)/2))/(LN(2)/2)*BL141*BO141*VLOOKUP('Données projet'!$B$11,Paramètres!$A$1:$I$89,3,0)*0.475*44/12</f>
        <v>3.5193853086944692E-16</v>
      </c>
      <c r="BS141" s="24">
        <f t="shared" si="117"/>
        <v>2.0017764179711972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-2.8421709430404007E-13</v>
      </c>
      <c r="O142" s="14">
        <f>N142*VLOOKUP('Données projet'!$B$9,Paramètres!$A$1:$I$89,3,0)*VLOOKUP('Données projet'!$B$9,Paramètres!$A$1:$I$89,5,0)</f>
        <v>-1.69961822393816E-13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287.05726996114242</v>
      </c>
      <c r="T142" s="62">
        <f t="shared" si="142"/>
        <v>229.06617320689003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0.64184064469241864</v>
      </c>
      <c r="AB142" s="23">
        <f>EXP(-LN(2)/2)*AB141+(1-EXP(-LN(2)/2))/(LN(2)/2)*V142*Y142*VLOOKUP('Données projet'!$B$9,Paramètres!$A$1:$I$89,3,0)*0.475*44/12</f>
        <v>2.0657978800627104E-16</v>
      </c>
      <c r="AC142" s="24">
        <f t="shared" si="111"/>
        <v>0.64184064469241886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-5.1159076974727213E-13</v>
      </c>
      <c r="AJ142" s="14">
        <f>AI142*VLOOKUP('Données projet'!$B$10,Paramètres!$A$1:$I$89,3,0)*VLOOKUP('Données projet'!$B$10,Paramètres!$A$1:$I$89,5,0)</f>
        <v>-5.3471467253984886E-13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493.70175665335978</v>
      </c>
      <c r="AO142" s="62">
        <f t="shared" si="144"/>
        <v>325.12357781685949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293.3333333333353</v>
      </c>
      <c r="BI142" s="62">
        <f ca="1">AVERAGE(OFFSET($BH$3,0,0,'Données projet'!$E$11+1,1))-AVERAGE(OFFSET($H$3,0,0,'Données projet'!$E$11+1,1))</f>
        <v>260.02504691866199</v>
      </c>
      <c r="BJ142" s="62">
        <f t="shared" si="146"/>
        <v>270.11268336406368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1.1557584817651751</v>
      </c>
      <c r="BQ142" s="23">
        <f>EXP(-LN(2)/25)*BQ141+(1-EXP(-LN(2)/25))/(LN(2)/25)*Calculateur!BL142*Calculateur!BN142*VLOOKUP('Données projet'!$B$11,Paramètres!$A$1:$I$89,3,0)*0.475*44/12</f>
        <v>0.80039863790665688</v>
      </c>
      <c r="BR142" s="23">
        <f>EXP(-LN(2)/2)*BR141+(1-EXP(-LN(2)/2))/(LN(2)/2)*BL142*BO142*VLOOKUP('Données projet'!$B$11,Paramètres!$A$1:$I$89,3,0)*0.475*44/12</f>
        <v>2.48858121738617E-16</v>
      </c>
      <c r="BS142" s="24">
        <f t="shared" si="117"/>
        <v>1.9561571196718324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-2.8421709430404007E-13</v>
      </c>
      <c r="O143" s="14">
        <f>N143*VLOOKUP('Données projet'!$B$9,Paramètres!$A$1:$I$89,3,0)*VLOOKUP('Données projet'!$B$9,Paramètres!$A$1:$I$89,5,0)</f>
        <v>-1.69961822393816E-13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287.05726996114242</v>
      </c>
      <c r="T143" s="62">
        <f t="shared" si="142"/>
        <v>229.06617320689003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0.62428947851037186</v>
      </c>
      <c r="AB143" s="23">
        <f>EXP(-LN(2)/2)*AB142+(1-EXP(-LN(2)/2))/(LN(2)/2)*V143*Y143*VLOOKUP('Données projet'!$B$9,Paramètres!$A$1:$I$89,3,0)*0.475*44/12</f>
        <v>1.4607396895531367E-16</v>
      </c>
      <c r="AC143" s="24">
        <f t="shared" si="111"/>
        <v>0.62428947851037198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-5.1159076974727213E-13</v>
      </c>
      <c r="AJ143" s="14">
        <f>AI143*VLOOKUP('Données projet'!$B$10,Paramètres!$A$1:$I$89,3,0)*VLOOKUP('Données projet'!$B$10,Paramètres!$A$1:$I$89,5,0)</f>
        <v>-5.3471467253984886E-13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493.70175665335978</v>
      </c>
      <c r="AO143" s="62">
        <f t="shared" si="144"/>
        <v>325.12357781685949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293.3333333333353</v>
      </c>
      <c r="BI143" s="62">
        <f ca="1">AVERAGE(OFFSET($BH$3,0,0,'Données projet'!$E$11+1,1))-AVERAGE(OFFSET($H$3,0,0,'Données projet'!$E$11+1,1))</f>
        <v>260.02504691866199</v>
      </c>
      <c r="BJ143" s="62">
        <f t="shared" si="146"/>
        <v>270.11268336406368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1.1330947628808266</v>
      </c>
      <c r="BQ143" s="23">
        <f>EXP(-LN(2)/25)*BQ142+(1-EXP(-LN(2)/25))/(LN(2)/25)*Calculateur!BL143*Calculateur!BN143*VLOOKUP('Données projet'!$B$11,Paramètres!$A$1:$I$89,3,0)*0.475*44/12</f>
        <v>0.77851169506196427</v>
      </c>
      <c r="BR143" s="23">
        <f>EXP(-LN(2)/2)*BR142+(1-EXP(-LN(2)/2))/(LN(2)/2)*BL143*BO143*VLOOKUP('Données projet'!$B$11,Paramètres!$A$1:$I$89,3,0)*0.475*44/12</f>
        <v>1.7596926543472346E-16</v>
      </c>
      <c r="BS143" s="24">
        <f t="shared" si="117"/>
        <v>1.9116064579427909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-2.8421709430404007E-13</v>
      </c>
      <c r="O144" s="14">
        <f>N144*VLOOKUP('Données projet'!$B$9,Paramètres!$A$1:$I$89,3,0)*VLOOKUP('Données projet'!$B$9,Paramètres!$A$1:$I$89,5,0)</f>
        <v>-1.69961822393816E-13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287.05726996114242</v>
      </c>
      <c r="T144" s="62">
        <f t="shared" si="142"/>
        <v>229.06617320689003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0.60721824989054896</v>
      </c>
      <c r="AB144" s="23">
        <f>EXP(-LN(2)/2)*AB143+(1-EXP(-LN(2)/2))/(LN(2)/2)*V144*Y144*VLOOKUP('Données projet'!$B$9,Paramètres!$A$1:$I$89,3,0)*0.475*44/12</f>
        <v>1.0328989400313552E-16</v>
      </c>
      <c r="AC144" s="24">
        <f t="shared" si="111"/>
        <v>0.60721824989054907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-5.1159076974727213E-13</v>
      </c>
      <c r="AJ144" s="14">
        <f>AI144*VLOOKUP('Données projet'!$B$10,Paramètres!$A$1:$I$89,3,0)*VLOOKUP('Données projet'!$B$10,Paramètres!$A$1:$I$89,5,0)</f>
        <v>-5.3471467253984886E-13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493.70175665335978</v>
      </c>
      <c r="AO144" s="62">
        <f t="shared" si="144"/>
        <v>325.12357781685949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293.3333333333353</v>
      </c>
      <c r="BI144" s="62">
        <f ca="1">AVERAGE(OFFSET($BH$3,0,0,'Données projet'!$E$11+1,1))-AVERAGE(OFFSET($H$3,0,0,'Données projet'!$E$11+1,1))</f>
        <v>260.02504691866199</v>
      </c>
      <c r="BJ144" s="62">
        <f t="shared" si="146"/>
        <v>270.11268336406368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1.1108754657002966</v>
      </c>
      <c r="BQ144" s="23">
        <f>EXP(-LN(2)/25)*BQ143+(1-EXP(-LN(2)/25))/(LN(2)/25)*Calculateur!BL144*Calculateur!BN144*VLOOKUP('Données projet'!$B$11,Paramètres!$A$1:$I$89,3,0)*0.475*44/12</f>
        <v>0.75722325182034411</v>
      </c>
      <c r="BR144" s="23">
        <f>EXP(-LN(2)/2)*BR143+(1-EXP(-LN(2)/2))/(LN(2)/2)*BL144*BO144*VLOOKUP('Données projet'!$B$11,Paramètres!$A$1:$I$89,3,0)*0.475*44/12</f>
        <v>1.244290608693085E-16</v>
      </c>
      <c r="BS144" s="24">
        <f t="shared" si="117"/>
        <v>1.8680987175206409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-2.8421709430404007E-13</v>
      </c>
      <c r="O145" s="14">
        <f>N145*VLOOKUP('Données projet'!$B$9,Paramètres!$A$1:$I$89,3,0)*VLOOKUP('Données projet'!$B$9,Paramètres!$A$1:$I$89,5,0)</f>
        <v>-1.69961822393816E-13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287.05726996114242</v>
      </c>
      <c r="T145" s="62">
        <f t="shared" si="142"/>
        <v>229.06617320689003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0.59061383491507191</v>
      </c>
      <c r="AB145" s="23">
        <f>EXP(-LN(2)/2)*AB144+(1-EXP(-LN(2)/2))/(LN(2)/2)*V145*Y145*VLOOKUP('Données projet'!$B$9,Paramètres!$A$1:$I$89,3,0)*0.475*44/12</f>
        <v>7.3036984477656836E-17</v>
      </c>
      <c r="AC145" s="24">
        <f t="shared" si="111"/>
        <v>0.59061383491507202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-5.1159076974727213E-13</v>
      </c>
      <c r="AJ145" s="14">
        <f>AI145*VLOOKUP('Données projet'!$B$10,Paramètres!$A$1:$I$89,3,0)*VLOOKUP('Données projet'!$B$10,Paramètres!$A$1:$I$89,5,0)</f>
        <v>-5.3471467253984886E-13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493.70175665335978</v>
      </c>
      <c r="AO145" s="62">
        <f t="shared" si="144"/>
        <v>325.12357781685949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293.3333333333353</v>
      </c>
      <c r="BI145" s="62">
        <f ca="1">AVERAGE(OFFSET($BH$3,0,0,'Données projet'!$E$11+1,1))-AVERAGE(OFFSET($H$3,0,0,'Données projet'!$E$11+1,1))</f>
        <v>260.02504691866199</v>
      </c>
      <c r="BJ145" s="62">
        <f t="shared" si="146"/>
        <v>270.11268336406368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1.0890918753850436</v>
      </c>
      <c r="BQ145" s="23">
        <f>EXP(-LN(2)/25)*BQ144+(1-EXP(-LN(2)/25))/(LN(2)/25)*Calculateur!BL145*Calculateur!BN145*VLOOKUP('Données projet'!$B$11,Paramètres!$A$1:$I$89,3,0)*0.475*44/12</f>
        <v>0.73651694217867669</v>
      </c>
      <c r="BR145" s="23">
        <f>EXP(-LN(2)/2)*BR144+(1-EXP(-LN(2)/2))/(LN(2)/2)*BL145*BO145*VLOOKUP('Données projet'!$B$11,Paramètres!$A$1:$I$89,3,0)*0.475*44/12</f>
        <v>8.7984632717361729E-17</v>
      </c>
      <c r="BS145" s="24">
        <f t="shared" si="117"/>
        <v>1.8256088175637202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-2.8421709430404007E-13</v>
      </c>
      <c r="O146" s="14">
        <f>N146*VLOOKUP('Données projet'!$B$9,Paramètres!$A$1:$I$89,3,0)*VLOOKUP('Données projet'!$B$9,Paramètres!$A$1:$I$89,5,0)</f>
        <v>-1.69961822393816E-13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287.05726996114242</v>
      </c>
      <c r="T146" s="62">
        <f t="shared" si="142"/>
        <v>229.06617320689003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0.57446346854028751</v>
      </c>
      <c r="AB146" s="23">
        <f>EXP(-LN(2)/2)*AB145+(1-EXP(-LN(2)/2))/(LN(2)/2)*V146*Y146*VLOOKUP('Données projet'!$B$9,Paramètres!$A$1:$I$89,3,0)*0.475*44/12</f>
        <v>5.1644947001567761E-17</v>
      </c>
      <c r="AC146" s="24">
        <f t="shared" si="111"/>
        <v>0.57446346854028751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-5.1159076974727213E-13</v>
      </c>
      <c r="AJ146" s="14">
        <f>AI146*VLOOKUP('Données projet'!$B$10,Paramètres!$A$1:$I$89,3,0)*VLOOKUP('Données projet'!$B$10,Paramètres!$A$1:$I$89,5,0)</f>
        <v>-5.3471467253984886E-13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493.70175665335978</v>
      </c>
      <c r="AO146" s="62">
        <f t="shared" si="144"/>
        <v>325.12357781685949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293.3333333333353</v>
      </c>
      <c r="BI146" s="62">
        <f ca="1">AVERAGE(OFFSET($BH$3,0,0,'Données projet'!$E$11+1,1))-AVERAGE(OFFSET($H$3,0,0,'Données projet'!$E$11+1,1))</f>
        <v>260.02504691866199</v>
      </c>
      <c r="BJ146" s="62">
        <f t="shared" si="146"/>
        <v>270.11268336406368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1.0677354479891947</v>
      </c>
      <c r="BQ146" s="23">
        <f>EXP(-LN(2)/25)*BQ145+(1-EXP(-LN(2)/25))/(LN(2)/25)*Calculateur!BL146*Calculateur!BN146*VLOOKUP('Données projet'!$B$11,Paramètres!$A$1:$I$89,3,0)*0.475*44/12</f>
        <v>0.71637684766305809</v>
      </c>
      <c r="BR146" s="23">
        <f>EXP(-LN(2)/2)*BR145+(1-EXP(-LN(2)/2))/(LN(2)/2)*BL146*BO146*VLOOKUP('Données projet'!$B$11,Paramètres!$A$1:$I$89,3,0)*0.475*44/12</f>
        <v>6.221453043465425E-17</v>
      </c>
      <c r="BS146" s="24">
        <f t="shared" si="117"/>
        <v>1.7841122956522528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-2.8421709430404007E-13</v>
      </c>
      <c r="O147" s="14">
        <f>N147*VLOOKUP('Données projet'!$B$9,Paramètres!$A$1:$I$89,3,0)*VLOOKUP('Données projet'!$B$9,Paramètres!$A$1:$I$89,5,0)</f>
        <v>-1.69961822393816E-13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287.05726996114242</v>
      </c>
      <c r="T147" s="62">
        <f t="shared" si="142"/>
        <v>229.06617320689003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0.55875473478333249</v>
      </c>
      <c r="AB147" s="23">
        <f>EXP(-LN(2)/2)*AB146+(1-EXP(-LN(2)/2))/(LN(2)/2)*V147*Y147*VLOOKUP('Données projet'!$B$9,Paramètres!$A$1:$I$89,3,0)*0.475*44/12</f>
        <v>3.6518492238828418E-17</v>
      </c>
      <c r="AC147" s="24">
        <f t="shared" si="111"/>
        <v>0.55875473478333249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-5.1159076974727213E-13</v>
      </c>
      <c r="AJ147" s="14">
        <f>AI147*VLOOKUP('Données projet'!$B$10,Paramètres!$A$1:$I$89,3,0)*VLOOKUP('Données projet'!$B$10,Paramètres!$A$1:$I$89,5,0)</f>
        <v>-5.3471467253984886E-13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493.70175665335978</v>
      </c>
      <c r="AO147" s="62">
        <f t="shared" si="144"/>
        <v>325.12357781685949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293.3333333333353</v>
      </c>
      <c r="BI147" s="62">
        <f ca="1">AVERAGE(OFFSET($BH$3,0,0,'Données projet'!$E$11+1,1))-AVERAGE(OFFSET($H$3,0,0,'Données projet'!$E$11+1,1))</f>
        <v>260.02504691866199</v>
      </c>
      <c r="BJ147" s="62">
        <f t="shared" si="146"/>
        <v>270.11268336406368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1.0467978071084438</v>
      </c>
      <c r="BQ147" s="23">
        <f>EXP(-LN(2)/25)*BQ146+(1-EXP(-LN(2)/25))/(LN(2)/25)*Calculateur!BL147*Calculateur!BN147*VLOOKUP('Données projet'!$B$11,Paramètres!$A$1:$I$89,3,0)*0.475*44/12</f>
        <v>0.69678748509109067</v>
      </c>
      <c r="BR147" s="23">
        <f>EXP(-LN(2)/2)*BR146+(1-EXP(-LN(2)/2))/(LN(2)/2)*BL147*BO147*VLOOKUP('Données projet'!$B$11,Paramètres!$A$1:$I$89,3,0)*0.475*44/12</f>
        <v>4.3992316358680865E-17</v>
      </c>
      <c r="BS147" s="24">
        <f t="shared" si="117"/>
        <v>1.7435852921995345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-2.8421709430404007E-13</v>
      </c>
      <c r="O148" s="14">
        <f>N148*VLOOKUP('Données projet'!$B$9,Paramètres!$A$1:$I$89,3,0)*VLOOKUP('Données projet'!$B$9,Paramètres!$A$1:$I$89,5,0)</f>
        <v>-1.69961822393816E-13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287.05726996114242</v>
      </c>
      <c r="T148" s="62">
        <f t="shared" si="142"/>
        <v>229.06617320689003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0.54347555717704776</v>
      </c>
      <c r="AB148" s="23">
        <f>EXP(-LN(2)/2)*AB147+(1-EXP(-LN(2)/2))/(LN(2)/2)*V148*Y148*VLOOKUP('Données projet'!$B$9,Paramètres!$A$1:$I$89,3,0)*0.475*44/12</f>
        <v>2.5822473500783881E-17</v>
      </c>
      <c r="AC148" s="24">
        <f t="shared" si="111"/>
        <v>0.54347555717704776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-5.1159076974727213E-13</v>
      </c>
      <c r="AJ148" s="14">
        <f>AI148*VLOOKUP('Données projet'!$B$10,Paramètres!$A$1:$I$89,3,0)*VLOOKUP('Données projet'!$B$10,Paramètres!$A$1:$I$89,5,0)</f>
        <v>-5.3471467253984886E-13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493.70175665335978</v>
      </c>
      <c r="AO148" s="62">
        <f t="shared" si="144"/>
        <v>325.12357781685949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293.3333333333353</v>
      </c>
      <c r="BI148" s="62">
        <f ca="1">AVERAGE(OFFSET($BH$3,0,0,'Données projet'!$E$11+1,1))-AVERAGE(OFFSET($H$3,0,0,'Données projet'!$E$11+1,1))</f>
        <v>260.02504691866199</v>
      </c>
      <c r="BJ148" s="62">
        <f t="shared" si="146"/>
        <v>270.11268336406368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1.0262707405946645</v>
      </c>
      <c r="BQ148" s="23">
        <f>EXP(-LN(2)/25)*BQ147+(1-EXP(-LN(2)/25))/(LN(2)/25)*Calculateur!BL148*Calculateur!BN148*VLOOKUP('Données projet'!$B$11,Paramètres!$A$1:$I$89,3,0)*0.475*44/12</f>
        <v>0.67773379466881345</v>
      </c>
      <c r="BR148" s="23">
        <f>EXP(-LN(2)/2)*BR147+(1-EXP(-LN(2)/2))/(LN(2)/2)*BL148*BO148*VLOOKUP('Données projet'!$B$11,Paramètres!$A$1:$I$89,3,0)*0.475*44/12</f>
        <v>3.1107265217327125E-17</v>
      </c>
      <c r="BS148" s="24">
        <f t="shared" si="117"/>
        <v>1.7040045352634778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-2.8421709430404007E-13</v>
      </c>
      <c r="O149" s="14">
        <f>N149*VLOOKUP('Données projet'!$B$9,Paramètres!$A$1:$I$89,3,0)*VLOOKUP('Données projet'!$B$9,Paramètres!$A$1:$I$89,5,0)</f>
        <v>-1.69961822393816E-13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287.05726996114242</v>
      </c>
      <c r="T149" s="62">
        <f t="shared" si="142"/>
        <v>229.06617320689003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0.528614189485904</v>
      </c>
      <c r="AB149" s="23">
        <f>EXP(-LN(2)/2)*AB148+(1-EXP(-LN(2)/2))/(LN(2)/2)*V149*Y149*VLOOKUP('Données projet'!$B$9,Paramètres!$A$1:$I$89,3,0)*0.475*44/12</f>
        <v>1.8259246119414209E-17</v>
      </c>
      <c r="AC149" s="24">
        <f t="shared" si="111"/>
        <v>0.528614189485904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-5.1159076974727213E-13</v>
      </c>
      <c r="AJ149" s="14">
        <f>AI149*VLOOKUP('Données projet'!$B$10,Paramètres!$A$1:$I$89,3,0)*VLOOKUP('Données projet'!$B$10,Paramètres!$A$1:$I$89,5,0)</f>
        <v>-5.3471467253984886E-13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493.70175665335978</v>
      </c>
      <c r="AO149" s="62">
        <f t="shared" si="144"/>
        <v>325.12357781685949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293.3333333333353</v>
      </c>
      <c r="BI149" s="62">
        <f ca="1">AVERAGE(OFFSET($BH$3,0,0,'Données projet'!$E$11+1,1))-AVERAGE(OFFSET($H$3,0,0,'Données projet'!$E$11+1,1))</f>
        <v>260.02504691866199</v>
      </c>
      <c r="BJ149" s="62">
        <f t="shared" si="146"/>
        <v>270.11268336406368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1.0061461973349461</v>
      </c>
      <c r="BQ149" s="23">
        <f>EXP(-LN(2)/25)*BQ148+(1-EXP(-LN(2)/25))/(LN(2)/25)*Calculateur!BL149*Calculateur!BN149*VLOOKUP('Données projet'!$B$11,Paramètres!$A$1:$I$89,3,0)*0.475*44/12</f>
        <v>0.6592011284131235</v>
      </c>
      <c r="BR149" s="23">
        <f>EXP(-LN(2)/2)*BR148+(1-EXP(-LN(2)/2))/(LN(2)/2)*BL149*BO149*VLOOKUP('Données projet'!$B$11,Paramètres!$A$1:$I$89,3,0)*0.475*44/12</f>
        <v>2.1996158179340432E-17</v>
      </c>
      <c r="BS149" s="24">
        <f t="shared" si="117"/>
        <v>1.6653473257480695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-2.8421709430404007E-13</v>
      </c>
      <c r="O150" s="14">
        <f>N150*VLOOKUP('Données projet'!$B$9,Paramètres!$A$1:$I$89,3,0)*VLOOKUP('Données projet'!$B$9,Paramètres!$A$1:$I$89,5,0)</f>
        <v>-1.69961822393816E-13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287.05726996114242</v>
      </c>
      <c r="T150" s="62">
        <f t="shared" si="142"/>
        <v>229.06617320689003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0.51415920667579984</v>
      </c>
      <c r="AB150" s="23">
        <f>EXP(-LN(2)/2)*AB149+(1-EXP(-LN(2)/2))/(LN(2)/2)*V150*Y150*VLOOKUP('Données projet'!$B$9,Paramètres!$A$1:$I$89,3,0)*0.475*44/12</f>
        <v>1.291123675039194E-17</v>
      </c>
      <c r="AC150" s="24">
        <f t="shared" si="111"/>
        <v>0.51415920667579984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-5.1159076974727213E-13</v>
      </c>
      <c r="AJ150" s="14">
        <f>AI150*VLOOKUP('Données projet'!$B$10,Paramètres!$A$1:$I$89,3,0)*VLOOKUP('Données projet'!$B$10,Paramètres!$A$1:$I$89,5,0)</f>
        <v>-5.3471467253984886E-13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493.70175665335978</v>
      </c>
      <c r="AO150" s="62">
        <f t="shared" si="144"/>
        <v>325.12357781685949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293.3333333333353</v>
      </c>
      <c r="BI150" s="62">
        <f ca="1">AVERAGE(OFFSET($BH$3,0,0,'Données projet'!$E$11+1,1))-AVERAGE(OFFSET($H$3,0,0,'Données projet'!$E$11+1,1))</f>
        <v>260.02504691866199</v>
      </c>
      <c r="BJ150" s="62">
        <f t="shared" si="146"/>
        <v>270.11268336406368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0.98641628409379156</v>
      </c>
      <c r="BQ150" s="23">
        <f>EXP(-LN(2)/25)*BQ149+(1-EXP(-LN(2)/25))/(LN(2)/25)*Calculateur!BL150*Calculateur!BN150*VLOOKUP('Données projet'!$B$11,Paramètres!$A$1:$I$89,3,0)*0.475*44/12</f>
        <v>0.64117523889078587</v>
      </c>
      <c r="BR150" s="23">
        <f>EXP(-LN(2)/2)*BR149+(1-EXP(-LN(2)/2))/(LN(2)/2)*BL150*BO150*VLOOKUP('Données projet'!$B$11,Paramètres!$A$1:$I$89,3,0)*0.475*44/12</f>
        <v>1.5553632608663563E-17</v>
      </c>
      <c r="BS150" s="24">
        <f t="shared" si="117"/>
        <v>1.6275915229845774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-2.8421709430404007E-13</v>
      </c>
      <c r="O151" s="14">
        <f>N151*VLOOKUP('Données projet'!$B$9,Paramètres!$A$1:$I$89,3,0)*VLOOKUP('Données projet'!$B$9,Paramètres!$A$1:$I$89,5,0)</f>
        <v>-1.69961822393816E-13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287.05726996114242</v>
      </c>
      <c r="T151" s="62">
        <f t="shared" si="142"/>
        <v>229.06617320689003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0.50009949613079252</v>
      </c>
      <c r="AB151" s="23">
        <f>EXP(-LN(2)/2)*AB150+(1-EXP(-LN(2)/2))/(LN(2)/2)*V151*Y151*VLOOKUP('Données projet'!$B$9,Paramètres!$A$1:$I$89,3,0)*0.475*44/12</f>
        <v>9.1296230597071045E-18</v>
      </c>
      <c r="AC151" s="24">
        <f t="shared" si="111"/>
        <v>0.50009949613079252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-5.1159076974727213E-13</v>
      </c>
      <c r="AJ151" s="14">
        <f>AI151*VLOOKUP('Données projet'!$B$10,Paramètres!$A$1:$I$89,3,0)*VLOOKUP('Données projet'!$B$10,Paramètres!$A$1:$I$89,5,0)</f>
        <v>-5.3471467253984886E-13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493.70175665335978</v>
      </c>
      <c r="AO151" s="62">
        <f t="shared" si="144"/>
        <v>325.12357781685949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293.3333333333353</v>
      </c>
      <c r="BI151" s="62">
        <f ca="1">AVERAGE(OFFSET($BH$3,0,0,'Données projet'!$E$11+1,1))-AVERAGE(OFFSET($H$3,0,0,'Données projet'!$E$11+1,1))</f>
        <v>260.02504691866199</v>
      </c>
      <c r="BJ151" s="62">
        <f t="shared" si="146"/>
        <v>270.11268336406368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0.96707326241723712</v>
      </c>
      <c r="BQ151" s="23">
        <f>EXP(-LN(2)/25)*BQ150+(1-EXP(-LN(2)/25))/(LN(2)/25)*Calculateur!BL151*Calculateur!BN151*VLOOKUP('Données projet'!$B$11,Paramètres!$A$1:$I$89,3,0)*0.475*44/12</f>
        <v>0.62364226826537694</v>
      </c>
      <c r="BR151" s="23">
        <f>EXP(-LN(2)/2)*BR150+(1-EXP(-LN(2)/2))/(LN(2)/2)*BL151*BO151*VLOOKUP('Données projet'!$B$11,Paramètres!$A$1:$I$89,3,0)*0.475*44/12</f>
        <v>1.0998079089670216E-17</v>
      </c>
      <c r="BS151" s="24">
        <f t="shared" si="117"/>
        <v>1.5907155306826142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-2.8421709430404007E-13</v>
      </c>
      <c r="O152" s="14">
        <f>N152*VLOOKUP('Données projet'!$B$9,Paramètres!$A$1:$I$89,3,0)*VLOOKUP('Données projet'!$B$9,Paramètres!$A$1:$I$89,5,0)</f>
        <v>-1.69961822393816E-13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287.05726996114242</v>
      </c>
      <c r="T152" s="62">
        <f t="shared" si="142"/>
        <v>229.06617320689003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0.48642424911000648</v>
      </c>
      <c r="AB152" s="23">
        <f>EXP(-LN(2)/2)*AB151+(1-EXP(-LN(2)/2))/(LN(2)/2)*V152*Y152*VLOOKUP('Données projet'!$B$9,Paramètres!$A$1:$I$89,3,0)*0.475*44/12</f>
        <v>6.4556183751959701E-18</v>
      </c>
      <c r="AC152" s="24">
        <f t="shared" si="111"/>
        <v>0.48642424911000648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-5.1159076974727213E-13</v>
      </c>
      <c r="AJ152" s="14">
        <f>AI152*VLOOKUP('Données projet'!$B$10,Paramètres!$A$1:$I$89,3,0)*VLOOKUP('Données projet'!$B$10,Paramètres!$A$1:$I$89,5,0)</f>
        <v>-5.3471467253984886E-13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493.70175665335978</v>
      </c>
      <c r="AO152" s="62">
        <f t="shared" si="144"/>
        <v>325.12357781685949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293.3333333333353</v>
      </c>
      <c r="BI152" s="62">
        <f ca="1">AVERAGE(OFFSET($BH$3,0,0,'Données projet'!$E$11+1,1))-AVERAGE(OFFSET($H$3,0,0,'Données projet'!$E$11+1,1))</f>
        <v>260.02504691866199</v>
      </c>
      <c r="BJ152" s="62">
        <f t="shared" si="146"/>
        <v>270.11268336406368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0.94810954559768168</v>
      </c>
      <c r="BQ152" s="23">
        <f>EXP(-LN(2)/25)*BQ151+(1-EXP(-LN(2)/25))/(LN(2)/25)*Calculateur!BL152*Calculateur!BN152*VLOOKUP('Données projet'!$B$11,Paramètres!$A$1:$I$89,3,0)*0.475*44/12</f>
        <v>0.60658873764373866</v>
      </c>
      <c r="BR152" s="23">
        <f>EXP(-LN(2)/2)*BR151+(1-EXP(-LN(2)/2))/(LN(2)/2)*BL152*BO152*VLOOKUP('Données projet'!$B$11,Paramètres!$A$1:$I$89,3,0)*0.475*44/12</f>
        <v>7.7768163043317813E-18</v>
      </c>
      <c r="BS152" s="24">
        <f t="shared" si="117"/>
        <v>1.5546982832414202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-2.8421709430404007E-13</v>
      </c>
      <c r="O153" s="14">
        <f>N153*VLOOKUP('Données projet'!$B$9,Paramètres!$A$1:$I$89,3,0)*VLOOKUP('Données projet'!$B$9,Paramètres!$A$1:$I$89,5,0)</f>
        <v>-1.69961822393816E-13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287.05726996114242</v>
      </c>
      <c r="T153" s="62">
        <f t="shared" si="142"/>
        <v>229.06617320689003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0.47312295243815383</v>
      </c>
      <c r="AB153" s="23">
        <f>EXP(-LN(2)/2)*AB152+(1-EXP(-LN(2)/2))/(LN(2)/2)*V153*Y153*VLOOKUP('Données projet'!$B$9,Paramètres!$A$1:$I$89,3,0)*0.475*44/12</f>
        <v>4.5648115298535523E-18</v>
      </c>
      <c r="AC153" s="24">
        <f t="shared" si="111"/>
        <v>0.47312295243815383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-5.1159076974727213E-13</v>
      </c>
      <c r="AJ153" s="14">
        <f>AI153*VLOOKUP('Données projet'!$B$10,Paramètres!$A$1:$I$89,3,0)*VLOOKUP('Données projet'!$B$10,Paramètres!$A$1:$I$89,5,0)</f>
        <v>-5.3471467253984886E-13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493.70175665335978</v>
      </c>
      <c r="AO153" s="62">
        <f t="shared" si="144"/>
        <v>325.12357781685949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293.3333333333353</v>
      </c>
      <c r="BI153" s="62">
        <f ca="1">AVERAGE(OFFSET($BH$3,0,0,'Données projet'!$E$11+1,1))-AVERAGE(OFFSET($H$3,0,0,'Données projet'!$E$11+1,1))</f>
        <v>260.02504691866199</v>
      </c>
      <c r="BJ153" s="62">
        <f t="shared" si="146"/>
        <v>270.11268336406368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0.92951769569823262</v>
      </c>
      <c r="BQ153" s="23">
        <f>EXP(-LN(2)/25)*BQ152+(1-EXP(-LN(2)/25))/(LN(2)/25)*Calculateur!BL153*Calculateur!BN153*VLOOKUP('Données projet'!$B$11,Paramètres!$A$1:$I$89,3,0)*0.475*44/12</f>
        <v>0.59000153671375533</v>
      </c>
      <c r="BR153" s="23">
        <f>EXP(-LN(2)/2)*BR152+(1-EXP(-LN(2)/2))/(LN(2)/2)*BL153*BO153*VLOOKUP('Données projet'!$B$11,Paramètres!$A$1:$I$89,3,0)*0.475*44/12</f>
        <v>5.4990395448351081E-18</v>
      </c>
      <c r="BS153" s="24">
        <f t="shared" si="117"/>
        <v>1.5195192324119879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-2.8421709430404007E-13</v>
      </c>
      <c r="O154" s="14">
        <f>N154*VLOOKUP('Données projet'!$B$9,Paramètres!$A$1:$I$89,3,0)*VLOOKUP('Données projet'!$B$9,Paramètres!$A$1:$I$89,5,0)</f>
        <v>-1.69961822393816E-13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287.05726996114242</v>
      </c>
      <c r="T154" s="62">
        <f t="shared" si="142"/>
        <v>229.06617320689003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0.46018538042327778</v>
      </c>
      <c r="AB154" s="23">
        <f>EXP(-LN(2)/2)*AB153+(1-EXP(-LN(2)/2))/(LN(2)/2)*V154*Y154*VLOOKUP('Données projet'!$B$9,Paramètres!$A$1:$I$89,3,0)*0.475*44/12</f>
        <v>3.2278091875979851E-18</v>
      </c>
      <c r="AC154" s="24">
        <f t="shared" ref="AC154:AC203" si="163">SUM(Z154:AB154)</f>
        <v>0.46018538042327778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-5.1159076974727213E-13</v>
      </c>
      <c r="AJ154" s="14">
        <f>AI154*VLOOKUP('Données projet'!$B$10,Paramètres!$A$1:$I$89,3,0)*VLOOKUP('Données projet'!$B$10,Paramètres!$A$1:$I$89,5,0)</f>
        <v>-5.3471467253984886E-13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493.70175665335978</v>
      </c>
      <c r="AO154" s="62">
        <f t="shared" si="144"/>
        <v>325.12357781685949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293.3333333333353</v>
      </c>
      <c r="BI154" s="62">
        <f ca="1">AVERAGE(OFFSET($BH$3,0,0,'Données projet'!$E$11+1,1))-AVERAGE(OFFSET($H$3,0,0,'Données projet'!$E$11+1,1))</f>
        <v>260.02504691866199</v>
      </c>
      <c r="BJ154" s="62">
        <f t="shared" si="146"/>
        <v>270.11268336406368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0.911290420635403</v>
      </c>
      <c r="BQ154" s="23">
        <f>EXP(-LN(2)/25)*BQ153+(1-EXP(-LN(2)/25))/(LN(2)/25)*Calculateur!BL154*Calculateur!BN154*VLOOKUP('Données projet'!$B$11,Paramètres!$A$1:$I$89,3,0)*0.475*44/12</f>
        <v>0.57386791366548529</v>
      </c>
      <c r="BR154" s="23">
        <f>EXP(-LN(2)/2)*BR153+(1-EXP(-LN(2)/2))/(LN(2)/2)*BL154*BO154*VLOOKUP('Données projet'!$B$11,Paramètres!$A$1:$I$89,3,0)*0.475*44/12</f>
        <v>3.8884081521658906E-18</v>
      </c>
      <c r="BS154" s="24">
        <f t="shared" ref="BS154:BS203" si="169">SUM(BP154:BR154)</f>
        <v>1.4851583343008883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-2.8421709430404007E-13</v>
      </c>
      <c r="O155" s="14">
        <f>N155*VLOOKUP('Données projet'!$B$9,Paramètres!$A$1:$I$89,3,0)*VLOOKUP('Données projet'!$B$9,Paramètres!$A$1:$I$89,5,0)</f>
        <v>-1.69961822393816E-13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287.05726996114242</v>
      </c>
      <c r="T155" s="62">
        <f t="shared" si="142"/>
        <v>229.06617320689003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0.44760158699550584</v>
      </c>
      <c r="AB155" s="23">
        <f>EXP(-LN(2)/2)*AB154+(1-EXP(-LN(2)/2))/(LN(2)/2)*V155*Y155*VLOOKUP('Données projet'!$B$9,Paramètres!$A$1:$I$89,3,0)*0.475*44/12</f>
        <v>2.2824057649267761E-18</v>
      </c>
      <c r="AC155" s="24">
        <f t="shared" si="163"/>
        <v>0.44760158699550584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-5.1159076974727213E-13</v>
      </c>
      <c r="AJ155" s="14">
        <f>AI155*VLOOKUP('Données projet'!$B$10,Paramètres!$A$1:$I$89,3,0)*VLOOKUP('Données projet'!$B$10,Paramètres!$A$1:$I$89,5,0)</f>
        <v>-5.3471467253984886E-13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493.70175665335978</v>
      </c>
      <c r="AO155" s="62">
        <f t="shared" si="144"/>
        <v>325.12357781685949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293.3333333333353</v>
      </c>
      <c r="BI155" s="62">
        <f ca="1">AVERAGE(OFFSET($BH$3,0,0,'Données projet'!$E$11+1,1))-AVERAGE(OFFSET($H$3,0,0,'Données projet'!$E$11+1,1))</f>
        <v>260.02504691866199</v>
      </c>
      <c r="BJ155" s="62">
        <f t="shared" si="146"/>
        <v>270.11268336406368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0.89342057131901542</v>
      </c>
      <c r="BQ155" s="23">
        <f>EXP(-LN(2)/25)*BQ154+(1-EXP(-LN(2)/25))/(LN(2)/25)*Calculateur!BL155*Calculateur!BN155*VLOOKUP('Données projet'!$B$11,Paramètres!$A$1:$I$89,3,0)*0.475*44/12</f>
        <v>0.55817546538790064</v>
      </c>
      <c r="BR155" s="23">
        <f>EXP(-LN(2)/2)*BR154+(1-EXP(-LN(2)/2))/(LN(2)/2)*BL155*BO155*VLOOKUP('Données projet'!$B$11,Paramètres!$A$1:$I$89,3,0)*0.475*44/12</f>
        <v>2.749519772417554E-18</v>
      </c>
      <c r="BS155" s="24">
        <f t="shared" si="169"/>
        <v>1.4515960367069161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-2.8421709430404007E-13</v>
      </c>
      <c r="O156" s="14">
        <f>N156*VLOOKUP('Données projet'!$B$9,Paramètres!$A$1:$I$89,3,0)*VLOOKUP('Données projet'!$B$9,Paramètres!$A$1:$I$89,5,0)</f>
        <v>-1.69961822393816E-13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287.05726996114242</v>
      </c>
      <c r="T156" s="62">
        <f t="shared" si="142"/>
        <v>229.06617320689003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0.4353618980607693</v>
      </c>
      <c r="AB156" s="23">
        <f>EXP(-LN(2)/2)*AB155+(1-EXP(-LN(2)/2))/(LN(2)/2)*V156*Y156*VLOOKUP('Données projet'!$B$9,Paramètres!$A$1:$I$89,3,0)*0.475*44/12</f>
        <v>1.6139045937989925E-18</v>
      </c>
      <c r="AC156" s="24">
        <f t="shared" si="163"/>
        <v>0.4353618980607693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-5.1159076974727213E-13</v>
      </c>
      <c r="AJ156" s="14">
        <f>AI156*VLOOKUP('Données projet'!$B$10,Paramètres!$A$1:$I$89,3,0)*VLOOKUP('Données projet'!$B$10,Paramètres!$A$1:$I$89,5,0)</f>
        <v>-5.3471467253984886E-13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493.70175665335978</v>
      </c>
      <c r="AO156" s="62">
        <f t="shared" si="144"/>
        <v>325.12357781685949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293.3333333333353</v>
      </c>
      <c r="BI156" s="62">
        <f ca="1">AVERAGE(OFFSET($BH$3,0,0,'Données projet'!$E$11+1,1))-AVERAGE(OFFSET($H$3,0,0,'Données projet'!$E$11+1,1))</f>
        <v>260.02504691866199</v>
      </c>
      <c r="BJ156" s="62">
        <f t="shared" si="146"/>
        <v>270.11268336406368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0.87590113884819043</v>
      </c>
      <c r="BQ156" s="23">
        <f>EXP(-LN(2)/25)*BQ155+(1-EXP(-LN(2)/25))/(LN(2)/25)*Calculateur!BL156*Calculateur!BN156*VLOOKUP('Données projet'!$B$11,Paramètres!$A$1:$I$89,3,0)*0.475*44/12</f>
        <v>0.54291212793369648</v>
      </c>
      <c r="BR156" s="23">
        <f>EXP(-LN(2)/2)*BR155+(1-EXP(-LN(2)/2))/(LN(2)/2)*BL156*BO156*VLOOKUP('Données projet'!$B$11,Paramètres!$A$1:$I$89,3,0)*0.475*44/12</f>
        <v>1.9442040760829453E-18</v>
      </c>
      <c r="BS156" s="24">
        <f t="shared" si="169"/>
        <v>1.4188132667818869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-2.8421709430404007E-13</v>
      </c>
      <c r="O157" s="14">
        <f>N157*VLOOKUP('Données projet'!$B$9,Paramètres!$A$1:$I$89,3,0)*VLOOKUP('Données projet'!$B$9,Paramètres!$A$1:$I$89,5,0)</f>
        <v>-1.69961822393816E-13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287.05726996114242</v>
      </c>
      <c r="T157" s="62">
        <f t="shared" si="142"/>
        <v>229.06617320689003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0.42345690406361036</v>
      </c>
      <c r="AB157" s="23">
        <f>EXP(-LN(2)/2)*AB156+(1-EXP(-LN(2)/2))/(LN(2)/2)*V157*Y157*VLOOKUP('Données projet'!$B$9,Paramètres!$A$1:$I$89,3,0)*0.475*44/12</f>
        <v>1.1412028824633881E-18</v>
      </c>
      <c r="AC157" s="24">
        <f t="shared" si="163"/>
        <v>0.42345690406361036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-5.1159076974727213E-13</v>
      </c>
      <c r="AJ157" s="14">
        <f>AI157*VLOOKUP('Données projet'!$B$10,Paramètres!$A$1:$I$89,3,0)*VLOOKUP('Données projet'!$B$10,Paramètres!$A$1:$I$89,5,0)</f>
        <v>-5.3471467253984886E-13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493.70175665335978</v>
      </c>
      <c r="AO157" s="62">
        <f t="shared" si="144"/>
        <v>325.12357781685949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293.3333333333353</v>
      </c>
      <c r="BI157" s="62">
        <f ca="1">AVERAGE(OFFSET($BH$3,0,0,'Données projet'!$E$11+1,1))-AVERAGE(OFFSET($H$3,0,0,'Données projet'!$E$11+1,1))</f>
        <v>260.02504691866199</v>
      </c>
      <c r="BJ157" s="62">
        <f t="shared" si="146"/>
        <v>270.11268336406368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0.85872525176231962</v>
      </c>
      <c r="BQ157" s="23">
        <f>EXP(-LN(2)/25)*BQ156+(1-EXP(-LN(2)/25))/(LN(2)/25)*Calculateur!BL157*Calculateur!BN157*VLOOKUP('Données projet'!$B$11,Paramètres!$A$1:$I$89,3,0)*0.475*44/12</f>
        <v>0.52806616724484157</v>
      </c>
      <c r="BR157" s="23">
        <f>EXP(-LN(2)/2)*BR156+(1-EXP(-LN(2)/2))/(LN(2)/2)*BL157*BO157*VLOOKUP('Données projet'!$B$11,Paramètres!$A$1:$I$89,3,0)*0.475*44/12</f>
        <v>1.374759886208777E-18</v>
      </c>
      <c r="BS157" s="24">
        <f t="shared" si="169"/>
        <v>1.3867914190071611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-2.8421709430404007E-13</v>
      </c>
      <c r="O158" s="14">
        <f>N158*VLOOKUP('Données projet'!$B$9,Paramètres!$A$1:$I$89,3,0)*VLOOKUP('Données projet'!$B$9,Paramètres!$A$1:$I$89,5,0)</f>
        <v>-1.69961822393816E-13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287.05726996114242</v>
      </c>
      <c r="T158" s="62">
        <f t="shared" si="142"/>
        <v>229.06617320689003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0.41187745275336018</v>
      </c>
      <c r="AB158" s="23">
        <f>EXP(-LN(2)/2)*AB157+(1-EXP(-LN(2)/2))/(LN(2)/2)*V158*Y158*VLOOKUP('Données projet'!$B$9,Paramètres!$A$1:$I$89,3,0)*0.475*44/12</f>
        <v>8.0695229689949627E-19</v>
      </c>
      <c r="AC158" s="24">
        <f t="shared" si="163"/>
        <v>0.41187745275336018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-5.1159076974727213E-13</v>
      </c>
      <c r="AJ158" s="14">
        <f>AI158*VLOOKUP('Données projet'!$B$10,Paramètres!$A$1:$I$89,3,0)*VLOOKUP('Données projet'!$B$10,Paramètres!$A$1:$I$89,5,0)</f>
        <v>-5.3471467253984886E-13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493.70175665335978</v>
      </c>
      <c r="AO158" s="62">
        <f t="shared" si="144"/>
        <v>325.12357781685949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293.3333333333353</v>
      </c>
      <c r="BI158" s="62">
        <f ca="1">AVERAGE(OFFSET($BH$3,0,0,'Données projet'!$E$11+1,1))-AVERAGE(OFFSET($H$3,0,0,'Données projet'!$E$11+1,1))</f>
        <v>260.02504691866199</v>
      </c>
      <c r="BJ158" s="62">
        <f t="shared" si="146"/>
        <v>270.11268336406368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0.84188617334594607</v>
      </c>
      <c r="BQ158" s="23">
        <f>EXP(-LN(2)/25)*BQ157+(1-EXP(-LN(2)/25))/(LN(2)/25)*Calculateur!BL158*Calculateur!BN158*VLOOKUP('Données projet'!$B$11,Paramètres!$A$1:$I$89,3,0)*0.475*44/12</f>
        <v>0.5136261701317385</v>
      </c>
      <c r="BR158" s="23">
        <f>EXP(-LN(2)/2)*BR157+(1-EXP(-LN(2)/2))/(LN(2)/2)*BL158*BO158*VLOOKUP('Données projet'!$B$11,Paramètres!$A$1:$I$89,3,0)*0.475*44/12</f>
        <v>9.7210203804147266E-19</v>
      </c>
      <c r="BS158" s="24">
        <f t="shared" si="169"/>
        <v>1.3555123434776846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-2.8421709430404007E-13</v>
      </c>
      <c r="O159" s="14">
        <f>N159*VLOOKUP('Données projet'!$B$9,Paramètres!$A$1:$I$89,3,0)*VLOOKUP('Données projet'!$B$9,Paramètres!$A$1:$I$89,5,0)</f>
        <v>-1.69961822393816E-13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287.05726996114242</v>
      </c>
      <c r="T159" s="62">
        <f t="shared" si="142"/>
        <v>229.06617320689003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0.40061464214812564</v>
      </c>
      <c r="AB159" s="23">
        <f>EXP(-LN(2)/2)*AB158+(1-EXP(-LN(2)/2))/(LN(2)/2)*V159*Y159*VLOOKUP('Données projet'!$B$9,Paramètres!$A$1:$I$89,3,0)*0.475*44/12</f>
        <v>5.7060144123169403E-19</v>
      </c>
      <c r="AC159" s="24">
        <f t="shared" si="163"/>
        <v>0.40061464214812564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-5.1159076974727213E-13</v>
      </c>
      <c r="AJ159" s="14">
        <f>AI159*VLOOKUP('Données projet'!$B$10,Paramètres!$A$1:$I$89,3,0)*VLOOKUP('Données projet'!$B$10,Paramètres!$A$1:$I$89,5,0)</f>
        <v>-5.3471467253984886E-13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493.70175665335978</v>
      </c>
      <c r="AO159" s="62">
        <f t="shared" si="144"/>
        <v>325.12357781685949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293.3333333333353</v>
      </c>
      <c r="BI159" s="62">
        <f ca="1">AVERAGE(OFFSET($BH$3,0,0,'Données projet'!$E$11+1,1))-AVERAGE(OFFSET($H$3,0,0,'Données projet'!$E$11+1,1))</f>
        <v>260.02504691866199</v>
      </c>
      <c r="BJ159" s="62">
        <f t="shared" si="146"/>
        <v>270.11268336406368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0.82537729898649392</v>
      </c>
      <c r="BQ159" s="23">
        <f>EXP(-LN(2)/25)*BQ158+(1-EXP(-LN(2)/25))/(LN(2)/25)*Calculateur!BL159*Calculateur!BN159*VLOOKUP('Données projet'!$B$11,Paramètres!$A$1:$I$89,3,0)*0.475*44/12</f>
        <v>0.49958103549905974</v>
      </c>
      <c r="BR159" s="23">
        <f>EXP(-LN(2)/2)*BR158+(1-EXP(-LN(2)/2))/(LN(2)/2)*BL159*BO159*VLOOKUP('Données projet'!$B$11,Paramètres!$A$1:$I$89,3,0)*0.475*44/12</f>
        <v>6.8737994310438851E-19</v>
      </c>
      <c r="BS159" s="24">
        <f t="shared" si="169"/>
        <v>1.3249583344855536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-2.8421709430404007E-13</v>
      </c>
      <c r="O160" s="14">
        <f>N160*VLOOKUP('Données projet'!$B$9,Paramètres!$A$1:$I$89,3,0)*VLOOKUP('Données projet'!$B$9,Paramètres!$A$1:$I$89,5,0)</f>
        <v>-1.69961822393816E-13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287.05726996114242</v>
      </c>
      <c r="T160" s="62">
        <f t="shared" si="142"/>
        <v>229.06617320689003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0.38965981369117675</v>
      </c>
      <c r="AB160" s="23">
        <f>EXP(-LN(2)/2)*AB159+(1-EXP(-LN(2)/2))/(LN(2)/2)*V160*Y160*VLOOKUP('Données projet'!$B$9,Paramètres!$A$1:$I$89,3,0)*0.475*44/12</f>
        <v>4.0347614844974813E-19</v>
      </c>
      <c r="AC160" s="24">
        <f t="shared" si="163"/>
        <v>0.38965981369117675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-5.1159076974727213E-13</v>
      </c>
      <c r="AJ160" s="14">
        <f>AI160*VLOOKUP('Données projet'!$B$10,Paramètres!$A$1:$I$89,3,0)*VLOOKUP('Données projet'!$B$10,Paramètres!$A$1:$I$89,5,0)</f>
        <v>-5.3471467253984886E-13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493.70175665335978</v>
      </c>
      <c r="AO160" s="62">
        <f t="shared" si="144"/>
        <v>325.12357781685949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293.3333333333353</v>
      </c>
      <c r="BI160" s="62">
        <f ca="1">AVERAGE(OFFSET($BH$3,0,0,'Données projet'!$E$11+1,1))-AVERAGE(OFFSET($H$3,0,0,'Données projet'!$E$11+1,1))</f>
        <v>260.02504691866199</v>
      </c>
      <c r="BJ160" s="62">
        <f t="shared" si="146"/>
        <v>270.11268336406368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0.80919215358381158</v>
      </c>
      <c r="BQ160" s="23">
        <f>EXP(-LN(2)/25)*BQ159+(1-EXP(-LN(2)/25))/(LN(2)/25)*Calculateur!BL160*Calculateur!BN160*VLOOKUP('Données projet'!$B$11,Paramètres!$A$1:$I$89,3,0)*0.475*44/12</f>
        <v>0.48591996581151309</v>
      </c>
      <c r="BR160" s="23">
        <f>EXP(-LN(2)/2)*BR159+(1-EXP(-LN(2)/2))/(LN(2)/2)*BL160*BO160*VLOOKUP('Données projet'!$B$11,Paramètres!$A$1:$I$89,3,0)*0.475*44/12</f>
        <v>4.8605101902073633E-19</v>
      </c>
      <c r="BS160" s="24">
        <f t="shared" si="169"/>
        <v>1.2951121193953248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-2.8421709430404007E-13</v>
      </c>
      <c r="O161" s="14">
        <f>N161*VLOOKUP('Données projet'!$B$9,Paramètres!$A$1:$I$89,3,0)*VLOOKUP('Données projet'!$B$9,Paramètres!$A$1:$I$89,5,0)</f>
        <v>-1.69961822393816E-13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287.05726996114242</v>
      </c>
      <c r="T161" s="62">
        <f t="shared" si="142"/>
        <v>229.06617320689003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0.3790045455944725</v>
      </c>
      <c r="AB161" s="23">
        <f>EXP(-LN(2)/2)*AB160+(1-EXP(-LN(2)/2))/(LN(2)/2)*V161*Y161*VLOOKUP('Données projet'!$B$9,Paramètres!$A$1:$I$89,3,0)*0.475*44/12</f>
        <v>2.8530072061584702E-19</v>
      </c>
      <c r="AC161" s="24">
        <f t="shared" si="163"/>
        <v>0.3790045455944725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-5.1159076974727213E-13</v>
      </c>
      <c r="AJ161" s="14">
        <f>AI161*VLOOKUP('Données projet'!$B$10,Paramètres!$A$1:$I$89,3,0)*VLOOKUP('Données projet'!$B$10,Paramètres!$A$1:$I$89,5,0)</f>
        <v>-5.3471467253984886E-13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493.70175665335978</v>
      </c>
      <c r="AO161" s="62">
        <f t="shared" si="144"/>
        <v>325.12357781685949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293.3333333333353</v>
      </c>
      <c r="BI161" s="62">
        <f ca="1">AVERAGE(OFFSET($BH$3,0,0,'Données projet'!$E$11+1,1))-AVERAGE(OFFSET($H$3,0,0,'Données projet'!$E$11+1,1))</f>
        <v>260.02504691866199</v>
      </c>
      <c r="BJ161" s="62">
        <f t="shared" si="146"/>
        <v>270.11268336406368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0.79332438901051183</v>
      </c>
      <c r="BQ161" s="23">
        <f>EXP(-LN(2)/25)*BQ160+(1-EXP(-LN(2)/25))/(LN(2)/25)*Calculateur!BL161*Calculateur!BN161*VLOOKUP('Données projet'!$B$11,Paramètres!$A$1:$I$89,3,0)*0.475*44/12</f>
        <v>0.47263245879297683</v>
      </c>
      <c r="BR161" s="23">
        <f>EXP(-LN(2)/2)*BR160+(1-EXP(-LN(2)/2))/(LN(2)/2)*BL161*BO161*VLOOKUP('Données projet'!$B$11,Paramètres!$A$1:$I$89,3,0)*0.475*44/12</f>
        <v>3.4368997155219425E-19</v>
      </c>
      <c r="BS161" s="24">
        <f t="shared" si="169"/>
        <v>1.2659568478034886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-2.8421709430404007E-13</v>
      </c>
      <c r="O162" s="14">
        <f>N162*VLOOKUP('Données projet'!$B$9,Paramètres!$A$1:$I$89,3,0)*VLOOKUP('Données projet'!$B$9,Paramètres!$A$1:$I$89,5,0)</f>
        <v>-1.69961822393816E-13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287.05726996114242</v>
      </c>
      <c r="T162" s="62">
        <f t="shared" si="142"/>
        <v>229.06617320689003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0.36864064636420885</v>
      </c>
      <c r="AB162" s="23">
        <f>EXP(-LN(2)/2)*AB161+(1-EXP(-LN(2)/2))/(LN(2)/2)*V162*Y162*VLOOKUP('Données projet'!$B$9,Paramètres!$A$1:$I$89,3,0)*0.475*44/12</f>
        <v>2.0173807422487407E-19</v>
      </c>
      <c r="AC162" s="24">
        <f t="shared" si="163"/>
        <v>0.36864064636420885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-5.1159076974727213E-13</v>
      </c>
      <c r="AJ162" s="14">
        <f>AI162*VLOOKUP('Données projet'!$B$10,Paramètres!$A$1:$I$89,3,0)*VLOOKUP('Données projet'!$B$10,Paramètres!$A$1:$I$89,5,0)</f>
        <v>-5.3471467253984886E-13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493.70175665335978</v>
      </c>
      <c r="AO162" s="62">
        <f t="shared" si="144"/>
        <v>325.12357781685949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293.3333333333353</v>
      </c>
      <c r="BI162" s="62">
        <f ca="1">AVERAGE(OFFSET($BH$3,0,0,'Données projet'!$E$11+1,1))-AVERAGE(OFFSET($H$3,0,0,'Données projet'!$E$11+1,1))</f>
        <v>260.02504691866199</v>
      </c>
      <c r="BJ162" s="62">
        <f t="shared" si="146"/>
        <v>270.11268336406368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0.7777677816221138</v>
      </c>
      <c r="BQ162" s="23">
        <f>EXP(-LN(2)/25)*BQ161+(1-EXP(-LN(2)/25))/(LN(2)/25)*Calculateur!BL162*Calculateur!BN162*VLOOKUP('Données projet'!$B$11,Paramètres!$A$1:$I$89,3,0)*0.475*44/12</f>
        <v>0.45970829935262209</v>
      </c>
      <c r="BR162" s="23">
        <f>EXP(-LN(2)/2)*BR161+(1-EXP(-LN(2)/2))/(LN(2)/2)*BL162*BO162*VLOOKUP('Données projet'!$B$11,Paramètres!$A$1:$I$89,3,0)*0.475*44/12</f>
        <v>2.4302550951036817E-19</v>
      </c>
      <c r="BS162" s="24">
        <f t="shared" si="169"/>
        <v>1.2374760809747358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-2.8421709430404007E-13</v>
      </c>
      <c r="O163" s="14">
        <f>N163*VLOOKUP('Données projet'!$B$9,Paramètres!$A$1:$I$89,3,0)*VLOOKUP('Données projet'!$B$9,Paramètres!$A$1:$I$89,5,0)</f>
        <v>-1.69961822393816E-13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287.05726996114242</v>
      </c>
      <c r="T163" s="62">
        <f t="shared" si="142"/>
        <v>229.06617320689003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0.3585601485034105</v>
      </c>
      <c r="AB163" s="23">
        <f>EXP(-LN(2)/2)*AB162+(1-EXP(-LN(2)/2))/(LN(2)/2)*V163*Y163*VLOOKUP('Données projet'!$B$9,Paramètres!$A$1:$I$89,3,0)*0.475*44/12</f>
        <v>1.4265036030792351E-19</v>
      </c>
      <c r="AC163" s="24">
        <f t="shared" si="163"/>
        <v>0.3585601485034105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-5.1159076974727213E-13</v>
      </c>
      <c r="AJ163" s="14">
        <f>AI163*VLOOKUP('Données projet'!$B$10,Paramètres!$A$1:$I$89,3,0)*VLOOKUP('Données projet'!$B$10,Paramètres!$A$1:$I$89,5,0)</f>
        <v>-5.3471467253984886E-13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493.70175665335978</v>
      </c>
      <c r="AO163" s="62">
        <f t="shared" si="144"/>
        <v>325.12357781685949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293.3333333333353</v>
      </c>
      <c r="BI163" s="62">
        <f ca="1">AVERAGE(OFFSET($BH$3,0,0,'Données projet'!$E$11+1,1))-AVERAGE(OFFSET($H$3,0,0,'Données projet'!$E$11+1,1))</f>
        <v>260.02504691866199</v>
      </c>
      <c r="BJ163" s="62">
        <f t="shared" si="146"/>
        <v>270.11268336406368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0.76251622981600864</v>
      </c>
      <c r="BQ163" s="23">
        <f>EXP(-LN(2)/25)*BQ162+(1-EXP(-LN(2)/25))/(LN(2)/25)*Calculateur!BL163*Calculateur!BN163*VLOOKUP('Données projet'!$B$11,Paramètres!$A$1:$I$89,3,0)*0.475*44/12</f>
        <v>0.44713755173181585</v>
      </c>
      <c r="BR163" s="23">
        <f>EXP(-LN(2)/2)*BR162+(1-EXP(-LN(2)/2))/(LN(2)/2)*BL163*BO163*VLOOKUP('Données projet'!$B$11,Paramètres!$A$1:$I$89,3,0)*0.475*44/12</f>
        <v>1.7184498577609713E-19</v>
      </c>
      <c r="BS163" s="24">
        <f t="shared" si="169"/>
        <v>1.2096537815478245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-2.8421709430404007E-13</v>
      </c>
      <c r="O164" s="14">
        <f>N164*VLOOKUP('Données projet'!$B$9,Paramètres!$A$1:$I$89,3,0)*VLOOKUP('Données projet'!$B$9,Paramètres!$A$1:$I$89,5,0)</f>
        <v>-1.69961822393816E-13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287.05726996114242</v>
      </c>
      <c r="T164" s="62">
        <f t="shared" si="142"/>
        <v>229.06617320689003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0.34875530238672603</v>
      </c>
      <c r="AB164" s="23">
        <f>EXP(-LN(2)/2)*AB163+(1-EXP(-LN(2)/2))/(LN(2)/2)*V164*Y164*VLOOKUP('Données projet'!$B$9,Paramètres!$A$1:$I$89,3,0)*0.475*44/12</f>
        <v>1.0086903711243703E-19</v>
      </c>
      <c r="AC164" s="24">
        <f t="shared" si="163"/>
        <v>0.34875530238672603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-5.1159076974727213E-13</v>
      </c>
      <c r="AJ164" s="14">
        <f>AI164*VLOOKUP('Données projet'!$B$10,Paramètres!$A$1:$I$89,3,0)*VLOOKUP('Données projet'!$B$10,Paramètres!$A$1:$I$89,5,0)</f>
        <v>-5.3471467253984886E-13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493.70175665335978</v>
      </c>
      <c r="AO164" s="62">
        <f t="shared" si="144"/>
        <v>325.12357781685949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293.3333333333353</v>
      </c>
      <c r="BI164" s="62">
        <f ca="1">AVERAGE(OFFSET($BH$3,0,0,'Données projet'!$E$11+1,1))-AVERAGE(OFFSET($H$3,0,0,'Données projet'!$E$11+1,1))</f>
        <v>260.02504691866199</v>
      </c>
      <c r="BJ164" s="62">
        <f t="shared" si="146"/>
        <v>270.11268336406368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0.74756375163829314</v>
      </c>
      <c r="BQ164" s="23">
        <f>EXP(-LN(2)/25)*BQ163+(1-EXP(-LN(2)/25))/(LN(2)/25)*Calculateur!BL164*Calculateur!BN164*VLOOKUP('Données projet'!$B$11,Paramètres!$A$1:$I$89,3,0)*0.475*44/12</f>
        <v>0.43491055186576744</v>
      </c>
      <c r="BR164" s="23">
        <f>EXP(-LN(2)/2)*BR163+(1-EXP(-LN(2)/2))/(LN(2)/2)*BL164*BO164*VLOOKUP('Données projet'!$B$11,Paramètres!$A$1:$I$89,3,0)*0.475*44/12</f>
        <v>1.2151275475518408E-19</v>
      </c>
      <c r="BS164" s="24">
        <f t="shared" si="169"/>
        <v>1.1824743035040606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-2.8421709430404007E-13</v>
      </c>
      <c r="O165" s="14">
        <f>N165*VLOOKUP('Données projet'!$B$9,Paramètres!$A$1:$I$89,3,0)*VLOOKUP('Données projet'!$B$9,Paramètres!$A$1:$I$89,5,0)</f>
        <v>-1.69961822393816E-13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287.05726996114242</v>
      </c>
      <c r="T165" s="62">
        <f t="shared" si="142"/>
        <v>229.06617320689003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0.33921857030271674</v>
      </c>
      <c r="AB165" s="23">
        <f>EXP(-LN(2)/2)*AB164+(1-EXP(-LN(2)/2))/(LN(2)/2)*V165*Y165*VLOOKUP('Données projet'!$B$9,Paramètres!$A$1:$I$89,3,0)*0.475*44/12</f>
        <v>7.1325180153961754E-20</v>
      </c>
      <c r="AC165" s="24">
        <f t="shared" si="163"/>
        <v>0.33921857030271674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-5.1159076974727213E-13</v>
      </c>
      <c r="AJ165" s="14">
        <f>AI165*VLOOKUP('Données projet'!$B$10,Paramètres!$A$1:$I$89,3,0)*VLOOKUP('Données projet'!$B$10,Paramètres!$A$1:$I$89,5,0)</f>
        <v>-5.3471467253984886E-13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493.70175665335978</v>
      </c>
      <c r="AO165" s="62">
        <f t="shared" si="144"/>
        <v>325.12357781685949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293.3333333333353</v>
      </c>
      <c r="BI165" s="62">
        <f ca="1">AVERAGE(OFFSET($BH$3,0,0,'Données projet'!$E$11+1,1))-AVERAGE(OFFSET($H$3,0,0,'Données projet'!$E$11+1,1))</f>
        <v>260.02504691866199</v>
      </c>
      <c r="BJ165" s="62">
        <f t="shared" si="146"/>
        <v>270.11268336406368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0.73290448243753148</v>
      </c>
      <c r="BQ165" s="23">
        <f>EXP(-LN(2)/25)*BQ164+(1-EXP(-LN(2)/25))/(LN(2)/25)*Calculateur!BL165*Calculateur!BN165*VLOOKUP('Données projet'!$B$11,Paramètres!$A$1:$I$89,3,0)*0.475*44/12</f>
        <v>0.42301789995404609</v>
      </c>
      <c r="BR165" s="23">
        <f>EXP(-LN(2)/2)*BR164+(1-EXP(-LN(2)/2))/(LN(2)/2)*BL165*BO165*VLOOKUP('Données projet'!$B$11,Paramètres!$A$1:$I$89,3,0)*0.475*44/12</f>
        <v>8.5922492888048563E-20</v>
      </c>
      <c r="BS165" s="24">
        <f t="shared" si="169"/>
        <v>1.1559223823915776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-2.8421709430404007E-13</v>
      </c>
      <c r="O166" s="14">
        <f>N166*VLOOKUP('Données projet'!$B$9,Paramètres!$A$1:$I$89,3,0)*VLOOKUP('Données projet'!$B$9,Paramètres!$A$1:$I$89,5,0)</f>
        <v>-1.69961822393816E-13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287.05726996114242</v>
      </c>
      <c r="T166" s="62">
        <f t="shared" si="142"/>
        <v>229.06617320689003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0.3299426206590596</v>
      </c>
      <c r="AB166" s="23">
        <f>EXP(-LN(2)/2)*AB165+(1-EXP(-LN(2)/2))/(LN(2)/2)*V166*Y166*VLOOKUP('Données projet'!$B$9,Paramètres!$A$1:$I$89,3,0)*0.475*44/12</f>
        <v>5.0434518556218517E-20</v>
      </c>
      <c r="AC166" s="24">
        <f t="shared" si="163"/>
        <v>0.3299426206590596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-5.1159076974727213E-13</v>
      </c>
      <c r="AJ166" s="14">
        <f>AI166*VLOOKUP('Données projet'!$B$10,Paramètres!$A$1:$I$89,3,0)*VLOOKUP('Données projet'!$B$10,Paramètres!$A$1:$I$89,5,0)</f>
        <v>-5.3471467253984886E-13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493.70175665335978</v>
      </c>
      <c r="AO166" s="62">
        <f t="shared" si="144"/>
        <v>325.12357781685949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293.3333333333353</v>
      </c>
      <c r="BI166" s="62">
        <f ca="1">AVERAGE(OFFSET($BH$3,0,0,'Données projet'!$E$11+1,1))-AVERAGE(OFFSET($H$3,0,0,'Données projet'!$E$11+1,1))</f>
        <v>260.02504691866199</v>
      </c>
      <c r="BJ166" s="62">
        <f t="shared" si="146"/>
        <v>270.11268336406368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0.71853267256452547</v>
      </c>
      <c r="BQ166" s="23">
        <f>EXP(-LN(2)/25)*BQ165+(1-EXP(-LN(2)/25))/(LN(2)/25)*Calculateur!BL166*Calculateur!BN166*VLOOKUP('Données projet'!$B$11,Paramètres!$A$1:$I$89,3,0)*0.475*44/12</f>
        <v>0.41145045323425816</v>
      </c>
      <c r="BR166" s="23">
        <f>EXP(-LN(2)/2)*BR165+(1-EXP(-LN(2)/2))/(LN(2)/2)*BL166*BO166*VLOOKUP('Données projet'!$B$11,Paramètres!$A$1:$I$89,3,0)*0.475*44/12</f>
        <v>6.0756377377592041E-20</v>
      </c>
      <c r="BS166" s="24">
        <f t="shared" si="169"/>
        <v>1.1299831257987836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-2.8421709430404007E-13</v>
      </c>
      <c r="O167" s="14">
        <f>N167*VLOOKUP('Données projet'!$B$9,Paramètres!$A$1:$I$89,3,0)*VLOOKUP('Données projet'!$B$9,Paramètres!$A$1:$I$89,5,0)</f>
        <v>-1.69961822393816E-13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287.05726996114242</v>
      </c>
      <c r="T167" s="62">
        <f t="shared" si="142"/>
        <v>229.06617320689003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0.32092032234620932</v>
      </c>
      <c r="AB167" s="23">
        <f>EXP(-LN(2)/2)*AB166+(1-EXP(-LN(2)/2))/(LN(2)/2)*V167*Y167*VLOOKUP('Données projet'!$B$9,Paramètres!$A$1:$I$89,3,0)*0.475*44/12</f>
        <v>3.5662590076980877E-20</v>
      </c>
      <c r="AC167" s="24">
        <f t="shared" si="163"/>
        <v>0.32092032234620932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-5.1159076974727213E-13</v>
      </c>
      <c r="AJ167" s="14">
        <f>AI167*VLOOKUP('Données projet'!$B$10,Paramètres!$A$1:$I$89,3,0)*VLOOKUP('Données projet'!$B$10,Paramètres!$A$1:$I$89,5,0)</f>
        <v>-5.3471467253984886E-13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493.70175665335978</v>
      </c>
      <c r="AO167" s="62">
        <f t="shared" si="144"/>
        <v>325.12357781685949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293.3333333333353</v>
      </c>
      <c r="BI167" s="62">
        <f ca="1">AVERAGE(OFFSET($BH$3,0,0,'Données projet'!$E$11+1,1))-AVERAGE(OFFSET($H$3,0,0,'Données projet'!$E$11+1,1))</f>
        <v>260.02504691866199</v>
      </c>
      <c r="BJ167" s="62">
        <f t="shared" si="146"/>
        <v>270.11268336406368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0.70444268511719066</v>
      </c>
      <c r="BQ167" s="23">
        <f>EXP(-LN(2)/25)*BQ166+(1-EXP(-LN(2)/25))/(LN(2)/25)*Calculateur!BL167*Calculateur!BN167*VLOOKUP('Données projet'!$B$11,Paramètres!$A$1:$I$89,3,0)*0.475*44/12</f>
        <v>0.40019931895332844</v>
      </c>
      <c r="BR167" s="23">
        <f>EXP(-LN(2)/2)*BR166+(1-EXP(-LN(2)/2))/(LN(2)/2)*BL167*BO167*VLOOKUP('Données projet'!$B$11,Paramètres!$A$1:$I$89,3,0)*0.475*44/12</f>
        <v>4.2961246444024282E-20</v>
      </c>
      <c r="BS167" s="24">
        <f t="shared" si="169"/>
        <v>1.1046420040705192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-2.8421709430404007E-13</v>
      </c>
      <c r="O168" s="14">
        <f>N168*VLOOKUP('Données projet'!$B$9,Paramètres!$A$1:$I$89,3,0)*VLOOKUP('Données projet'!$B$9,Paramètres!$A$1:$I$89,5,0)</f>
        <v>-1.69961822393816E-13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287.05726996114242</v>
      </c>
      <c r="T168" s="62">
        <f t="shared" si="142"/>
        <v>229.06617320689003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0.31214473925518593</v>
      </c>
      <c r="AB168" s="23">
        <f>EXP(-LN(2)/2)*AB167+(1-EXP(-LN(2)/2))/(LN(2)/2)*V168*Y168*VLOOKUP('Données projet'!$B$9,Paramètres!$A$1:$I$89,3,0)*0.475*44/12</f>
        <v>2.5217259278109258E-20</v>
      </c>
      <c r="AC168" s="24">
        <f t="shared" si="163"/>
        <v>0.31214473925518593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-5.1159076974727213E-13</v>
      </c>
      <c r="AJ168" s="14">
        <f>AI168*VLOOKUP('Données projet'!$B$10,Paramètres!$A$1:$I$89,3,0)*VLOOKUP('Données projet'!$B$10,Paramètres!$A$1:$I$89,5,0)</f>
        <v>-5.3471467253984886E-13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493.70175665335978</v>
      </c>
      <c r="AO168" s="62">
        <f t="shared" si="144"/>
        <v>325.12357781685949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293.3333333333353</v>
      </c>
      <c r="BI168" s="62">
        <f ca="1">AVERAGE(OFFSET($BH$3,0,0,'Données projet'!$E$11+1,1))-AVERAGE(OFFSET($H$3,0,0,'Données projet'!$E$11+1,1))</f>
        <v>260.02504691866199</v>
      </c>
      <c r="BJ168" s="62">
        <f t="shared" si="146"/>
        <v>270.11268336406368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0.69062899372965436</v>
      </c>
      <c r="BQ168" s="23">
        <f>EXP(-LN(2)/25)*BQ167+(1-EXP(-LN(2)/25))/(LN(2)/25)*Calculateur!BL168*Calculateur!BN168*VLOOKUP('Données projet'!$B$11,Paramètres!$A$1:$I$89,3,0)*0.475*44/12</f>
        <v>0.38925584753098214</v>
      </c>
      <c r="BR168" s="23">
        <f>EXP(-LN(2)/2)*BR167+(1-EXP(-LN(2)/2))/(LN(2)/2)*BL168*BO168*VLOOKUP('Données projet'!$B$11,Paramètres!$A$1:$I$89,3,0)*0.475*44/12</f>
        <v>3.0378188688796021E-20</v>
      </c>
      <c r="BS168" s="24">
        <f t="shared" si="169"/>
        <v>1.0798848412606366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-2.8421709430404007E-13</v>
      </c>
      <c r="O169" s="14">
        <f>N169*VLOOKUP('Données projet'!$B$9,Paramètres!$A$1:$I$89,3,0)*VLOOKUP('Données projet'!$B$9,Paramètres!$A$1:$I$89,5,0)</f>
        <v>-1.69961822393816E-13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287.05726996114242</v>
      </c>
      <c r="T169" s="62">
        <f t="shared" si="142"/>
        <v>229.06617320689003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0.30360912494527448</v>
      </c>
      <c r="AB169" s="23">
        <f>EXP(-LN(2)/2)*AB168+(1-EXP(-LN(2)/2))/(LN(2)/2)*V169*Y169*VLOOKUP('Données projet'!$B$9,Paramètres!$A$1:$I$89,3,0)*0.475*44/12</f>
        <v>1.7831295038490439E-20</v>
      </c>
      <c r="AC169" s="24">
        <f t="shared" si="163"/>
        <v>0.30360912494527448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-5.1159076974727213E-13</v>
      </c>
      <c r="AJ169" s="14">
        <f>AI169*VLOOKUP('Données projet'!$B$10,Paramètres!$A$1:$I$89,3,0)*VLOOKUP('Données projet'!$B$10,Paramètres!$A$1:$I$89,5,0)</f>
        <v>-5.3471467253984886E-13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493.70175665335978</v>
      </c>
      <c r="AO169" s="62">
        <f t="shared" si="144"/>
        <v>325.12357781685949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293.3333333333353</v>
      </c>
      <c r="BI169" s="62">
        <f ca="1">AVERAGE(OFFSET($BH$3,0,0,'Données projet'!$E$11+1,1))-AVERAGE(OFFSET($H$3,0,0,'Données projet'!$E$11+1,1))</f>
        <v>260.02504691866199</v>
      </c>
      <c r="BJ169" s="62">
        <f t="shared" si="146"/>
        <v>270.11268336406368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0.6770861804047078</v>
      </c>
      <c r="BQ169" s="23">
        <f>EXP(-LN(2)/25)*BQ168+(1-EXP(-LN(2)/25))/(LN(2)/25)*Calculateur!BL169*Calculateur!BN169*VLOOKUP('Données projet'!$B$11,Paramètres!$A$1:$I$89,3,0)*0.475*44/12</f>
        <v>0.37861162591017206</v>
      </c>
      <c r="BR169" s="23">
        <f>EXP(-LN(2)/2)*BR168+(1-EXP(-LN(2)/2))/(LN(2)/2)*BL169*BO169*VLOOKUP('Données projet'!$B$11,Paramètres!$A$1:$I$89,3,0)*0.475*44/12</f>
        <v>2.1480623222012141E-20</v>
      </c>
      <c r="BS169" s="24">
        <f t="shared" si="169"/>
        <v>1.0556978063148799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-2.8421709430404007E-13</v>
      </c>
      <c r="O170" s="14">
        <f>N170*VLOOKUP('Données projet'!$B$9,Paramètres!$A$1:$I$89,3,0)*VLOOKUP('Données projet'!$B$9,Paramètres!$A$1:$I$89,5,0)</f>
        <v>-1.69961822393816E-13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287.05726996114242</v>
      </c>
      <c r="T170" s="62">
        <f t="shared" si="142"/>
        <v>229.06617320689003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0.29530691745753596</v>
      </c>
      <c r="AB170" s="23">
        <f>EXP(-LN(2)/2)*AB169+(1-EXP(-LN(2)/2))/(LN(2)/2)*V170*Y170*VLOOKUP('Données projet'!$B$9,Paramètres!$A$1:$I$89,3,0)*0.475*44/12</f>
        <v>1.2608629639054629E-20</v>
      </c>
      <c r="AC170" s="24">
        <f t="shared" si="163"/>
        <v>0.29530691745753596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-5.1159076974727213E-13</v>
      </c>
      <c r="AJ170" s="14">
        <f>AI170*VLOOKUP('Données projet'!$B$10,Paramètres!$A$1:$I$89,3,0)*VLOOKUP('Données projet'!$B$10,Paramètres!$A$1:$I$89,5,0)</f>
        <v>-5.3471467253984886E-13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493.70175665335978</v>
      </c>
      <c r="AO170" s="62">
        <f t="shared" si="144"/>
        <v>325.12357781685949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293.3333333333353</v>
      </c>
      <c r="BI170" s="62">
        <f ca="1">AVERAGE(OFFSET($BH$3,0,0,'Données projet'!$E$11+1,1))-AVERAGE(OFFSET($H$3,0,0,'Données projet'!$E$11+1,1))</f>
        <v>260.02504691866199</v>
      </c>
      <c r="BJ170" s="62">
        <f t="shared" si="146"/>
        <v>270.11268336406368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0.66380893338876301</v>
      </c>
      <c r="BQ170" s="23">
        <f>EXP(-LN(2)/25)*BQ169+(1-EXP(-LN(2)/25))/(LN(2)/25)*Calculateur!BL170*Calculateur!BN170*VLOOKUP('Données projet'!$B$11,Paramètres!$A$1:$I$89,3,0)*0.475*44/12</f>
        <v>0.36825847108933835</v>
      </c>
      <c r="BR170" s="23">
        <f>EXP(-LN(2)/2)*BR169+(1-EXP(-LN(2)/2))/(LN(2)/2)*BL170*BO170*VLOOKUP('Données projet'!$B$11,Paramètres!$A$1:$I$89,3,0)*0.475*44/12</f>
        <v>1.518909434439801E-20</v>
      </c>
      <c r="BS170" s="24">
        <f t="shared" si="169"/>
        <v>1.0320674044781013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-2.8421709430404007E-13</v>
      </c>
      <c r="O171" s="14">
        <f>N171*VLOOKUP('Données projet'!$B$9,Paramètres!$A$1:$I$89,3,0)*VLOOKUP('Données projet'!$B$9,Paramètres!$A$1:$I$89,5,0)</f>
        <v>-1.69961822393816E-13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287.05726996114242</v>
      </c>
      <c r="T171" s="62">
        <f t="shared" si="142"/>
        <v>229.06617320689003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0.28723173427014376</v>
      </c>
      <c r="AB171" s="23">
        <f>EXP(-LN(2)/2)*AB170+(1-EXP(-LN(2)/2))/(LN(2)/2)*V171*Y171*VLOOKUP('Données projet'!$B$9,Paramètres!$A$1:$I$89,3,0)*0.475*44/12</f>
        <v>8.9156475192452193E-21</v>
      </c>
      <c r="AC171" s="24">
        <f t="shared" si="163"/>
        <v>0.28723173427014376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-5.1159076974727213E-13</v>
      </c>
      <c r="AJ171" s="14">
        <f>AI171*VLOOKUP('Données projet'!$B$10,Paramètres!$A$1:$I$89,3,0)*VLOOKUP('Données projet'!$B$10,Paramètres!$A$1:$I$89,5,0)</f>
        <v>-5.3471467253984886E-13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493.70175665335978</v>
      </c>
      <c r="AO171" s="62">
        <f t="shared" si="144"/>
        <v>325.12357781685949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293.3333333333353</v>
      </c>
      <c r="BI171" s="62">
        <f ca="1">AVERAGE(OFFSET($BH$3,0,0,'Données projet'!$E$11+1,1))-AVERAGE(OFFSET($H$3,0,0,'Données projet'!$E$11+1,1))</f>
        <v>260.02504691866199</v>
      </c>
      <c r="BJ171" s="62">
        <f t="shared" si="146"/>
        <v>270.11268336406368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0.65079204508847976</v>
      </c>
      <c r="BQ171" s="23">
        <f>EXP(-LN(2)/25)*BQ170+(1-EXP(-LN(2)/25))/(LN(2)/25)*Calculateur!BL171*Calculateur!BN171*VLOOKUP('Données projet'!$B$11,Paramètres!$A$1:$I$89,3,0)*0.475*44/12</f>
        <v>0.35818842383152905</v>
      </c>
      <c r="BR171" s="23">
        <f>EXP(-LN(2)/2)*BR170+(1-EXP(-LN(2)/2))/(LN(2)/2)*BL171*BO171*VLOOKUP('Données projet'!$B$11,Paramètres!$A$1:$I$89,3,0)*0.475*44/12</f>
        <v>1.074031161100607E-20</v>
      </c>
      <c r="BS171" s="24">
        <f t="shared" si="169"/>
        <v>1.0089804689200088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-2.8421709430404007E-13</v>
      </c>
      <c r="O172" s="14">
        <f>N172*VLOOKUP('Données projet'!$B$9,Paramètres!$A$1:$I$89,3,0)*VLOOKUP('Données projet'!$B$9,Paramètres!$A$1:$I$89,5,0)</f>
        <v>-1.69961822393816E-13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287.05726996114242</v>
      </c>
      <c r="T172" s="62">
        <f t="shared" si="142"/>
        <v>229.06617320689003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0.27937736739166624</v>
      </c>
      <c r="AB172" s="23">
        <f>EXP(-LN(2)/2)*AB171+(1-EXP(-LN(2)/2))/(LN(2)/2)*V172*Y172*VLOOKUP('Données projet'!$B$9,Paramètres!$A$1:$I$89,3,0)*0.475*44/12</f>
        <v>6.3043148195273146E-21</v>
      </c>
      <c r="AC172" s="24">
        <f t="shared" si="163"/>
        <v>0.27937736739166624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-5.1159076974727213E-13</v>
      </c>
      <c r="AJ172" s="14">
        <f>AI172*VLOOKUP('Données projet'!$B$10,Paramètres!$A$1:$I$89,3,0)*VLOOKUP('Données projet'!$B$10,Paramètres!$A$1:$I$89,5,0)</f>
        <v>-5.3471467253984886E-13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493.70175665335978</v>
      </c>
      <c r="AO172" s="62">
        <f t="shared" si="144"/>
        <v>325.12357781685949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293.3333333333353</v>
      </c>
      <c r="BI172" s="62">
        <f ca="1">AVERAGE(OFFSET($BH$3,0,0,'Données projet'!$E$11+1,1))-AVERAGE(OFFSET($H$3,0,0,'Données projet'!$E$11+1,1))</f>
        <v>260.02504691866199</v>
      </c>
      <c r="BJ172" s="62">
        <f t="shared" si="146"/>
        <v>270.11268336406368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0.63803041002824723</v>
      </c>
      <c r="BQ172" s="23">
        <f>EXP(-LN(2)/25)*BQ171+(1-EXP(-LN(2)/25))/(LN(2)/25)*Calculateur!BL172*Calculateur!BN172*VLOOKUP('Données projet'!$B$11,Paramètres!$A$1:$I$89,3,0)*0.475*44/12</f>
        <v>0.34839374254554534</v>
      </c>
      <c r="BR172" s="23">
        <f>EXP(-LN(2)/2)*BR171+(1-EXP(-LN(2)/2))/(LN(2)/2)*BL172*BO172*VLOOKUP('Données projet'!$B$11,Paramètres!$A$1:$I$89,3,0)*0.475*44/12</f>
        <v>7.5945471721990052E-21</v>
      </c>
      <c r="BS172" s="24">
        <f t="shared" si="169"/>
        <v>0.98642415257379257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-2.8421709430404007E-13</v>
      </c>
      <c r="O173" s="14">
        <f>N173*VLOOKUP('Données projet'!$B$9,Paramètres!$A$1:$I$89,3,0)*VLOOKUP('Données projet'!$B$9,Paramètres!$A$1:$I$89,5,0)</f>
        <v>-1.69961822393816E-13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287.05726996114242</v>
      </c>
      <c r="T173" s="62">
        <f t="shared" si="142"/>
        <v>229.06617320689003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0.27173777858852388</v>
      </c>
      <c r="AB173" s="23">
        <f>EXP(-LN(2)/2)*AB172+(1-EXP(-LN(2)/2))/(LN(2)/2)*V173*Y173*VLOOKUP('Données projet'!$B$9,Paramètres!$A$1:$I$89,3,0)*0.475*44/12</f>
        <v>4.4578237596226096E-21</v>
      </c>
      <c r="AC173" s="24">
        <f t="shared" si="163"/>
        <v>0.27173777858852388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-5.1159076974727213E-13</v>
      </c>
      <c r="AJ173" s="14">
        <f>AI173*VLOOKUP('Données projet'!$B$10,Paramètres!$A$1:$I$89,3,0)*VLOOKUP('Données projet'!$B$10,Paramètres!$A$1:$I$89,5,0)</f>
        <v>-5.3471467253984886E-13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493.70175665335978</v>
      </c>
      <c r="AO173" s="62">
        <f t="shared" si="144"/>
        <v>325.12357781685949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293.3333333333353</v>
      </c>
      <c r="BI173" s="62">
        <f ca="1">AVERAGE(OFFSET($BH$3,0,0,'Données projet'!$E$11+1,1))-AVERAGE(OFFSET($H$3,0,0,'Données projet'!$E$11+1,1))</f>
        <v>260.02504691866199</v>
      </c>
      <c r="BJ173" s="62">
        <f t="shared" si="146"/>
        <v>270.11268336406368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0.6255190228477171</v>
      </c>
      <c r="BQ173" s="23">
        <f>EXP(-LN(2)/25)*BQ172+(1-EXP(-LN(2)/25))/(LN(2)/25)*Calculateur!BL173*Calculateur!BN173*VLOOKUP('Données projet'!$B$11,Paramètres!$A$1:$I$89,3,0)*0.475*44/12</f>
        <v>0.33886689733440672</v>
      </c>
      <c r="BR173" s="23">
        <f>EXP(-LN(2)/2)*BR172+(1-EXP(-LN(2)/2))/(LN(2)/2)*BL173*BO173*VLOOKUP('Données projet'!$B$11,Paramètres!$A$1:$I$89,3,0)*0.475*44/12</f>
        <v>5.3701558055030352E-21</v>
      </c>
      <c r="BS173" s="24">
        <f t="shared" si="169"/>
        <v>0.96438592018212388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-2.8421709430404007E-13</v>
      </c>
      <c r="O174" s="14">
        <f>N174*VLOOKUP('Données projet'!$B$9,Paramètres!$A$1:$I$89,3,0)*VLOOKUP('Données projet'!$B$9,Paramètres!$A$1:$I$89,5,0)</f>
        <v>-1.69961822393816E-13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287.05726996114242</v>
      </c>
      <c r="T174" s="62">
        <f t="shared" si="142"/>
        <v>229.06617320689003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0.264307094742952</v>
      </c>
      <c r="AB174" s="23">
        <f>EXP(-LN(2)/2)*AB173+(1-EXP(-LN(2)/2))/(LN(2)/2)*V174*Y174*VLOOKUP('Données projet'!$B$9,Paramètres!$A$1:$I$89,3,0)*0.475*44/12</f>
        <v>3.1521574097636573E-21</v>
      </c>
      <c r="AC174" s="24">
        <f t="shared" si="163"/>
        <v>0.264307094742952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-5.1159076974727213E-13</v>
      </c>
      <c r="AJ174" s="14">
        <f>AI174*VLOOKUP('Données projet'!$B$10,Paramètres!$A$1:$I$89,3,0)*VLOOKUP('Données projet'!$B$10,Paramètres!$A$1:$I$89,5,0)</f>
        <v>-5.3471467253984886E-13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493.70175665335978</v>
      </c>
      <c r="AO174" s="62">
        <f t="shared" si="144"/>
        <v>325.12357781685949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293.3333333333353</v>
      </c>
      <c r="BI174" s="62">
        <f ca="1">AVERAGE(OFFSET($BH$3,0,0,'Données projet'!$E$11+1,1))-AVERAGE(OFFSET($H$3,0,0,'Données projet'!$E$11+1,1))</f>
        <v>260.02504691866199</v>
      </c>
      <c r="BJ174" s="62">
        <f t="shared" si="146"/>
        <v>270.11268336406368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0.61325297633860443</v>
      </c>
      <c r="BQ174" s="23">
        <f>EXP(-LN(2)/25)*BQ173+(1-EXP(-LN(2)/25))/(LN(2)/25)*Calculateur!BL174*Calculateur!BN174*VLOOKUP('Données projet'!$B$11,Paramètres!$A$1:$I$89,3,0)*0.475*44/12</f>
        <v>0.32960056420656175</v>
      </c>
      <c r="BR174" s="23">
        <f>EXP(-LN(2)/2)*BR173+(1-EXP(-LN(2)/2))/(LN(2)/2)*BL174*BO174*VLOOKUP('Données projet'!$B$11,Paramètres!$A$1:$I$89,3,0)*0.475*44/12</f>
        <v>3.7972735860995026E-21</v>
      </c>
      <c r="BS174" s="24">
        <f t="shared" si="169"/>
        <v>0.94285354054516612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-2.8421709430404007E-13</v>
      </c>
      <c r="O175" s="14">
        <f>N175*VLOOKUP('Données projet'!$B$9,Paramètres!$A$1:$I$89,3,0)*VLOOKUP('Données projet'!$B$9,Paramètres!$A$1:$I$89,5,0)</f>
        <v>-1.69961822393816E-13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287.05726996114242</v>
      </c>
      <c r="T175" s="62">
        <f t="shared" si="142"/>
        <v>229.06617320689003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0.25707960333789992</v>
      </c>
      <c r="AB175" s="23">
        <f>EXP(-LN(2)/2)*AB174+(1-EXP(-LN(2)/2))/(LN(2)/2)*V175*Y175*VLOOKUP('Données projet'!$B$9,Paramètres!$A$1:$I$89,3,0)*0.475*44/12</f>
        <v>2.2289118798113048E-21</v>
      </c>
      <c r="AC175" s="24">
        <f t="shared" si="163"/>
        <v>0.25707960333789992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-5.1159076974727213E-13</v>
      </c>
      <c r="AJ175" s="14">
        <f>AI175*VLOOKUP('Données projet'!$B$10,Paramètres!$A$1:$I$89,3,0)*VLOOKUP('Données projet'!$B$10,Paramètres!$A$1:$I$89,5,0)</f>
        <v>-5.3471467253984886E-13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493.70175665335978</v>
      </c>
      <c r="AO175" s="62">
        <f t="shared" si="144"/>
        <v>325.12357781685949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293.3333333333353</v>
      </c>
      <c r="BI175" s="62">
        <f ca="1">AVERAGE(OFFSET($BH$3,0,0,'Données projet'!$E$11+1,1))-AVERAGE(OFFSET($H$3,0,0,'Données projet'!$E$11+1,1))</f>
        <v>260.02504691866199</v>
      </c>
      <c r="BJ175" s="62">
        <f t="shared" si="146"/>
        <v>270.11268336406368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0.6012274595199858</v>
      </c>
      <c r="BQ175" s="23">
        <f>EXP(-LN(2)/25)*BQ174+(1-EXP(-LN(2)/25))/(LN(2)/25)*Calculateur!BL175*Calculateur!BN175*VLOOKUP('Données projet'!$B$11,Paramètres!$A$1:$I$89,3,0)*0.475*44/12</f>
        <v>0.32058761944539294</v>
      </c>
      <c r="BR175" s="23">
        <f>EXP(-LN(2)/2)*BR174+(1-EXP(-LN(2)/2))/(LN(2)/2)*BL175*BO175*VLOOKUP('Données projet'!$B$11,Paramètres!$A$1:$I$89,3,0)*0.475*44/12</f>
        <v>2.6850779027515176E-21</v>
      </c>
      <c r="BS175" s="24">
        <f t="shared" si="169"/>
        <v>0.92181507896537873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-2.8421709430404007E-13</v>
      </c>
      <c r="O176" s="14">
        <f>N176*VLOOKUP('Données projet'!$B$9,Paramètres!$A$1:$I$89,3,0)*VLOOKUP('Données projet'!$B$9,Paramètres!$A$1:$I$89,5,0)</f>
        <v>-1.69961822393816E-13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287.05726996114242</v>
      </c>
      <c r="T176" s="62">
        <f t="shared" si="142"/>
        <v>229.06617320689003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0.25004974806539626</v>
      </c>
      <c r="AB176" s="23">
        <f>EXP(-LN(2)/2)*AB175+(1-EXP(-LN(2)/2))/(LN(2)/2)*V176*Y176*VLOOKUP('Données projet'!$B$9,Paramètres!$A$1:$I$89,3,0)*0.475*44/12</f>
        <v>1.5760787048818286E-21</v>
      </c>
      <c r="AC176" s="24">
        <f t="shared" si="163"/>
        <v>0.25004974806539626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-5.1159076974727213E-13</v>
      </c>
      <c r="AJ176" s="14">
        <f>AI176*VLOOKUP('Données projet'!$B$10,Paramètres!$A$1:$I$89,3,0)*VLOOKUP('Données projet'!$B$10,Paramètres!$A$1:$I$89,5,0)</f>
        <v>-5.3471467253984886E-13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493.70175665335978</v>
      </c>
      <c r="AO176" s="62">
        <f t="shared" si="144"/>
        <v>325.12357781685949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293.3333333333353</v>
      </c>
      <c r="BI176" s="62">
        <f ca="1">AVERAGE(OFFSET($BH$3,0,0,'Données projet'!$E$11+1,1))-AVERAGE(OFFSET($H$3,0,0,'Données projet'!$E$11+1,1))</f>
        <v>260.02504691866199</v>
      </c>
      <c r="BJ176" s="62">
        <f t="shared" si="146"/>
        <v>270.11268336406368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0.58943775575133928</v>
      </c>
      <c r="BQ176" s="23">
        <f>EXP(-LN(2)/25)*BQ175+(1-EXP(-LN(2)/25))/(LN(2)/25)*Calculateur!BL176*Calculateur!BN176*VLOOKUP('Données projet'!$B$11,Paramètres!$A$1:$I$89,3,0)*0.475*44/12</f>
        <v>0.31182113413268847</v>
      </c>
      <c r="BR176" s="23">
        <f>EXP(-LN(2)/2)*BR175+(1-EXP(-LN(2)/2))/(LN(2)/2)*BL176*BO176*VLOOKUP('Données projet'!$B$11,Paramètres!$A$1:$I$89,3,0)*0.475*44/12</f>
        <v>1.8986367930497513E-21</v>
      </c>
      <c r="BS176" s="24">
        <f t="shared" si="169"/>
        <v>0.90125888988402769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-2.8421709430404007E-13</v>
      </c>
      <c r="O177" s="14">
        <f>N177*VLOOKUP('Données projet'!$B$9,Paramètres!$A$1:$I$89,3,0)*VLOOKUP('Données projet'!$B$9,Paramètres!$A$1:$I$89,5,0)</f>
        <v>-1.69961822393816E-13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287.05726996114242</v>
      </c>
      <c r="T177" s="62">
        <f t="shared" si="142"/>
        <v>229.06617320689003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0.24321212455500324</v>
      </c>
      <c r="AB177" s="23">
        <f>EXP(-LN(2)/2)*AB176+(1-EXP(-LN(2)/2))/(LN(2)/2)*V177*Y177*VLOOKUP('Données projet'!$B$9,Paramètres!$A$1:$I$89,3,0)*0.475*44/12</f>
        <v>1.1144559399056524E-21</v>
      </c>
      <c r="AC177" s="24">
        <f t="shared" si="163"/>
        <v>0.24321212455500324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-5.1159076974727213E-13</v>
      </c>
      <c r="AJ177" s="14">
        <f>AI177*VLOOKUP('Données projet'!$B$10,Paramètres!$A$1:$I$89,3,0)*VLOOKUP('Données projet'!$B$10,Paramètres!$A$1:$I$89,5,0)</f>
        <v>-5.3471467253984886E-13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493.70175665335978</v>
      </c>
      <c r="AO177" s="62">
        <f t="shared" si="144"/>
        <v>325.12357781685949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293.3333333333353</v>
      </c>
      <c r="BI177" s="62">
        <f ca="1">AVERAGE(OFFSET($BH$3,0,0,'Données projet'!$E$11+1,1))-AVERAGE(OFFSET($H$3,0,0,'Données projet'!$E$11+1,1))</f>
        <v>260.02504691866199</v>
      </c>
      <c r="BJ177" s="62">
        <f t="shared" si="146"/>
        <v>270.11268336406368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0.57787924088258669</v>
      </c>
      <c r="BQ177" s="23">
        <f>EXP(-LN(2)/25)*BQ176+(1-EXP(-LN(2)/25))/(LN(2)/25)*Calculateur!BL177*Calculateur!BN177*VLOOKUP('Données projet'!$B$11,Paramètres!$A$1:$I$89,3,0)*0.475*44/12</f>
        <v>0.30329436882186933</v>
      </c>
      <c r="BR177" s="23">
        <f>EXP(-LN(2)/2)*BR176+(1-EXP(-LN(2)/2))/(LN(2)/2)*BL177*BO177*VLOOKUP('Données projet'!$B$11,Paramètres!$A$1:$I$89,3,0)*0.475*44/12</f>
        <v>1.3425389513757588E-21</v>
      </c>
      <c r="BS177" s="24">
        <f t="shared" si="169"/>
        <v>0.88117360970445602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-2.8421709430404007E-13</v>
      </c>
      <c r="O178" s="14">
        <f>N178*VLOOKUP('Données projet'!$B$9,Paramètres!$A$1:$I$89,3,0)*VLOOKUP('Données projet'!$B$9,Paramètres!$A$1:$I$89,5,0)</f>
        <v>-1.69961822393816E-13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287.05726996114242</v>
      </c>
      <c r="T178" s="62">
        <f t="shared" si="142"/>
        <v>229.06617320689003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0.23656147621907692</v>
      </c>
      <c r="AB178" s="23">
        <f>EXP(-LN(2)/2)*AB177+(1-EXP(-LN(2)/2))/(LN(2)/2)*V178*Y178*VLOOKUP('Données projet'!$B$9,Paramètres!$A$1:$I$89,3,0)*0.475*44/12</f>
        <v>7.8803935244091432E-22</v>
      </c>
      <c r="AC178" s="24">
        <f t="shared" si="163"/>
        <v>0.23656147621907692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-5.1159076974727213E-13</v>
      </c>
      <c r="AJ178" s="14">
        <f>AI178*VLOOKUP('Données projet'!$B$10,Paramètres!$A$1:$I$89,3,0)*VLOOKUP('Données projet'!$B$10,Paramètres!$A$1:$I$89,5,0)</f>
        <v>-5.3471467253984886E-13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493.70175665335978</v>
      </c>
      <c r="AO178" s="62">
        <f t="shared" si="144"/>
        <v>325.12357781685949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293.3333333333353</v>
      </c>
      <c r="BI178" s="62">
        <f ca="1">AVERAGE(OFFSET($BH$3,0,0,'Données projet'!$E$11+1,1))-AVERAGE(OFFSET($H$3,0,0,'Données projet'!$E$11+1,1))</f>
        <v>260.02504691866199</v>
      </c>
      <c r="BJ178" s="62">
        <f t="shared" si="146"/>
        <v>270.11268336406368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0.56654738144041239</v>
      </c>
      <c r="BQ178" s="23">
        <f>EXP(-LN(2)/25)*BQ177+(1-EXP(-LN(2)/25))/(LN(2)/25)*Calculateur!BL178*Calculateur!BN178*VLOOKUP('Données projet'!$B$11,Paramètres!$A$1:$I$89,3,0)*0.475*44/12</f>
        <v>0.29500076835687766</v>
      </c>
      <c r="BR178" s="23">
        <f>EXP(-LN(2)/2)*BR177+(1-EXP(-LN(2)/2))/(LN(2)/2)*BL178*BO178*VLOOKUP('Données projet'!$B$11,Paramètres!$A$1:$I$89,3,0)*0.475*44/12</f>
        <v>9.4931839652487565E-22</v>
      </c>
      <c r="BS178" s="24">
        <f t="shared" si="169"/>
        <v>0.86154814979729011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-2.8421709430404007E-13</v>
      </c>
      <c r="O179" s="14">
        <f>N179*VLOOKUP('Données projet'!$B$9,Paramètres!$A$1:$I$89,3,0)*VLOOKUP('Données projet'!$B$9,Paramètres!$A$1:$I$89,5,0)</f>
        <v>-1.69961822393816E-13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287.05726996114242</v>
      </c>
      <c r="T179" s="62">
        <f t="shared" si="142"/>
        <v>229.06617320689003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0.23009269021163889</v>
      </c>
      <c r="AB179" s="23">
        <f>EXP(-LN(2)/2)*AB178+(1-EXP(-LN(2)/2))/(LN(2)/2)*V179*Y179*VLOOKUP('Données projet'!$B$9,Paramètres!$A$1:$I$89,3,0)*0.475*44/12</f>
        <v>5.5722796995282621E-22</v>
      </c>
      <c r="AC179" s="24">
        <f t="shared" si="163"/>
        <v>0.23009269021163889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-5.1159076974727213E-13</v>
      </c>
      <c r="AJ179" s="14">
        <f>AI179*VLOOKUP('Données projet'!$B$10,Paramètres!$A$1:$I$89,3,0)*VLOOKUP('Données projet'!$B$10,Paramètres!$A$1:$I$89,5,0)</f>
        <v>-5.3471467253984886E-13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493.70175665335978</v>
      </c>
      <c r="AO179" s="62">
        <f t="shared" si="144"/>
        <v>325.12357781685949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293.3333333333353</v>
      </c>
      <c r="BI179" s="62">
        <f ca="1">AVERAGE(OFFSET($BH$3,0,0,'Données projet'!$E$11+1,1))-AVERAGE(OFFSET($H$3,0,0,'Données projet'!$E$11+1,1))</f>
        <v>260.02504691866199</v>
      </c>
      <c r="BJ179" s="62">
        <f t="shared" si="146"/>
        <v>270.11268336406368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0.55543773285014741</v>
      </c>
      <c r="BQ179" s="23">
        <f>EXP(-LN(2)/25)*BQ178+(1-EXP(-LN(2)/25))/(LN(2)/25)*Calculateur!BL179*Calculateur!BN179*VLOOKUP('Données projet'!$B$11,Paramètres!$A$1:$I$89,3,0)*0.475*44/12</f>
        <v>0.28693395683274264</v>
      </c>
      <c r="BR179" s="23">
        <f>EXP(-LN(2)/2)*BR178+(1-EXP(-LN(2)/2))/(LN(2)/2)*BL179*BO179*VLOOKUP('Données projet'!$B$11,Paramètres!$A$1:$I$89,3,0)*0.475*44/12</f>
        <v>6.712694756878794E-22</v>
      </c>
      <c r="BS179" s="24">
        <f t="shared" si="169"/>
        <v>0.84237168968289011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-2.8421709430404007E-13</v>
      </c>
      <c r="O180" s="14">
        <f>N180*VLOOKUP('Données projet'!$B$9,Paramètres!$A$1:$I$89,3,0)*VLOOKUP('Données projet'!$B$9,Paramètres!$A$1:$I$89,5,0)</f>
        <v>-1.69961822393816E-13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287.05726996114242</v>
      </c>
      <c r="T180" s="62">
        <f t="shared" si="142"/>
        <v>229.06617320689003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0.22380079349775292</v>
      </c>
      <c r="AB180" s="23">
        <f>EXP(-LN(2)/2)*AB179+(1-EXP(-LN(2)/2))/(LN(2)/2)*V180*Y180*VLOOKUP('Données projet'!$B$9,Paramètres!$A$1:$I$89,3,0)*0.475*44/12</f>
        <v>3.9401967622045716E-22</v>
      </c>
      <c r="AC180" s="24">
        <f t="shared" si="163"/>
        <v>0.22380079349775292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-5.1159076974727213E-13</v>
      </c>
      <c r="AJ180" s="14">
        <f>AI180*VLOOKUP('Données projet'!$B$10,Paramètres!$A$1:$I$89,3,0)*VLOOKUP('Données projet'!$B$10,Paramètres!$A$1:$I$89,5,0)</f>
        <v>-5.3471467253984886E-13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493.70175665335978</v>
      </c>
      <c r="AO180" s="62">
        <f t="shared" si="144"/>
        <v>325.12357781685949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293.3333333333353</v>
      </c>
      <c r="BI180" s="62">
        <f ca="1">AVERAGE(OFFSET($BH$3,0,0,'Données projet'!$E$11+1,1))-AVERAGE(OFFSET($H$3,0,0,'Données projet'!$E$11+1,1))</f>
        <v>260.02504691866199</v>
      </c>
      <c r="BJ180" s="62">
        <f t="shared" si="146"/>
        <v>270.11268336406368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0.54454593769252091</v>
      </c>
      <c r="BQ180" s="23">
        <f>EXP(-LN(2)/25)*BQ179+(1-EXP(-LN(2)/25))/(LN(2)/25)*Calculateur!BL180*Calculateur!BN180*VLOOKUP('Données projet'!$B$11,Paramètres!$A$1:$I$89,3,0)*0.475*44/12</f>
        <v>0.27908773269395032</v>
      </c>
      <c r="BR180" s="23">
        <f>EXP(-LN(2)/2)*BR179+(1-EXP(-LN(2)/2))/(LN(2)/2)*BL180*BO180*VLOOKUP('Données projet'!$B$11,Paramètres!$A$1:$I$89,3,0)*0.475*44/12</f>
        <v>4.7465919826243782E-22</v>
      </c>
      <c r="BS180" s="24">
        <f t="shared" si="169"/>
        <v>0.82363367038647128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-2.8421709430404007E-13</v>
      </c>
      <c r="O181" s="14">
        <f>N181*VLOOKUP('Données projet'!$B$9,Paramètres!$A$1:$I$89,3,0)*VLOOKUP('Données projet'!$B$9,Paramètres!$A$1:$I$89,5,0)</f>
        <v>-1.69961822393816E-13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287.05726996114242</v>
      </c>
      <c r="T181" s="62">
        <f t="shared" si="142"/>
        <v>229.06617320689003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0.21768094903038465</v>
      </c>
      <c r="AB181" s="23">
        <f>EXP(-LN(2)/2)*AB180+(1-EXP(-LN(2)/2))/(LN(2)/2)*V181*Y181*VLOOKUP('Données projet'!$B$9,Paramètres!$A$1:$I$89,3,0)*0.475*44/12</f>
        <v>2.786139849764131E-22</v>
      </c>
      <c r="AC181" s="24">
        <f t="shared" si="163"/>
        <v>0.21768094903038465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-5.1159076974727213E-13</v>
      </c>
      <c r="AJ181" s="14">
        <f>AI181*VLOOKUP('Données projet'!$B$10,Paramètres!$A$1:$I$89,3,0)*VLOOKUP('Données projet'!$B$10,Paramètres!$A$1:$I$89,5,0)</f>
        <v>-5.3471467253984886E-13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493.70175665335978</v>
      </c>
      <c r="AO181" s="62">
        <f t="shared" si="144"/>
        <v>325.12357781685949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293.3333333333353</v>
      </c>
      <c r="BI181" s="62">
        <f ca="1">AVERAGE(OFFSET($BH$3,0,0,'Données projet'!$E$11+1,1))-AVERAGE(OFFSET($H$3,0,0,'Données projet'!$E$11+1,1))</f>
        <v>260.02504691866199</v>
      </c>
      <c r="BJ181" s="62">
        <f t="shared" si="146"/>
        <v>270.11268336406368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0.53386772399459648</v>
      </c>
      <c r="BQ181" s="23">
        <f>EXP(-LN(2)/25)*BQ180+(1-EXP(-LN(2)/25))/(LN(2)/25)*Calculateur!BL181*Calculateur!BN181*VLOOKUP('Données projet'!$B$11,Paramètres!$A$1:$I$89,3,0)*0.475*44/12</f>
        <v>0.27145606396684824</v>
      </c>
      <c r="BR181" s="23">
        <f>EXP(-LN(2)/2)*BR180+(1-EXP(-LN(2)/2))/(LN(2)/2)*BL181*BO181*VLOOKUP('Données projet'!$B$11,Paramètres!$A$1:$I$89,3,0)*0.475*44/12</f>
        <v>3.356347378439397E-22</v>
      </c>
      <c r="BS181" s="24">
        <f t="shared" si="169"/>
        <v>0.80532378796144477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-2.8421709430404007E-13</v>
      </c>
      <c r="O182" s="14">
        <f>N182*VLOOKUP('Données projet'!$B$9,Paramètres!$A$1:$I$89,3,0)*VLOOKUP('Données projet'!$B$9,Paramètres!$A$1:$I$89,5,0)</f>
        <v>-1.69961822393816E-13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287.05726996114242</v>
      </c>
      <c r="T182" s="62">
        <f t="shared" si="142"/>
        <v>229.06617320689003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0.21172845203180518</v>
      </c>
      <c r="AB182" s="23">
        <f>EXP(-LN(2)/2)*AB181+(1-EXP(-LN(2)/2))/(LN(2)/2)*V182*Y182*VLOOKUP('Données projet'!$B$9,Paramètres!$A$1:$I$89,3,0)*0.475*44/12</f>
        <v>1.9700983811022858E-22</v>
      </c>
      <c r="AC182" s="24">
        <f t="shared" si="163"/>
        <v>0.21172845203180518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-5.1159076974727213E-13</v>
      </c>
      <c r="AJ182" s="14">
        <f>AI182*VLOOKUP('Données projet'!$B$10,Paramètres!$A$1:$I$89,3,0)*VLOOKUP('Données projet'!$B$10,Paramètres!$A$1:$I$89,5,0)</f>
        <v>-5.3471467253984886E-13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493.70175665335978</v>
      </c>
      <c r="AO182" s="62">
        <f t="shared" si="144"/>
        <v>325.12357781685949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293.3333333333353</v>
      </c>
      <c r="BI182" s="62">
        <f ca="1">AVERAGE(OFFSET($BH$3,0,0,'Données projet'!$E$11+1,1))-AVERAGE(OFFSET($H$3,0,0,'Données projet'!$E$11+1,1))</f>
        <v>260.02504691866199</v>
      </c>
      <c r="BJ182" s="62">
        <f t="shared" si="146"/>
        <v>270.11268336406368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0.52339890355422103</v>
      </c>
      <c r="BQ182" s="23">
        <f>EXP(-LN(2)/25)*BQ181+(1-EXP(-LN(2)/25))/(LN(2)/25)*Calculateur!BL182*Calculateur!BN182*VLOOKUP('Données projet'!$B$11,Paramètres!$A$1:$I$89,3,0)*0.475*44/12</f>
        <v>0.26403308362242078</v>
      </c>
      <c r="BR182" s="23">
        <f>EXP(-LN(2)/2)*BR181+(1-EXP(-LN(2)/2))/(LN(2)/2)*BL182*BO182*VLOOKUP('Données projet'!$B$11,Paramètres!$A$1:$I$89,3,0)*0.475*44/12</f>
        <v>2.3732959913121891E-22</v>
      </c>
      <c r="BS182" s="24">
        <f t="shared" si="169"/>
        <v>0.78743198717664176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-2.8421709430404007E-13</v>
      </c>
      <c r="O183" s="14">
        <f>N183*VLOOKUP('Données projet'!$B$9,Paramètres!$A$1:$I$89,3,0)*VLOOKUP('Données projet'!$B$9,Paramètres!$A$1:$I$89,5,0)</f>
        <v>-1.69961822393816E-13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287.05726996114242</v>
      </c>
      <c r="T183" s="62">
        <f t="shared" si="142"/>
        <v>229.06617320689003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0.20593872637668009</v>
      </c>
      <c r="AB183" s="23">
        <f>EXP(-LN(2)/2)*AB182+(1-EXP(-LN(2)/2))/(LN(2)/2)*V183*Y183*VLOOKUP('Données projet'!$B$9,Paramètres!$A$1:$I$89,3,0)*0.475*44/12</f>
        <v>1.3930699248820655E-22</v>
      </c>
      <c r="AC183" s="24">
        <f t="shared" si="163"/>
        <v>0.20593872637668009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-5.1159076974727213E-13</v>
      </c>
      <c r="AJ183" s="14">
        <f>AI183*VLOOKUP('Données projet'!$B$10,Paramètres!$A$1:$I$89,3,0)*VLOOKUP('Données projet'!$B$10,Paramètres!$A$1:$I$89,5,0)</f>
        <v>-5.3471467253984886E-13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493.70175665335978</v>
      </c>
      <c r="AO183" s="62">
        <f t="shared" si="144"/>
        <v>325.12357781685949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293.3333333333353</v>
      </c>
      <c r="BI183" s="62">
        <f ca="1">AVERAGE(OFFSET($BH$3,0,0,'Données projet'!$E$11+1,1))-AVERAGE(OFFSET($H$3,0,0,'Données projet'!$E$11+1,1))</f>
        <v>260.02504691866199</v>
      </c>
      <c r="BJ183" s="62">
        <f t="shared" si="146"/>
        <v>270.11268336406368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0.51313537029733136</v>
      </c>
      <c r="BQ183" s="23">
        <f>EXP(-LN(2)/25)*BQ182+(1-EXP(-LN(2)/25))/(LN(2)/25)*Calculateur!BL183*Calculateur!BN183*VLOOKUP('Données projet'!$B$11,Paramètres!$A$1:$I$89,3,0)*0.475*44/12</f>
        <v>0.25681308506586925</v>
      </c>
      <c r="BR183" s="23">
        <f>EXP(-LN(2)/2)*BR182+(1-EXP(-LN(2)/2))/(LN(2)/2)*BL183*BO183*VLOOKUP('Données projet'!$B$11,Paramètres!$A$1:$I$89,3,0)*0.475*44/12</f>
        <v>1.6781736892196985E-22</v>
      </c>
      <c r="BS183" s="24">
        <f t="shared" si="169"/>
        <v>0.76994845536320056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-2.8421709430404007E-13</v>
      </c>
      <c r="O184" s="14">
        <f>N184*VLOOKUP('Données projet'!$B$9,Paramètres!$A$1:$I$89,3,0)*VLOOKUP('Données projet'!$B$9,Paramètres!$A$1:$I$89,5,0)</f>
        <v>-1.69961822393816E-13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287.05726996114242</v>
      </c>
      <c r="T184" s="62">
        <f t="shared" si="142"/>
        <v>229.06617320689003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0.20030732107406282</v>
      </c>
      <c r="AB184" s="23">
        <f>EXP(-LN(2)/2)*AB183+(1-EXP(-LN(2)/2))/(LN(2)/2)*V184*Y184*VLOOKUP('Données projet'!$B$9,Paramètres!$A$1:$I$89,3,0)*0.475*44/12</f>
        <v>9.8504919055114291E-23</v>
      </c>
      <c r="AC184" s="24">
        <f t="shared" si="163"/>
        <v>0.20030732107406282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-5.1159076974727213E-13</v>
      </c>
      <c r="AJ184" s="14">
        <f>AI184*VLOOKUP('Données projet'!$B$10,Paramètres!$A$1:$I$89,3,0)*VLOOKUP('Données projet'!$B$10,Paramètres!$A$1:$I$89,5,0)</f>
        <v>-5.3471467253984886E-13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493.70175665335978</v>
      </c>
      <c r="AO184" s="62">
        <f t="shared" si="144"/>
        <v>325.12357781685949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293.3333333333353</v>
      </c>
      <c r="BI184" s="62">
        <f ca="1">AVERAGE(OFFSET($BH$3,0,0,'Données projet'!$E$11+1,1))-AVERAGE(OFFSET($H$3,0,0,'Données projet'!$E$11+1,1))</f>
        <v>260.02504691866199</v>
      </c>
      <c r="BJ184" s="62">
        <f t="shared" si="146"/>
        <v>270.11268336406368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0.50307309866747218</v>
      </c>
      <c r="BQ184" s="23">
        <f>EXP(-LN(2)/25)*BQ183+(1-EXP(-LN(2)/25))/(LN(2)/25)*Calculateur!BL184*Calculateur!BN184*VLOOKUP('Données projet'!$B$11,Paramètres!$A$1:$I$89,3,0)*0.475*44/12</f>
        <v>0.24979051774952987</v>
      </c>
      <c r="BR184" s="23">
        <f>EXP(-LN(2)/2)*BR183+(1-EXP(-LN(2)/2))/(LN(2)/2)*BL184*BO184*VLOOKUP('Données projet'!$B$11,Paramètres!$A$1:$I$89,3,0)*0.475*44/12</f>
        <v>1.1866479956560946E-22</v>
      </c>
      <c r="BS184" s="24">
        <f t="shared" si="169"/>
        <v>0.75286361641700206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-2.8421709430404007E-13</v>
      </c>
      <c r="O185" s="14">
        <f>N185*VLOOKUP('Données projet'!$B$9,Paramètres!$A$1:$I$89,3,0)*VLOOKUP('Données projet'!$B$9,Paramètres!$A$1:$I$89,5,0)</f>
        <v>-1.69961822393816E-13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287.05726996114242</v>
      </c>
      <c r="T185" s="62">
        <f t="shared" si="142"/>
        <v>229.06617320689003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0.19482990684558837</v>
      </c>
      <c r="AB185" s="23">
        <f>EXP(-LN(2)/2)*AB184+(1-EXP(-LN(2)/2))/(LN(2)/2)*V185*Y185*VLOOKUP('Données projet'!$B$9,Paramètres!$A$1:$I$89,3,0)*0.475*44/12</f>
        <v>6.9653496244103276E-23</v>
      </c>
      <c r="AC185" s="24">
        <f t="shared" si="163"/>
        <v>0.19482990684558837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-5.1159076974727213E-13</v>
      </c>
      <c r="AJ185" s="14">
        <f>AI185*VLOOKUP('Données projet'!$B$10,Paramètres!$A$1:$I$89,3,0)*VLOOKUP('Données projet'!$B$10,Paramètres!$A$1:$I$89,5,0)</f>
        <v>-5.3471467253984886E-13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493.70175665335978</v>
      </c>
      <c r="AO185" s="62">
        <f t="shared" si="144"/>
        <v>325.12357781685949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293.3333333333353</v>
      </c>
      <c r="BI185" s="62">
        <f ca="1">AVERAGE(OFFSET($BH$3,0,0,'Données projet'!$E$11+1,1))-AVERAGE(OFFSET($H$3,0,0,'Données projet'!$E$11+1,1))</f>
        <v>260.02504691866199</v>
      </c>
      <c r="BJ185" s="62">
        <f t="shared" si="146"/>
        <v>270.11268336406368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0.49320814204689489</v>
      </c>
      <c r="BQ185" s="23">
        <f>EXP(-LN(2)/25)*BQ184+(1-EXP(-LN(2)/25))/(LN(2)/25)*Calculateur!BL185*Calculateur!BN185*VLOOKUP('Données projet'!$B$11,Paramètres!$A$1:$I$89,3,0)*0.475*44/12</f>
        <v>0.24295998290575654</v>
      </c>
      <c r="BR185" s="23">
        <f>EXP(-LN(2)/2)*BR184+(1-EXP(-LN(2)/2))/(LN(2)/2)*BL185*BO185*VLOOKUP('Données projet'!$B$11,Paramètres!$A$1:$I$89,3,0)*0.475*44/12</f>
        <v>8.3908684460984925E-23</v>
      </c>
      <c r="BS185" s="24">
        <f t="shared" si="169"/>
        <v>0.73616812495265149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-2.8421709430404007E-13</v>
      </c>
      <c r="O186" s="14">
        <f>N186*VLOOKUP('Données projet'!$B$9,Paramètres!$A$1:$I$89,3,0)*VLOOKUP('Données projet'!$B$9,Paramètres!$A$1:$I$89,5,0)</f>
        <v>-1.69961822393816E-13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287.05726996114242</v>
      </c>
      <c r="T186" s="62">
        <f t="shared" si="142"/>
        <v>229.06617320689003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0.18950227279723625</v>
      </c>
      <c r="AB186" s="23">
        <f>EXP(-LN(2)/2)*AB185+(1-EXP(-LN(2)/2))/(LN(2)/2)*V186*Y186*VLOOKUP('Données projet'!$B$9,Paramètres!$A$1:$I$89,3,0)*0.475*44/12</f>
        <v>4.9252459527557145E-23</v>
      </c>
      <c r="AC186" s="24">
        <f t="shared" si="163"/>
        <v>0.18950227279723625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-5.1159076974727213E-13</v>
      </c>
      <c r="AJ186" s="14">
        <f>AI186*VLOOKUP('Données projet'!$B$10,Paramètres!$A$1:$I$89,3,0)*VLOOKUP('Données projet'!$B$10,Paramètres!$A$1:$I$89,5,0)</f>
        <v>-5.3471467253984886E-13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493.70175665335978</v>
      </c>
      <c r="AO186" s="62">
        <f t="shared" si="144"/>
        <v>325.12357781685949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293.3333333333353</v>
      </c>
      <c r="BI186" s="62">
        <f ca="1">AVERAGE(OFFSET($BH$3,0,0,'Données projet'!$E$11+1,1))-AVERAGE(OFFSET($H$3,0,0,'Données projet'!$E$11+1,1))</f>
        <v>260.02504691866199</v>
      </c>
      <c r="BJ186" s="62">
        <f t="shared" si="146"/>
        <v>270.11268336406368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0.48353663120861773</v>
      </c>
      <c r="BQ186" s="23">
        <f>EXP(-LN(2)/25)*BQ185+(1-EXP(-LN(2)/25))/(LN(2)/25)*Calculateur!BL186*Calculateur!BN186*VLOOKUP('Données projet'!$B$11,Paramètres!$A$1:$I$89,3,0)*0.475*44/12</f>
        <v>0.23631622939648841</v>
      </c>
      <c r="BR186" s="23">
        <f>EXP(-LN(2)/2)*BR185+(1-EXP(-LN(2)/2))/(LN(2)/2)*BL186*BO186*VLOOKUP('Données projet'!$B$11,Paramètres!$A$1:$I$89,3,0)*0.475*44/12</f>
        <v>5.9332399782804728E-23</v>
      </c>
      <c r="BS186" s="24">
        <f t="shared" si="169"/>
        <v>0.71985286060510612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-2.8421709430404007E-13</v>
      </c>
      <c r="O187" s="14">
        <f>N187*VLOOKUP('Données projet'!$B$9,Paramètres!$A$1:$I$89,3,0)*VLOOKUP('Données projet'!$B$9,Paramètres!$A$1:$I$89,5,0)</f>
        <v>-1.69961822393816E-13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287.05726996114242</v>
      </c>
      <c r="T187" s="62">
        <f t="shared" si="142"/>
        <v>229.06617320689003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0.18432032318210442</v>
      </c>
      <c r="AB187" s="23">
        <f>EXP(-LN(2)/2)*AB186+(1-EXP(-LN(2)/2))/(LN(2)/2)*V187*Y187*VLOOKUP('Données projet'!$B$9,Paramètres!$A$1:$I$89,3,0)*0.475*44/12</f>
        <v>3.4826748122051638E-23</v>
      </c>
      <c r="AC187" s="24">
        <f t="shared" si="163"/>
        <v>0.18432032318210442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-5.1159076974727213E-13</v>
      </c>
      <c r="AJ187" s="14">
        <f>AI187*VLOOKUP('Données projet'!$B$10,Paramètres!$A$1:$I$89,3,0)*VLOOKUP('Données projet'!$B$10,Paramètres!$A$1:$I$89,5,0)</f>
        <v>-5.3471467253984886E-13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493.70175665335978</v>
      </c>
      <c r="AO187" s="62">
        <f t="shared" si="144"/>
        <v>325.12357781685949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293.3333333333353</v>
      </c>
      <c r="BI187" s="62">
        <f ca="1">AVERAGE(OFFSET($BH$3,0,0,'Données projet'!$E$11+1,1))-AVERAGE(OFFSET($H$3,0,0,'Données projet'!$E$11+1,1))</f>
        <v>260.02504691866199</v>
      </c>
      <c r="BJ187" s="62">
        <f t="shared" si="146"/>
        <v>270.11268336406368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0.47405477279884001</v>
      </c>
      <c r="BQ187" s="23">
        <f>EXP(-LN(2)/25)*BQ186+(1-EXP(-LN(2)/25))/(LN(2)/25)*Calculateur!BL187*Calculateur!BN187*VLOOKUP('Données projet'!$B$11,Paramètres!$A$1:$I$89,3,0)*0.475*44/12</f>
        <v>0.22985414967631104</v>
      </c>
      <c r="BR187" s="23">
        <f>EXP(-LN(2)/2)*BR186+(1-EXP(-LN(2)/2))/(LN(2)/2)*BL187*BO187*VLOOKUP('Données projet'!$B$11,Paramètres!$A$1:$I$89,3,0)*0.475*44/12</f>
        <v>4.1954342230492463E-23</v>
      </c>
      <c r="BS187" s="24">
        <f t="shared" si="169"/>
        <v>0.70390892247515102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-2.8421709430404007E-13</v>
      </c>
      <c r="O188" s="14">
        <f>N188*VLOOKUP('Données projet'!$B$9,Paramètres!$A$1:$I$89,3,0)*VLOOKUP('Données projet'!$B$9,Paramètres!$A$1:$I$89,5,0)</f>
        <v>-1.69961822393816E-13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287.05726996114242</v>
      </c>
      <c r="T188" s="62">
        <f t="shared" si="142"/>
        <v>229.06617320689003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0.17928007425170525</v>
      </c>
      <c r="AB188" s="23">
        <f>EXP(-LN(2)/2)*AB187+(1-EXP(-LN(2)/2))/(LN(2)/2)*V188*Y188*VLOOKUP('Données projet'!$B$9,Paramètres!$A$1:$I$89,3,0)*0.475*44/12</f>
        <v>2.4626229763778573E-23</v>
      </c>
      <c r="AC188" s="24">
        <f t="shared" si="163"/>
        <v>0.17928007425170525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-5.1159076974727213E-13</v>
      </c>
      <c r="AJ188" s="14">
        <f>AI188*VLOOKUP('Données projet'!$B$10,Paramètres!$A$1:$I$89,3,0)*VLOOKUP('Données projet'!$B$10,Paramètres!$A$1:$I$89,5,0)</f>
        <v>-5.3471467253984886E-13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493.70175665335978</v>
      </c>
      <c r="AO188" s="62">
        <f t="shared" si="144"/>
        <v>325.12357781685949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293.3333333333353</v>
      </c>
      <c r="BI188" s="62">
        <f ca="1">AVERAGE(OFFSET($BH$3,0,0,'Données projet'!$E$11+1,1))-AVERAGE(OFFSET($H$3,0,0,'Données projet'!$E$11+1,1))</f>
        <v>260.02504691866199</v>
      </c>
      <c r="BJ188" s="62">
        <f t="shared" si="146"/>
        <v>270.11268336406368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0.46475884784911548</v>
      </c>
      <c r="BQ188" s="23">
        <f>EXP(-LN(2)/25)*BQ187+(1-EXP(-LN(2)/25))/(LN(2)/25)*Calculateur!BL188*Calculateur!BN188*VLOOKUP('Données projet'!$B$11,Paramètres!$A$1:$I$89,3,0)*0.475*44/12</f>
        <v>0.22356877586590793</v>
      </c>
      <c r="BR188" s="23">
        <f>EXP(-LN(2)/2)*BR187+(1-EXP(-LN(2)/2))/(LN(2)/2)*BL188*BO188*VLOOKUP('Données projet'!$B$11,Paramètres!$A$1:$I$89,3,0)*0.475*44/12</f>
        <v>2.9666199891402364E-23</v>
      </c>
      <c r="BS188" s="24">
        <f t="shared" si="169"/>
        <v>0.68832762371502343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-2.8421709430404007E-13</v>
      </c>
      <c r="O189" s="14">
        <f>N189*VLOOKUP('Données projet'!$B$9,Paramètres!$A$1:$I$89,3,0)*VLOOKUP('Données projet'!$B$9,Paramètres!$A$1:$I$89,5,0)</f>
        <v>-1.69961822393816E-13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287.05726996114242</v>
      </c>
      <c r="T189" s="62">
        <f t="shared" si="142"/>
        <v>229.06617320689003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0.17437765119336301</v>
      </c>
      <c r="AB189" s="23">
        <f>EXP(-LN(2)/2)*AB188+(1-EXP(-LN(2)/2))/(LN(2)/2)*V189*Y189*VLOOKUP('Données projet'!$B$9,Paramètres!$A$1:$I$89,3,0)*0.475*44/12</f>
        <v>1.7413374061025819E-23</v>
      </c>
      <c r="AC189" s="24">
        <f t="shared" si="163"/>
        <v>0.17437765119336301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-5.1159076974727213E-13</v>
      </c>
      <c r="AJ189" s="14">
        <f>AI189*VLOOKUP('Données projet'!$B$10,Paramètres!$A$1:$I$89,3,0)*VLOOKUP('Données projet'!$B$10,Paramètres!$A$1:$I$89,5,0)</f>
        <v>-5.3471467253984886E-13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493.70175665335978</v>
      </c>
      <c r="AO189" s="62">
        <f t="shared" si="144"/>
        <v>325.12357781685949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293.3333333333353</v>
      </c>
      <c r="BI189" s="62">
        <f ca="1">AVERAGE(OFFSET($BH$3,0,0,'Données projet'!$E$11+1,1))-AVERAGE(OFFSET($H$3,0,0,'Données projet'!$E$11+1,1))</f>
        <v>260.02504691866199</v>
      </c>
      <c r="BJ189" s="62">
        <f t="shared" si="146"/>
        <v>270.11268336406368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0.45564521031770067</v>
      </c>
      <c r="BQ189" s="23">
        <f>EXP(-LN(2)/25)*BQ188+(1-EXP(-LN(2)/25))/(LN(2)/25)*Calculateur!BL189*Calculateur!BN189*VLOOKUP('Données projet'!$B$11,Paramètres!$A$1:$I$89,3,0)*0.475*44/12</f>
        <v>0.21745527593288372</v>
      </c>
      <c r="BR189" s="23">
        <f>EXP(-LN(2)/2)*BR188+(1-EXP(-LN(2)/2))/(LN(2)/2)*BL189*BO189*VLOOKUP('Données projet'!$B$11,Paramètres!$A$1:$I$89,3,0)*0.475*44/12</f>
        <v>2.0977171115246231E-23</v>
      </c>
      <c r="BS189" s="24">
        <f t="shared" si="169"/>
        <v>0.67310048625058438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-2.8421709430404007E-13</v>
      </c>
      <c r="O190" s="14">
        <f>N190*VLOOKUP('Données projet'!$B$9,Paramètres!$A$1:$I$89,3,0)*VLOOKUP('Données projet'!$B$9,Paramètres!$A$1:$I$89,5,0)</f>
        <v>-1.69961822393816E-13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287.05726996114242</v>
      </c>
      <c r="T190" s="62">
        <f t="shared" si="142"/>
        <v>229.06617320689003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0.16960928515135837</v>
      </c>
      <c r="AB190" s="23">
        <f>EXP(-LN(2)/2)*AB189+(1-EXP(-LN(2)/2))/(LN(2)/2)*V190*Y190*VLOOKUP('Données projet'!$B$9,Paramètres!$A$1:$I$89,3,0)*0.475*44/12</f>
        <v>1.2313114881889286E-23</v>
      </c>
      <c r="AC190" s="24">
        <f t="shared" si="163"/>
        <v>0.16960928515135837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-5.1159076974727213E-13</v>
      </c>
      <c r="AJ190" s="14">
        <f>AI190*VLOOKUP('Données projet'!$B$10,Paramètres!$A$1:$I$89,3,0)*VLOOKUP('Données projet'!$B$10,Paramètres!$A$1:$I$89,5,0)</f>
        <v>-5.3471467253984886E-13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493.70175665335978</v>
      </c>
      <c r="AO190" s="62">
        <f t="shared" si="144"/>
        <v>325.12357781685949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293.3333333333353</v>
      </c>
      <c r="BI190" s="62">
        <f ca="1">AVERAGE(OFFSET($BH$3,0,0,'Données projet'!$E$11+1,1))-AVERAGE(OFFSET($H$3,0,0,'Données projet'!$E$11+1,1))</f>
        <v>260.02504691866199</v>
      </c>
      <c r="BJ190" s="62">
        <f t="shared" si="146"/>
        <v>270.11268336406368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0.44671028565950693</v>
      </c>
      <c r="BQ190" s="23">
        <f>EXP(-LN(2)/25)*BQ189+(1-EXP(-LN(2)/25))/(LN(2)/25)*Calculateur!BL190*Calculateur!BN190*VLOOKUP('Données projet'!$B$11,Paramètres!$A$1:$I$89,3,0)*0.475*44/12</f>
        <v>0.21150894997702305</v>
      </c>
      <c r="BR190" s="23">
        <f>EXP(-LN(2)/2)*BR189+(1-EXP(-LN(2)/2))/(LN(2)/2)*BL190*BO190*VLOOKUP('Données projet'!$B$11,Paramètres!$A$1:$I$89,3,0)*0.475*44/12</f>
        <v>1.4833099945701182E-23</v>
      </c>
      <c r="BS190" s="24">
        <f t="shared" si="169"/>
        <v>0.65821923563652995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-2.8421709430404007E-13</v>
      </c>
      <c r="O191" s="14">
        <f>N191*VLOOKUP('Données projet'!$B$9,Paramètres!$A$1:$I$89,3,0)*VLOOKUP('Données projet'!$B$9,Paramètres!$A$1:$I$89,5,0)</f>
        <v>-1.69961822393816E-13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287.05726996114242</v>
      </c>
      <c r="T191" s="62">
        <f t="shared" si="142"/>
        <v>229.06617320689003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0.1649713103295298</v>
      </c>
      <c r="AB191" s="23">
        <f>EXP(-LN(2)/2)*AB190+(1-EXP(-LN(2)/2))/(LN(2)/2)*V191*Y191*VLOOKUP('Données projet'!$B$9,Paramètres!$A$1:$I$89,3,0)*0.475*44/12</f>
        <v>8.7066870305129095E-24</v>
      </c>
      <c r="AC191" s="24">
        <f t="shared" si="163"/>
        <v>0.1649713103295298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-5.1159076974727213E-13</v>
      </c>
      <c r="AJ191" s="14">
        <f>AI191*VLOOKUP('Données projet'!$B$10,Paramètres!$A$1:$I$89,3,0)*VLOOKUP('Données projet'!$B$10,Paramètres!$A$1:$I$89,5,0)</f>
        <v>-5.3471467253984886E-13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493.70175665335978</v>
      </c>
      <c r="AO191" s="62">
        <f t="shared" si="144"/>
        <v>325.12357781685949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293.3333333333353</v>
      </c>
      <c r="BI191" s="62">
        <f ca="1">AVERAGE(OFFSET($BH$3,0,0,'Données projet'!$E$11+1,1))-AVERAGE(OFFSET($H$3,0,0,'Données projet'!$E$11+1,1))</f>
        <v>260.02504691866199</v>
      </c>
      <c r="BJ191" s="62">
        <f t="shared" si="146"/>
        <v>270.11268336406368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0.43795056942409444</v>
      </c>
      <c r="BQ191" s="23">
        <f>EXP(-LN(2)/25)*BQ190+(1-EXP(-LN(2)/25))/(LN(2)/25)*Calculateur!BL191*Calculateur!BN191*VLOOKUP('Données projet'!$B$11,Paramètres!$A$1:$I$89,3,0)*0.475*44/12</f>
        <v>0.20572522661712908</v>
      </c>
      <c r="BR191" s="23">
        <f>EXP(-LN(2)/2)*BR190+(1-EXP(-LN(2)/2))/(LN(2)/2)*BL191*BO191*VLOOKUP('Données projet'!$B$11,Paramètres!$A$1:$I$89,3,0)*0.475*44/12</f>
        <v>1.0488585557623116E-23</v>
      </c>
      <c r="BS191" s="24">
        <f t="shared" si="169"/>
        <v>0.64367579604122349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-2.8421709430404007E-13</v>
      </c>
      <c r="O192" s="14">
        <f>N192*VLOOKUP('Données projet'!$B$9,Paramètres!$A$1:$I$89,3,0)*VLOOKUP('Données projet'!$B$9,Paramètres!$A$1:$I$89,5,0)</f>
        <v>-1.69961822393816E-13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287.05726996114242</v>
      </c>
      <c r="T192" s="62">
        <f t="shared" si="142"/>
        <v>229.06617320689003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0.16046016117310466</v>
      </c>
      <c r="AB192" s="23">
        <f>EXP(-LN(2)/2)*AB191+(1-EXP(-LN(2)/2))/(LN(2)/2)*V192*Y192*VLOOKUP('Données projet'!$B$9,Paramètres!$A$1:$I$89,3,0)*0.475*44/12</f>
        <v>6.1565574409446432E-24</v>
      </c>
      <c r="AC192" s="24">
        <f t="shared" si="163"/>
        <v>0.16046016117310466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-5.1159076974727213E-13</v>
      </c>
      <c r="AJ192" s="14">
        <f>AI192*VLOOKUP('Données projet'!$B$10,Paramètres!$A$1:$I$89,3,0)*VLOOKUP('Données projet'!$B$10,Paramètres!$A$1:$I$89,5,0)</f>
        <v>-5.3471467253984886E-13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493.70175665335978</v>
      </c>
      <c r="AO192" s="62">
        <f t="shared" si="144"/>
        <v>325.12357781685949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293.3333333333353</v>
      </c>
      <c r="BI192" s="62">
        <f ca="1">AVERAGE(OFFSET($BH$3,0,0,'Données projet'!$E$11+1,1))-AVERAGE(OFFSET($H$3,0,0,'Données projet'!$E$11+1,1))</f>
        <v>260.02504691866199</v>
      </c>
      <c r="BJ192" s="62">
        <f t="shared" si="146"/>
        <v>270.11268336406368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0.42936262588115903</v>
      </c>
      <c r="BQ192" s="23">
        <f>EXP(-LN(2)/25)*BQ191+(1-EXP(-LN(2)/25))/(LN(2)/25)*Calculateur!BL192*Calculateur!BN192*VLOOKUP('Données projet'!$B$11,Paramètres!$A$1:$I$89,3,0)*0.475*44/12</f>
        <v>0.20009965947666422</v>
      </c>
      <c r="BR192" s="23">
        <f>EXP(-LN(2)/2)*BR191+(1-EXP(-LN(2)/2))/(LN(2)/2)*BL192*BO192*VLOOKUP('Données projet'!$B$11,Paramètres!$A$1:$I$89,3,0)*0.475*44/12</f>
        <v>7.416549972850591E-24</v>
      </c>
      <c r="BS192" s="24">
        <f t="shared" si="169"/>
        <v>0.62946228535782323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-2.8421709430404007E-13</v>
      </c>
      <c r="O193" s="14">
        <f>N193*VLOOKUP('Données projet'!$B$9,Paramètres!$A$1:$I$89,3,0)*VLOOKUP('Données projet'!$B$9,Paramètres!$A$1:$I$89,5,0)</f>
        <v>-1.69961822393816E-13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287.05726996114242</v>
      </c>
      <c r="T193" s="62">
        <f t="shared" si="142"/>
        <v>229.06617320689003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0.15607236962759297</v>
      </c>
      <c r="AB193" s="23">
        <f>EXP(-LN(2)/2)*AB192+(1-EXP(-LN(2)/2))/(LN(2)/2)*V193*Y193*VLOOKUP('Données projet'!$B$9,Paramètres!$A$1:$I$89,3,0)*0.475*44/12</f>
        <v>4.3533435152564547E-24</v>
      </c>
      <c r="AC193" s="24">
        <f t="shared" si="163"/>
        <v>0.15607236962759297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-5.1159076974727213E-13</v>
      </c>
      <c r="AJ193" s="14">
        <f>AI193*VLOOKUP('Données projet'!$B$10,Paramètres!$A$1:$I$89,3,0)*VLOOKUP('Données projet'!$B$10,Paramètres!$A$1:$I$89,5,0)</f>
        <v>-5.3471467253984886E-13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493.70175665335978</v>
      </c>
      <c r="AO193" s="62">
        <f t="shared" si="144"/>
        <v>325.12357781685949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293.3333333333353</v>
      </c>
      <c r="BI193" s="62">
        <f ca="1">AVERAGE(OFFSET($BH$3,0,0,'Données projet'!$E$11+1,1))-AVERAGE(OFFSET($H$3,0,0,'Données projet'!$E$11+1,1))</f>
        <v>260.02504691866199</v>
      </c>
      <c r="BJ193" s="62">
        <f t="shared" si="146"/>
        <v>270.11268336406368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0.42094308667297226</v>
      </c>
      <c r="BQ193" s="23">
        <f>EXP(-LN(2)/25)*BQ192+(1-EXP(-LN(2)/25))/(LN(2)/25)*Calculateur!BL193*Calculateur!BN193*VLOOKUP('Données projet'!$B$11,Paramètres!$A$1:$I$89,3,0)*0.475*44/12</f>
        <v>0.19462792376549107</v>
      </c>
      <c r="BR193" s="23">
        <f>EXP(-LN(2)/2)*BR192+(1-EXP(-LN(2)/2))/(LN(2)/2)*BL193*BO193*VLOOKUP('Données projet'!$B$11,Paramètres!$A$1:$I$89,3,0)*0.475*44/12</f>
        <v>5.2442927788115578E-24</v>
      </c>
      <c r="BS193" s="24">
        <f t="shared" si="169"/>
        <v>0.6155710104384633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-2.8421709430404007E-13</v>
      </c>
      <c r="O194" s="14">
        <f>N194*VLOOKUP('Données projet'!$B$9,Paramètres!$A$1:$I$89,3,0)*VLOOKUP('Données projet'!$B$9,Paramètres!$A$1:$I$89,5,0)</f>
        <v>-1.69961822393816E-13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287.05726996114242</v>
      </c>
      <c r="T194" s="62">
        <f t="shared" si="142"/>
        <v>229.06617320689003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0.15180456247263724</v>
      </c>
      <c r="AB194" s="23">
        <f>EXP(-LN(2)/2)*AB193+(1-EXP(-LN(2)/2))/(LN(2)/2)*V194*Y194*VLOOKUP('Données projet'!$B$9,Paramètres!$A$1:$I$89,3,0)*0.475*44/12</f>
        <v>3.0782787204723216E-24</v>
      </c>
      <c r="AC194" s="24">
        <f t="shared" si="163"/>
        <v>0.15180456247263724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-5.1159076974727213E-13</v>
      </c>
      <c r="AJ194" s="14">
        <f>AI194*VLOOKUP('Données projet'!$B$10,Paramètres!$A$1:$I$89,3,0)*VLOOKUP('Données projet'!$B$10,Paramètres!$A$1:$I$89,5,0)</f>
        <v>-5.3471467253984886E-13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493.70175665335978</v>
      </c>
      <c r="AO194" s="62">
        <f t="shared" si="144"/>
        <v>325.12357781685949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293.3333333333353</v>
      </c>
      <c r="BI194" s="62">
        <f ca="1">AVERAGE(OFFSET($BH$3,0,0,'Données projet'!$E$11+1,1))-AVERAGE(OFFSET($H$3,0,0,'Données projet'!$E$11+1,1))</f>
        <v>260.02504691866199</v>
      </c>
      <c r="BJ194" s="62">
        <f t="shared" si="146"/>
        <v>270.11268336406368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0.41268864949324618</v>
      </c>
      <c r="BQ194" s="23">
        <f>EXP(-LN(2)/25)*BQ193+(1-EXP(-LN(2)/25))/(LN(2)/25)*Calculateur!BL194*Calculateur!BN194*VLOOKUP('Données projet'!$B$11,Paramètres!$A$1:$I$89,3,0)*0.475*44/12</f>
        <v>0.18930581295508603</v>
      </c>
      <c r="BR194" s="23">
        <f>EXP(-LN(2)/2)*BR193+(1-EXP(-LN(2)/2))/(LN(2)/2)*BL194*BO194*VLOOKUP('Données projet'!$B$11,Paramètres!$A$1:$I$89,3,0)*0.475*44/12</f>
        <v>3.7082749864252955E-24</v>
      </c>
      <c r="BS194" s="24">
        <f t="shared" si="169"/>
        <v>0.60199446244833221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-2.8421709430404007E-13</v>
      </c>
      <c r="O195" s="14">
        <f>N195*VLOOKUP('Données projet'!$B$9,Paramètres!$A$1:$I$89,3,0)*VLOOKUP('Données projet'!$B$9,Paramètres!$A$1:$I$89,5,0)</f>
        <v>-1.69961822393816E-13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287.05726996114242</v>
      </c>
      <c r="T195" s="62">
        <f t="shared" si="142"/>
        <v>229.06617320689003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0.14765345872876798</v>
      </c>
      <c r="AB195" s="23">
        <f>EXP(-LN(2)/2)*AB194+(1-EXP(-LN(2)/2))/(LN(2)/2)*V195*Y195*VLOOKUP('Données projet'!$B$9,Paramètres!$A$1:$I$89,3,0)*0.475*44/12</f>
        <v>2.1766717576282274E-24</v>
      </c>
      <c r="AC195" s="24">
        <f t="shared" si="163"/>
        <v>0.14765345872876798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-5.1159076974727213E-13</v>
      </c>
      <c r="AJ195" s="14">
        <f>AI195*VLOOKUP('Données projet'!$B$10,Paramètres!$A$1:$I$89,3,0)*VLOOKUP('Données projet'!$B$10,Paramètres!$A$1:$I$89,5,0)</f>
        <v>-5.3471467253984886E-13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493.70175665335978</v>
      </c>
      <c r="AO195" s="62">
        <f t="shared" si="144"/>
        <v>325.12357781685949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293.3333333333353</v>
      </c>
      <c r="BI195" s="62">
        <f ca="1">AVERAGE(OFFSET($BH$3,0,0,'Données projet'!$E$11+1,1))-AVERAGE(OFFSET($H$3,0,0,'Données projet'!$E$11+1,1))</f>
        <v>260.02504691866199</v>
      </c>
      <c r="BJ195" s="62">
        <f t="shared" si="146"/>
        <v>270.11268336406368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0.40459607679190501</v>
      </c>
      <c r="BQ195" s="23">
        <f>EXP(-LN(2)/25)*BQ194+(1-EXP(-LN(2)/25))/(LN(2)/25)*Calculateur!BL195*Calculateur!BN195*VLOOKUP('Données projet'!$B$11,Paramètres!$A$1:$I$89,3,0)*0.475*44/12</f>
        <v>0.18412923554466917</v>
      </c>
      <c r="BR195" s="23">
        <f>EXP(-LN(2)/2)*BR194+(1-EXP(-LN(2)/2))/(LN(2)/2)*BL195*BO195*VLOOKUP('Données projet'!$B$11,Paramètres!$A$1:$I$89,3,0)*0.475*44/12</f>
        <v>2.6221463894057789E-24</v>
      </c>
      <c r="BS195" s="24">
        <f t="shared" si="169"/>
        <v>0.58872531233657421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-2.8421709430404007E-13</v>
      </c>
      <c r="O196" s="14">
        <f>N196*VLOOKUP('Données projet'!$B$9,Paramètres!$A$1:$I$89,3,0)*VLOOKUP('Données projet'!$B$9,Paramètres!$A$1:$I$89,5,0)</f>
        <v>-1.69961822393816E-13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287.05726996114242</v>
      </c>
      <c r="T196" s="62">
        <f t="shared" si="142"/>
        <v>229.06617320689003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0.14361586713507188</v>
      </c>
      <c r="AB196" s="23">
        <f>EXP(-LN(2)/2)*AB195+(1-EXP(-LN(2)/2))/(LN(2)/2)*V196*Y196*VLOOKUP('Données projet'!$B$9,Paramètres!$A$1:$I$89,3,0)*0.475*44/12</f>
        <v>1.5391393602361608E-24</v>
      </c>
      <c r="AC196" s="24">
        <f t="shared" si="163"/>
        <v>0.14361586713507188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-5.1159076974727213E-13</v>
      </c>
      <c r="AJ196" s="14">
        <f>AI196*VLOOKUP('Données projet'!$B$10,Paramètres!$A$1:$I$89,3,0)*VLOOKUP('Données projet'!$B$10,Paramètres!$A$1:$I$89,5,0)</f>
        <v>-5.3471467253984886E-13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493.70175665335978</v>
      </c>
      <c r="AO196" s="62">
        <f t="shared" si="144"/>
        <v>325.12357781685949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293.3333333333353</v>
      </c>
      <c r="BI196" s="62">
        <f ca="1">AVERAGE(OFFSET($BH$3,0,0,'Données projet'!$E$11+1,1))-AVERAGE(OFFSET($H$3,0,0,'Données projet'!$E$11+1,1))</f>
        <v>260.02504691866199</v>
      </c>
      <c r="BJ196" s="62">
        <f t="shared" si="146"/>
        <v>270.11268336406368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0.39666219450525519</v>
      </c>
      <c r="BQ196" s="23">
        <f>EXP(-LN(2)/25)*BQ195+(1-EXP(-LN(2)/25))/(LN(2)/25)*Calculateur!BL196*Calculateur!BN196*VLOOKUP('Données projet'!$B$11,Paramètres!$A$1:$I$89,3,0)*0.475*44/12</f>
        <v>0.17909421191576452</v>
      </c>
      <c r="BR196" s="23">
        <f>EXP(-LN(2)/2)*BR195+(1-EXP(-LN(2)/2))/(LN(2)/2)*BL196*BO196*VLOOKUP('Données projet'!$B$11,Paramètres!$A$1:$I$89,3,0)*0.475*44/12</f>
        <v>1.8541374932126477E-24</v>
      </c>
      <c r="BS196" s="24">
        <f t="shared" si="169"/>
        <v>0.57575640642101966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-2.8421709430404007E-13</v>
      </c>
      <c r="O197" s="14">
        <f>N197*VLOOKUP('Données projet'!$B$9,Paramètres!$A$1:$I$89,3,0)*VLOOKUP('Données projet'!$B$9,Paramètres!$A$1:$I$89,5,0)</f>
        <v>-1.69961822393816E-13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287.05726996114242</v>
      </c>
      <c r="T197" s="62">
        <f t="shared" ref="T197:T203" si="204">$T$3</f>
        <v>229.06617320689003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0.13968868369583312</v>
      </c>
      <c r="AB197" s="23">
        <f>EXP(-LN(2)/2)*AB196+(1-EXP(-LN(2)/2))/(LN(2)/2)*V197*Y197*VLOOKUP('Données projet'!$B$9,Paramètres!$A$1:$I$89,3,0)*0.475*44/12</f>
        <v>1.0883358788141137E-24</v>
      </c>
      <c r="AC197" s="24">
        <f t="shared" si="163"/>
        <v>0.13968868369583312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-5.1159076974727213E-13</v>
      </c>
      <c r="AJ197" s="14">
        <f>AI197*VLOOKUP('Données projet'!$B$10,Paramètres!$A$1:$I$89,3,0)*VLOOKUP('Données projet'!$B$10,Paramètres!$A$1:$I$89,5,0)</f>
        <v>-5.3471467253984886E-13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493.70175665335978</v>
      </c>
      <c r="AO197" s="62">
        <f t="shared" ref="AO197:AO203" si="205">$AO$3</f>
        <v>325.12357781685949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293.3333333333353</v>
      </c>
      <c r="BI197" s="62">
        <f ca="1">AVERAGE(OFFSET($BH$3,0,0,'Données projet'!$E$11+1,1))-AVERAGE(OFFSET($H$3,0,0,'Données projet'!$E$11+1,1))</f>
        <v>260.02504691866199</v>
      </c>
      <c r="BJ197" s="62">
        <f t="shared" ref="BJ197:BJ203" si="206">$BJ$3</f>
        <v>270.11268336406368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0.38888389081105618</v>
      </c>
      <c r="BQ197" s="23">
        <f>EXP(-LN(2)/25)*BQ196+(1-EXP(-LN(2)/25))/(LN(2)/25)*Calculateur!BL197*Calculateur!BN197*VLOOKUP('Données projet'!$B$11,Paramètres!$A$1:$I$89,3,0)*0.475*44/12</f>
        <v>0.17419687127277267</v>
      </c>
      <c r="BR197" s="23">
        <f>EXP(-LN(2)/2)*BR196+(1-EXP(-LN(2)/2))/(LN(2)/2)*BL197*BO197*VLOOKUP('Données projet'!$B$11,Paramètres!$A$1:$I$89,3,0)*0.475*44/12</f>
        <v>1.3110731947028895E-24</v>
      </c>
      <c r="BS197" s="24">
        <f t="shared" si="169"/>
        <v>0.56308076208382885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-2.8421709430404007E-13</v>
      </c>
      <c r="O198" s="14">
        <f>N198*VLOOKUP('Données projet'!$B$9,Paramètres!$A$1:$I$89,3,0)*VLOOKUP('Données projet'!$B$9,Paramètres!$A$1:$I$89,5,0)</f>
        <v>-1.69961822393816E-13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287.05726996114242</v>
      </c>
      <c r="T198" s="62">
        <f t="shared" si="204"/>
        <v>229.06617320689003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0.13586888929426194</v>
      </c>
      <c r="AB198" s="23">
        <f>EXP(-LN(2)/2)*AB197+(1-EXP(-LN(2)/2))/(LN(2)/2)*V198*Y198*VLOOKUP('Données projet'!$B$9,Paramètres!$A$1:$I$89,3,0)*0.475*44/12</f>
        <v>7.695696801180804E-25</v>
      </c>
      <c r="AC198" s="24">
        <f t="shared" si="163"/>
        <v>0.13586888929426194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-5.1159076974727213E-13</v>
      </c>
      <c r="AJ198" s="14">
        <f>AI198*VLOOKUP('Données projet'!$B$10,Paramètres!$A$1:$I$89,3,0)*VLOOKUP('Données projet'!$B$10,Paramètres!$A$1:$I$89,5,0)</f>
        <v>-5.3471467253984886E-13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493.70175665335978</v>
      </c>
      <c r="AO198" s="62">
        <f t="shared" si="205"/>
        <v>325.12357781685949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293.3333333333353</v>
      </c>
      <c r="BI198" s="62">
        <f ca="1">AVERAGE(OFFSET($BH$3,0,0,'Données projet'!$E$11+1,1))-AVERAGE(OFFSET($H$3,0,0,'Données projet'!$E$11+1,1))</f>
        <v>260.02504691866199</v>
      </c>
      <c r="BJ198" s="62">
        <f t="shared" si="206"/>
        <v>270.11268336406368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0.3812581149080036</v>
      </c>
      <c r="BQ198" s="23">
        <f>EXP(-LN(2)/25)*BQ197+(1-EXP(-LN(2)/25))/(LN(2)/25)*Calculateur!BL198*Calculateur!BN198*VLOOKUP('Données projet'!$B$11,Paramètres!$A$1:$I$89,3,0)*0.475*44/12</f>
        <v>0.16943344866720336</v>
      </c>
      <c r="BR198" s="23">
        <f>EXP(-LN(2)/2)*BR197+(1-EXP(-LN(2)/2))/(LN(2)/2)*BL198*BO198*VLOOKUP('Données projet'!$B$11,Paramètres!$A$1:$I$89,3,0)*0.475*44/12</f>
        <v>9.2706874660632387E-25</v>
      </c>
      <c r="BS198" s="24">
        <f t="shared" si="169"/>
        <v>0.55069156357520699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-2.8421709430404007E-13</v>
      </c>
      <c r="O199" s="14">
        <f>N199*VLOOKUP('Données projet'!$B$9,Paramètres!$A$1:$I$89,3,0)*VLOOKUP('Données projet'!$B$9,Paramètres!$A$1:$I$89,5,0)</f>
        <v>-1.69961822393816E-13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287.05726996114242</v>
      </c>
      <c r="T199" s="62">
        <f t="shared" si="204"/>
        <v>229.06617320689003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0.132153547371476</v>
      </c>
      <c r="AB199" s="23">
        <f>EXP(-LN(2)/2)*AB198+(1-EXP(-LN(2)/2))/(LN(2)/2)*V199*Y199*VLOOKUP('Données projet'!$B$9,Paramètres!$A$1:$I$89,3,0)*0.475*44/12</f>
        <v>5.4416793940705684E-25</v>
      </c>
      <c r="AC199" s="24">
        <f t="shared" si="163"/>
        <v>0.132153547371476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-5.1159076974727213E-13</v>
      </c>
      <c r="AJ199" s="14">
        <f>AI199*VLOOKUP('Données projet'!$B$10,Paramètres!$A$1:$I$89,3,0)*VLOOKUP('Données projet'!$B$10,Paramètres!$A$1:$I$89,5,0)</f>
        <v>-5.3471467253984886E-13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493.70175665335978</v>
      </c>
      <c r="AO199" s="62">
        <f t="shared" si="205"/>
        <v>325.12357781685949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293.3333333333353</v>
      </c>
      <c r="BI199" s="62">
        <f ca="1">AVERAGE(OFFSET($BH$3,0,0,'Données projet'!$E$11+1,1))-AVERAGE(OFFSET($H$3,0,0,'Données projet'!$E$11+1,1))</f>
        <v>260.02504691866199</v>
      </c>
      <c r="BJ199" s="62">
        <f t="shared" si="206"/>
        <v>270.11268336406368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0.3737818758191459</v>
      </c>
      <c r="BQ199" s="23">
        <f>EXP(-LN(2)/25)*BQ198+(1-EXP(-LN(2)/25))/(LN(2)/25)*Calculateur!BL199*Calculateur!BN199*VLOOKUP('Données projet'!$B$11,Paramètres!$A$1:$I$89,3,0)*0.475*44/12</f>
        <v>0.16480028210328088</v>
      </c>
      <c r="BR199" s="23">
        <f>EXP(-LN(2)/2)*BR198+(1-EXP(-LN(2)/2))/(LN(2)/2)*BL199*BO199*VLOOKUP('Données projet'!$B$11,Paramètres!$A$1:$I$89,3,0)*0.475*44/12</f>
        <v>6.5553659735144473E-25</v>
      </c>
      <c r="BS199" s="24">
        <f t="shared" si="169"/>
        <v>0.53858215792242681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-2.8421709430404007E-13</v>
      </c>
      <c r="O200" s="14">
        <f>N200*VLOOKUP('Données projet'!$B$9,Paramètres!$A$1:$I$89,3,0)*VLOOKUP('Données projet'!$B$9,Paramètres!$A$1:$I$89,5,0)</f>
        <v>-1.69961822393816E-13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287.05726996114242</v>
      </c>
      <c r="T200" s="62">
        <f t="shared" si="204"/>
        <v>229.06617320689003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0.12853980166894996</v>
      </c>
      <c r="AB200" s="23">
        <f>EXP(-LN(2)/2)*AB199+(1-EXP(-LN(2)/2))/(LN(2)/2)*V200*Y200*VLOOKUP('Données projet'!$B$9,Paramètres!$A$1:$I$89,3,0)*0.475*44/12</f>
        <v>3.847848400590402E-25</v>
      </c>
      <c r="AC200" s="24">
        <f t="shared" si="163"/>
        <v>0.12853980166894996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-5.1159076974727213E-13</v>
      </c>
      <c r="AJ200" s="14">
        <f>AI200*VLOOKUP('Données projet'!$B$10,Paramètres!$A$1:$I$89,3,0)*VLOOKUP('Données projet'!$B$10,Paramètres!$A$1:$I$89,5,0)</f>
        <v>-5.3471467253984886E-13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493.70175665335978</v>
      </c>
      <c r="AO200" s="62">
        <f t="shared" si="205"/>
        <v>325.12357781685949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293.3333333333353</v>
      </c>
      <c r="BI200" s="62">
        <f ca="1">AVERAGE(OFFSET($BH$3,0,0,'Données projet'!$E$11+1,1))-AVERAGE(OFFSET($H$3,0,0,'Données projet'!$E$11+1,1))</f>
        <v>260.02504691866199</v>
      </c>
      <c r="BJ200" s="62">
        <f t="shared" si="206"/>
        <v>270.11268336406368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0.36645224121876513</v>
      </c>
      <c r="BQ200" s="23">
        <f>EXP(-LN(2)/25)*BQ199+(1-EXP(-LN(2)/25))/(LN(2)/25)*Calculateur!BL200*Calculateur!BN200*VLOOKUP('Données projet'!$B$11,Paramètres!$A$1:$I$89,3,0)*0.475*44/12</f>
        <v>0.16029380972269647</v>
      </c>
      <c r="BR200" s="23">
        <f>EXP(-LN(2)/2)*BR199+(1-EXP(-LN(2)/2))/(LN(2)/2)*BL200*BO200*VLOOKUP('Données projet'!$B$11,Paramètres!$A$1:$I$89,3,0)*0.475*44/12</f>
        <v>4.6353437330316194E-25</v>
      </c>
      <c r="BS200" s="24">
        <f t="shared" si="169"/>
        <v>0.52674605094146165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-2.8421709430404007E-13</v>
      </c>
      <c r="O201" s="14">
        <f>N201*VLOOKUP('Données projet'!$B$9,Paramètres!$A$1:$I$89,3,0)*VLOOKUP('Données projet'!$B$9,Paramètres!$A$1:$I$89,5,0)</f>
        <v>-1.69961822393816E-13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287.05726996114242</v>
      </c>
      <c r="T201" s="62">
        <f t="shared" si="204"/>
        <v>229.06617320689003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0.12502487403269813</v>
      </c>
      <c r="AB201" s="23">
        <f>EXP(-LN(2)/2)*AB200+(1-EXP(-LN(2)/2))/(LN(2)/2)*V201*Y201*VLOOKUP('Données projet'!$B$9,Paramètres!$A$1:$I$89,3,0)*0.475*44/12</f>
        <v>2.7208396970352842E-25</v>
      </c>
      <c r="AC201" s="24">
        <f t="shared" si="163"/>
        <v>0.12502487403269813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-5.1159076974727213E-13</v>
      </c>
      <c r="AJ201" s="14">
        <f>AI201*VLOOKUP('Données projet'!$B$10,Paramètres!$A$1:$I$89,3,0)*VLOOKUP('Données projet'!$B$10,Paramètres!$A$1:$I$89,5,0)</f>
        <v>-5.3471467253984886E-13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493.70175665335978</v>
      </c>
      <c r="AO201" s="62">
        <f t="shared" si="205"/>
        <v>325.12357781685949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293.3333333333353</v>
      </c>
      <c r="BI201" s="62">
        <f ca="1">AVERAGE(OFFSET($BH$3,0,0,'Données projet'!$E$11+1,1))-AVERAGE(OFFSET($H$3,0,0,'Données projet'!$E$11+1,1))</f>
        <v>260.02504691866199</v>
      </c>
      <c r="BJ201" s="62">
        <f t="shared" si="206"/>
        <v>270.11268336406368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0.35926633628226212</v>
      </c>
      <c r="BQ201" s="23">
        <f>EXP(-LN(2)/25)*BQ200+(1-EXP(-LN(2)/25))/(LN(2)/25)*Calculateur!BL201*Calculateur!BN201*VLOOKUP('Données projet'!$B$11,Paramètres!$A$1:$I$89,3,0)*0.475*44/12</f>
        <v>0.15591056706634424</v>
      </c>
      <c r="BR201" s="23">
        <f>EXP(-LN(2)/2)*BR200+(1-EXP(-LN(2)/2))/(LN(2)/2)*BL201*BO201*VLOOKUP('Données projet'!$B$11,Paramètres!$A$1:$I$89,3,0)*0.475*44/12</f>
        <v>3.2776829867572236E-25</v>
      </c>
      <c r="BS201" s="24">
        <f t="shared" si="169"/>
        <v>0.51517690334860633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-2.8421709430404007E-13</v>
      </c>
      <c r="O202" s="14">
        <f>N202*VLOOKUP('Données projet'!$B$9,Paramètres!$A$1:$I$89,3,0)*VLOOKUP('Données projet'!$B$9,Paramètres!$A$1:$I$89,5,0)</f>
        <v>-1.69961822393816E-13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287.05726996114242</v>
      </c>
      <c r="T202" s="62">
        <f t="shared" si="204"/>
        <v>229.06617320689003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0.12160606227750162</v>
      </c>
      <c r="AB202" s="23">
        <f>EXP(-LN(2)/2)*AB201+(1-EXP(-LN(2)/2))/(LN(2)/2)*V202*Y202*VLOOKUP('Données projet'!$B$9,Paramètres!$A$1:$I$89,3,0)*0.475*44/12</f>
        <v>1.923924200295201E-25</v>
      </c>
      <c r="AC202" s="24">
        <f t="shared" si="163"/>
        <v>0.12160606227750162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-5.1159076974727213E-13</v>
      </c>
      <c r="AJ202" s="14">
        <f>AI202*VLOOKUP('Données projet'!$B$10,Paramètres!$A$1:$I$89,3,0)*VLOOKUP('Données projet'!$B$10,Paramètres!$A$1:$I$89,5,0)</f>
        <v>-5.3471467253984886E-13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493.70175665335978</v>
      </c>
      <c r="AO202" s="62">
        <f t="shared" si="205"/>
        <v>325.12357781685949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293.3333333333353</v>
      </c>
      <c r="BI202" s="62">
        <f ca="1">AVERAGE(OFFSET($BH$3,0,0,'Données projet'!$E$11+1,1))-AVERAGE(OFFSET($H$3,0,0,'Données projet'!$E$11+1,1))</f>
        <v>260.02504691866199</v>
      </c>
      <c r="BJ202" s="62">
        <f t="shared" si="206"/>
        <v>270.11268336406368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0.35222134255859472</v>
      </c>
      <c r="BQ202" s="23">
        <f>EXP(-LN(2)/25)*BQ201+(1-EXP(-LN(2)/25))/(LN(2)/25)*Calculateur!BL202*Calculateur!BN202*VLOOKUP('Données projet'!$B$11,Paramètres!$A$1:$I$89,3,0)*0.475*44/12</f>
        <v>0.15164718441093467</v>
      </c>
      <c r="BR202" s="23">
        <f>EXP(-LN(2)/2)*BR201+(1-EXP(-LN(2)/2))/(LN(2)/2)*BL202*BO202*VLOOKUP('Données projet'!$B$11,Paramètres!$A$1:$I$89,3,0)*0.475*44/12</f>
        <v>2.3176718665158097E-25</v>
      </c>
      <c r="BS202" s="24">
        <f t="shared" si="169"/>
        <v>0.50386852696952933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-2.8421709430404007E-13</v>
      </c>
      <c r="O203" s="14">
        <f>N203*VLOOKUP('Données projet'!$B$9,Paramètres!$A$1:$I$89,3,0)*VLOOKUP('Données projet'!$B$9,Paramètres!$A$1:$I$89,5,0)</f>
        <v>-1.69961822393816E-13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287.05726996114242</v>
      </c>
      <c r="T203" s="62">
        <f t="shared" si="204"/>
        <v>229.06617320689003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0.11828073810953846</v>
      </c>
      <c r="AB203" s="23">
        <f>EXP(-LN(2)/2)*AB202+(1-EXP(-LN(2)/2))/(LN(2)/2)*V203*Y203*VLOOKUP('Données projet'!$B$9,Paramètres!$A$1:$I$89,3,0)*0.475*44/12</f>
        <v>1.3604198485176421E-25</v>
      </c>
      <c r="AC203" s="24">
        <f t="shared" si="163"/>
        <v>0.11828073810953846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-5.1159076974727213E-13</v>
      </c>
      <c r="AJ203" s="14">
        <f>AI203*VLOOKUP('Données projet'!$B$10,Paramètres!$A$1:$I$89,3,0)*VLOOKUP('Données projet'!$B$10,Paramètres!$A$1:$I$89,5,0)</f>
        <v>-5.3471467253984886E-13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493.70175665335978</v>
      </c>
      <c r="AO203" s="62">
        <f t="shared" si="205"/>
        <v>325.12357781685949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293.3333333333353</v>
      </c>
      <c r="BI203" s="62">
        <f ca="1">AVERAGE(OFFSET($BH$3,0,0,'Données projet'!$E$11+1,1))-AVERAGE(OFFSET($H$3,0,0,'Données projet'!$E$11+1,1))</f>
        <v>260.02504691866199</v>
      </c>
      <c r="BJ203" s="62">
        <f t="shared" si="206"/>
        <v>270.11268336406368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0.34531449686482657</v>
      </c>
      <c r="BQ203" s="23">
        <f>EXP(-LN(2)/25)*BQ202+(1-EXP(-LN(2)/25))/(LN(2)/25)*Calculateur!BL203*Calculateur!BN203*VLOOKUP('Données projet'!$B$11,Paramètres!$A$1:$I$89,3,0)*0.475*44/12</f>
        <v>0.14750038417843883</v>
      </c>
      <c r="BR203" s="23">
        <f>EXP(-LN(2)/2)*BR202+(1-EXP(-LN(2)/2))/(LN(2)/2)*BL203*BO203*VLOOKUP('Données projet'!$B$11,Paramètres!$A$1:$I$89,3,0)*0.475*44/12</f>
        <v>1.6388414933786118E-25</v>
      </c>
      <c r="BS203" s="24">
        <f t="shared" si="169"/>
        <v>0.49281488104326543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1.2476305424001204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1.2548684989282006</v>
      </c>
      <c r="BA205" s="88">
        <f>EXP(LN('Données projet'!B88)/'Données projet'!A88)</f>
        <v>1.3292852468636394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C12" sqref="C1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M16" sqref="M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laricio</v>
      </c>
      <c r="B6" s="155">
        <f>'Données projet'!D9</f>
        <v>1.9680300000000002</v>
      </c>
      <c r="C6" s="156">
        <f ca="1">IF(OR('Données projet'!B9="",'Données projet'!C9="",'Données projet'!C9=0%),0,Calculateur!S3)</f>
        <v>287.05726996114242</v>
      </c>
      <c r="D6" s="156">
        <f>IF(OR('Données projet'!B9="",'Données projet'!C9="",'Données projet'!C9=0%),0,Calculateur!T3)</f>
        <v>229.06617320689003</v>
      </c>
      <c r="E6" s="156">
        <f ca="1">MIN(C6,D6)</f>
        <v>229.06617320689003</v>
      </c>
      <c r="F6" s="156">
        <f ca="1">E6*B6</f>
        <v>450.80910085635583</v>
      </c>
      <c r="G6" s="156">
        <f ca="1">F6*(100%-'Données projet'!$C$24)*(100%-'Données projet'!$C$25)*(100%-'Données projet'!$C$26)*(100%-'Données projet'!$C$27)</f>
        <v>385.44178123218421</v>
      </c>
      <c r="H6" s="157">
        <f>IF(OR('Données projet'!B9="",'Données projet'!C9="",'Données projet'!C9=0%),0,AVERAGE(Calculateur!$AC$3:$AC$33)*B6)</f>
        <v>11.915083757991317</v>
      </c>
      <c r="I6" s="158">
        <f>H6*(100%-'Données projet'!$C$24)*(100%-'Données projet'!$C$25)*(100%-'Données projet'!$C$26)*(100%-'Données projet'!$C$27)</f>
        <v>10.187396613082576</v>
      </c>
      <c r="J6" s="159">
        <f>IF(OR('Données projet'!B9="",'Données projet'!C9="",'Données projet'!C9=0%),0,SUM(Calculateur!$V$3:$V$33)*VLOOKUP('Données projet'!$B$9,Paramètres!$A$1:$I$89,9,0)*B6)</f>
        <v>73.95599382230769</v>
      </c>
      <c r="K6" s="160">
        <f>J6*(100%-'Données projet'!$C$24)*(100%-'Données projet'!$C$25)*(100%-'Données projet'!$C$26)*(100%-'Données projet'!$C$27)</f>
        <v>63.232374718073068</v>
      </c>
      <c r="L6" s="161">
        <f ca="1">G6+I6+K6</f>
        <v>458.86155256333984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chevelu</v>
      </c>
      <c r="B7" s="163">
        <f>'Données projet'!D10</f>
        <v>1.9680300000000002</v>
      </c>
      <c r="C7" s="156">
        <f ca="1">IF(OR('Données projet'!B10="",'Données projet'!C10="",'Données projet'!C10=0%),0,Calculateur!AN3)</f>
        <v>493.70175665335978</v>
      </c>
      <c r="D7" s="156">
        <f>IF(OR('Données projet'!B10="",'Données projet'!C10="",'Données projet'!C10=0%),0,Calculateur!AO3)</f>
        <v>325.12357781685949</v>
      </c>
      <c r="E7" s="156">
        <f t="shared" ref="E7:E15" ca="1" si="0">MIN(C7,D7)</f>
        <v>325.12357781685949</v>
      </c>
      <c r="F7" s="156">
        <f t="shared" ref="F7:F15" ca="1" si="1">E7*B7</f>
        <v>639.8529548509141</v>
      </c>
      <c r="G7" s="156">
        <f ca="1">F7*(100%-'Données projet'!$C$24)*(100%-'Données projet'!$C$25)*(100%-'Données projet'!$C$26)*(100%-'Données projet'!$C$27)</f>
        <v>547.07427639753155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13.877134615384616</v>
      </c>
      <c r="K7" s="160">
        <f>J7*(100%-'Données projet'!$C$24)*(100%-'Données projet'!$C$25)*(100%-'Données projet'!$C$26)*(100%-'Données projet'!$C$27)</f>
        <v>11.864950096153848</v>
      </c>
      <c r="L7" s="161">
        <f t="shared" ref="L7:L15" ca="1" si="2">G7+I7+K7</f>
        <v>558.9392264936854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maritime</v>
      </c>
      <c r="B8" s="163">
        <f>'Données projet'!D11</f>
        <v>1.9680300000000002</v>
      </c>
      <c r="C8" s="156">
        <f ca="1">IF(OR('Données projet'!B11="",'Données projet'!C11="",'Données projet'!C11=0%),0,Calculateur!BI3)</f>
        <v>260.02504691866199</v>
      </c>
      <c r="D8" s="156">
        <f>IF(OR('Données projet'!B11="",'Données projet'!C11="",'Données projet'!C11=0%),0,Calculateur!BJ3)</f>
        <v>270.11268336406368</v>
      </c>
      <c r="E8" s="156">
        <f t="shared" ca="1" si="0"/>
        <v>260.02504691866199</v>
      </c>
      <c r="F8" s="156">
        <f t="shared" ca="1" si="1"/>
        <v>511.73709308733442</v>
      </c>
      <c r="G8" s="156">
        <f ca="1">F8*(100%-'Données projet'!$C$24)*(100%-'Données projet'!$C$25)*(100%-'Données projet'!$C$26)*(100%-'Données projet'!$C$27)</f>
        <v>437.53521458967094</v>
      </c>
      <c r="H8" s="164">
        <f>IF(OR('Données projet'!B11="",'Données projet'!C11="",'Données projet'!C11=0%),0,AVERAGE(Calculateur!$BS$3:$BS$33)*B8)</f>
        <v>19.223178277873362</v>
      </c>
      <c r="I8" s="158">
        <f>H8*(100%-'Données projet'!$C$24)*(100%-'Données projet'!$C$25)*(100%-'Données projet'!$C$26)*(100%-'Données projet'!$C$27)</f>
        <v>16.435817427581725</v>
      </c>
      <c r="J8" s="159">
        <f>IF(OR('Données projet'!B11="",'Données projet'!C11="",'Données projet'!C11=0%),0,SUM(Calculateur!$BL$3:$BL$33)*VLOOKUP('Données projet'!$B$11,Paramètres!$A$1:$I$89,9,0)*B8)</f>
        <v>167.02519223076925</v>
      </c>
      <c r="K8" s="160">
        <f>J8*(100%-'Données projet'!$C$24)*(100%-'Données projet'!$C$25)*(100%-'Données projet'!$C$26)*(100%-'Données projet'!$C$27)</f>
        <v>142.80653935730768</v>
      </c>
      <c r="L8" s="161">
        <f t="shared" ca="1" si="2"/>
        <v>596.77757137456035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1602.3991487946043</v>
      </c>
      <c r="G16" s="175">
        <f t="shared" ca="1" si="3"/>
        <v>1370.0512722193866</v>
      </c>
      <c r="H16" s="176">
        <f t="shared" si="3"/>
        <v>31.138262035864678</v>
      </c>
      <c r="I16" s="176">
        <f t="shared" si="3"/>
        <v>26.623214040664301</v>
      </c>
      <c r="J16" s="177">
        <f t="shared" si="3"/>
        <v>254.85832066846154</v>
      </c>
      <c r="K16" s="177">
        <f t="shared" si="3"/>
        <v>217.90386417153459</v>
      </c>
      <c r="L16" s="178">
        <f t="shared" ca="1" si="3"/>
        <v>1614.5783504315855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chevelu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E1" zoomScale="80" zoomScaleNormal="80" workbookViewId="0">
      <selection activeCell="Q17" sqref="Q1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2758.3580893152134</v>
      </c>
      <c r="U10" s="190">
        <f>'Données projet'!D9</f>
        <v>1.9680300000000002</v>
      </c>
      <c r="V10" s="189">
        <f>U10*T10</f>
        <v>5428.5314705150204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chevelu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502.22794283877084</v>
      </c>
      <c r="U11" s="190">
        <f>'Données projet'!D10</f>
        <v>1.9680300000000002</v>
      </c>
      <c r="V11" s="189">
        <f t="shared" ref="V11" si="0">U11*T11</f>
        <v>988.39965834498628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3354.078672632585</v>
      </c>
      <c r="U12" s="190">
        <f>'Données projet'!D11</f>
        <v>1.9680300000000002</v>
      </c>
      <c r="V12" s="189">
        <f t="shared" ref="V12:V19" si="1">U12*T12</f>
        <v>6600.9274501011068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10402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22</v>
      </c>
      <c r="B23" s="193">
        <f>'Données projet'!D36</f>
        <v>52.746153846153838</v>
      </c>
      <c r="C23" s="206">
        <v>10</v>
      </c>
      <c r="D23" s="194">
        <f>B23*C23</f>
        <v>527.46153846153834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-48457.961421038883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27</v>
      </c>
      <c r="B24" s="193">
        <f>'Données projet'!D37</f>
        <v>34.646153846153844</v>
      </c>
      <c r="C24" s="206">
        <v>20</v>
      </c>
      <c r="D24" s="194">
        <f t="shared" ref="D24:D42" si="2">B24*C24</f>
        <v>692.92307692307691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16624.492331953548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33</v>
      </c>
      <c r="B25" s="193">
        <f>'Données projet'!D38</f>
        <v>43.007692307692302</v>
      </c>
      <c r="C25" s="206">
        <v>30</v>
      </c>
      <c r="D25" s="194">
        <f t="shared" si="2"/>
        <v>1290.2307692307691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130</v>
      </c>
      <c r="Q25" s="265"/>
      <c r="R25" s="25"/>
      <c r="S25" s="198" t="s">
        <v>266</v>
      </c>
      <c r="T25" s="336">
        <f ca="1">T23-T24</f>
        <v>-65082.453752992427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41</v>
      </c>
      <c r="B26" s="193">
        <f>'Données projet'!D39</f>
        <v>58.484615384615381</v>
      </c>
      <c r="C26" s="206">
        <v>40</v>
      </c>
      <c r="D26" s="194">
        <f t="shared" si="2"/>
        <v>2339.3846153846152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50</v>
      </c>
      <c r="B27" s="193">
        <f>'Données projet'!D40</f>
        <v>55.292307692307688</v>
      </c>
      <c r="C27" s="206">
        <v>50</v>
      </c>
      <c r="D27" s="194">
        <f t="shared" si="2"/>
        <v>2764.6153846153843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60</v>
      </c>
      <c r="B28" s="193">
        <f>'Données projet'!D41</f>
        <v>54.261538461538464</v>
      </c>
      <c r="C28" s="206">
        <v>60</v>
      </c>
      <c r="D28" s="194">
        <f t="shared" si="2"/>
        <v>3255.6923076923076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70</v>
      </c>
      <c r="B29" s="193">
        <f>'Données projet'!D42</f>
        <v>52.669230769230765</v>
      </c>
      <c r="C29" s="206">
        <v>70</v>
      </c>
      <c r="D29" s="194">
        <f t="shared" si="2"/>
        <v>3686.8461538461534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80</v>
      </c>
      <c r="B30" s="193">
        <f>'Données projet'!D43</f>
        <v>402.90769230769229</v>
      </c>
      <c r="C30" s="206">
        <v>80</v>
      </c>
      <c r="D30" s="194">
        <f t="shared" si="2"/>
        <v>32232.615384615383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2812.9428649667593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>
        <v>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>
        <v>0</v>
      </c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>
        <v>0</v>
      </c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130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>
        <v>0</v>
      </c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124.4019138755981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>
        <v>0</v>
      </c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119.04489366085943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>
        <v>0</v>
      </c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113.91855852713822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>
        <v>0</v>
      </c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109.01297466711793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>
        <v>0</v>
      </c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104.31863604508894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>
        <v>0</v>
      </c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99.826445976161679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>
        <v>0</v>
      </c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95.527699498719301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>
        <v>0</v>
      </c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91.414066505951524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>
        <v>0</v>
      </c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87.477575603781361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83.710598663905628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80.105836042014957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chevelu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76.656302432550206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73.355313332583933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70.196472088597076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67.173657501049831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64.281011962727135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61.512930107872855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58.86404795011758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56.329232488150794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53.903571758995987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15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51.58236531961338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20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49.361115138386026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25</v>
      </c>
      <c r="B56" s="193">
        <f>'Données projet'!D64</f>
        <v>0</v>
      </c>
      <c r="C56" s="204">
        <v>0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47.235516878838304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28.205128205128204</v>
      </c>
      <c r="C57" s="206">
        <v>10</v>
      </c>
      <c r="D57" s="191">
        <f t="shared" si="4"/>
        <v>282.05128205128204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45.201451558696952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35</v>
      </c>
      <c r="B58" s="193">
        <f>'Données projet'!D66</f>
        <v>0</v>
      </c>
      <c r="C58" s="206">
        <v>0</v>
      </c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43.254977568131054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40</v>
      </c>
      <c r="B59" s="193">
        <f>'Données projet'!D67</f>
        <v>22.435897435897434</v>
      </c>
      <c r="C59" s="206">
        <v>15</v>
      </c>
      <c r="D59" s="191">
        <f t="shared" si="4"/>
        <v>336.53846153846149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41.392323031704372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45</v>
      </c>
      <c r="B60" s="193">
        <f>'Données projet'!D68</f>
        <v>0</v>
      </c>
      <c r="C60" s="206">
        <v>0</v>
      </c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39.609878499238633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50</v>
      </c>
      <c r="B61" s="193">
        <f>'Données projet'!D69</f>
        <v>24.358974358974358</v>
      </c>
      <c r="C61" s="206">
        <v>20</v>
      </c>
      <c r="D61" s="191">
        <f t="shared" si="4"/>
        <v>487.17948717948718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37.904189951424534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55</v>
      </c>
      <c r="B62" s="193">
        <f>'Données projet'!D70</f>
        <v>0</v>
      </c>
      <c r="C62" s="206">
        <v>0</v>
      </c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36.271952106626344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60</v>
      </c>
      <c r="B63" s="193">
        <f>'Données projet'!D71</f>
        <v>24.358974358974358</v>
      </c>
      <c r="C63" s="206">
        <v>30</v>
      </c>
      <c r="D63" s="191">
        <f t="shared" si="4"/>
        <v>730.76923076923072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34.710002015910391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65</v>
      </c>
      <c r="B64" s="193">
        <f>'Données projet'!D72</f>
        <v>0</v>
      </c>
      <c r="C64" s="206">
        <v>0</v>
      </c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33.215312933885535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70</v>
      </c>
      <c r="B65" s="193">
        <f>'Données projet'!D73</f>
        <v>23.076923076923077</v>
      </c>
      <c r="C65" s="206">
        <v>40</v>
      </c>
      <c r="D65" s="191">
        <f t="shared" si="4"/>
        <v>923.07692307692309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31.784988453478999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75</v>
      </c>
      <c r="B66" s="193">
        <f>'Données projet'!D74</f>
        <v>0</v>
      </c>
      <c r="C66" s="206">
        <v>0</v>
      </c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30.416256893281343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80</v>
      </c>
      <c r="B67" s="193">
        <f>'Données projet'!D75</f>
        <v>22.435897435897434</v>
      </c>
      <c r="C67" s="206">
        <v>55</v>
      </c>
      <c r="D67" s="191">
        <f t="shared" si="4"/>
        <v>1233.9743589743589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29.10646592658502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85</v>
      </c>
      <c r="B68" s="193">
        <f>'Données projet'!D76</f>
        <v>0</v>
      </c>
      <c r="C68" s="206">
        <v>0</v>
      </c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27.853077441708152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90</v>
      </c>
      <c r="B69" s="193">
        <f>'Données projet'!D77</f>
        <v>21.153846153846153</v>
      </c>
      <c r="C69" s="204">
        <v>60</v>
      </c>
      <c r="D69" s="191">
        <f t="shared" si="4"/>
        <v>1269.2307692307693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26.65366262364417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100</v>
      </c>
      <c r="B70" s="193">
        <f>'Données projet'!D78</f>
        <v>20.512820512820511</v>
      </c>
      <c r="C70" s="204">
        <v>70</v>
      </c>
      <c r="D70" s="191">
        <f t="shared" si="4"/>
        <v>1435.8974358974358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25.505897247506386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110</v>
      </c>
      <c r="B71" s="193">
        <f>'Données projet'!D79</f>
        <v>19.23076923076923</v>
      </c>
      <c r="C71" s="204">
        <v>80</v>
      </c>
      <c r="D71" s="191">
        <f t="shared" si="4"/>
        <v>1538.4615384615383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24.407557174647263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120</v>
      </c>
      <c r="B72" s="193">
        <f>'Données projet'!D80</f>
        <v>17.948717948717949</v>
      </c>
      <c r="C72" s="204">
        <v>90</v>
      </c>
      <c r="D72" s="191">
        <f t="shared" si="4"/>
        <v>1615.3846153846155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23.356514042724651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130</v>
      </c>
      <c r="B73" s="193">
        <f>'Données projet'!D81</f>
        <v>339.10256410256409</v>
      </c>
      <c r="C73" s="204">
        <v>110</v>
      </c>
      <c r="D73" s="191">
        <f t="shared" si="4"/>
        <v>37301.282051282047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22.350731141363308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21.388259465419438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20.467233938200422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19.585869797320978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18.742459136192327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17.935367594442418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17.163031190853992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16.423953292683244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15.716701715486364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15.039905947833841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14.392254495534779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13.77249234022467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17</v>
      </c>
      <c r="B85" s="193">
        <f>'Données projet'!D88</f>
        <v>42.084615384615375</v>
      </c>
      <c r="C85" s="204">
        <v>10</v>
      </c>
      <c r="D85" s="191">
        <f>B85*C85</f>
        <v>420.84615384615375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13.179418507392031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23</v>
      </c>
      <c r="B86" s="193">
        <f>'Données projet'!D89</f>
        <v>54.099999999999987</v>
      </c>
      <c r="C86" s="204">
        <v>15</v>
      </c>
      <c r="D86" s="191">
        <f t="shared" ref="D86:D104" si="6">B86*C86</f>
        <v>811.49999999999977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12.61188373913113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29</v>
      </c>
      <c r="B87" s="193">
        <f>'Données projet'!D90</f>
        <v>47.661538461538463</v>
      </c>
      <c r="C87" s="204">
        <v>20</v>
      </c>
      <c r="D87" s="191">
        <f t="shared" si="6"/>
        <v>953.23076923076928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12.068788267111133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36</v>
      </c>
      <c r="B88" s="193">
        <f>'Données projet'!D91</f>
        <v>64.553846153846166</v>
      </c>
      <c r="C88" s="206">
        <v>30</v>
      </c>
      <c r="D88" s="191">
        <f t="shared" si="6"/>
        <v>1936.615384615385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11.549079681446059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44</v>
      </c>
      <c r="B89" s="193">
        <f>'Données projet'!D92</f>
        <v>64.476923076923114</v>
      </c>
      <c r="C89" s="206">
        <v>40</v>
      </c>
      <c r="D89" s="191">
        <f t="shared" si="6"/>
        <v>2579.0769230769247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11.051750891335944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52</v>
      </c>
      <c r="B90" s="193">
        <f>'Données projet'!D93</f>
        <v>61.784615384615378</v>
      </c>
      <c r="C90" s="206">
        <v>50</v>
      </c>
      <c r="D90" s="191">
        <f t="shared" si="6"/>
        <v>3089.2307692307691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10.575838173527222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60</v>
      </c>
      <c r="B91" s="193">
        <f>'Données projet'!D94</f>
        <v>353.5</v>
      </c>
      <c r="C91" s="206">
        <v>60</v>
      </c>
      <c r="D91" s="191">
        <f t="shared" si="6"/>
        <v>21210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10.12041930481074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6">
        <v>0</v>
      </c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9.6846117749385083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6">
        <v>0</v>
      </c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9.2675710764961803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6">
        <v>0</v>
      </c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6">
        <v>0</v>
      </c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6">
        <v>0</v>
      </c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6">
        <v>0</v>
      </c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6">
        <v>0</v>
      </c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6">
        <v>0</v>
      </c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>
        <v>0</v>
      </c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>
        <v>0</v>
      </c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>
        <v>0</v>
      </c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>
        <v>0</v>
      </c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>
        <v>0</v>
      </c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2025-04-22T13:20:19Z</dcterms:modified>
</cp:coreProperties>
</file>