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YZEURES-SUR-CREUSE (37) - GAGNEUX - SWC 9B\Dossier déposé 08_01_2025\"/>
    </mc:Choice>
  </mc:AlternateContent>
  <xr:revisionPtr revIDLastSave="0" documentId="13_ncr:1_{B5DDC80E-D99E-43C4-961B-02E7948F79BD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6" l="1"/>
  <c r="I24" i="6"/>
  <c r="I22" i="6"/>
  <c r="I23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77" i="2" l="1" a="1"/>
  <c r="CS77" i="2" s="1"/>
  <c r="CS134" i="2" a="1"/>
  <c r="CS134" i="2" s="1"/>
  <c r="CS38" i="2" a="1"/>
  <c r="CS38" i="2" s="1"/>
  <c r="CS185" i="2" a="1"/>
  <c r="CS185" i="2" s="1"/>
  <c r="CS105" i="2" a="1"/>
  <c r="CS105" i="2" s="1"/>
  <c r="CS56" i="2" a="1"/>
  <c r="CS56" i="2" s="1"/>
  <c r="CS137" i="2" a="1"/>
  <c r="CS137" i="2" s="1"/>
  <c r="CS161" i="2" a="1"/>
  <c r="CS161" i="2" s="1"/>
  <c r="CS52" i="2" a="1"/>
  <c r="CS52" i="2" s="1"/>
  <c r="CS72" i="2" a="1"/>
  <c r="CS72" i="2" s="1"/>
  <c r="CS24" i="2" a="1"/>
  <c r="CS24" i="2" s="1"/>
  <c r="CS66" i="2" a="1"/>
  <c r="CS66" i="2" s="1"/>
  <c r="CS129" i="2" a="1"/>
  <c r="CS129" i="2" s="1"/>
  <c r="CS116" i="2" a="1"/>
  <c r="CS116" i="2" s="1"/>
  <c r="BX107" i="2" a="1"/>
  <c r="BX107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49" i="2" l="1"/>
  <c r="CY141" i="2"/>
  <c r="CY146" i="2"/>
  <c r="CY138" i="2"/>
  <c r="CY37" i="2"/>
  <c r="CY77" i="2"/>
  <c r="CY27" i="2"/>
  <c r="CY157" i="2"/>
  <c r="CY25" i="2"/>
  <c r="CY152" i="2"/>
  <c r="CY189" i="2"/>
  <c r="CY62" i="2"/>
  <c r="CY101" i="2"/>
  <c r="CY183" i="2"/>
  <c r="CY43" i="2"/>
  <c r="CY169" i="2"/>
  <c r="CY24" i="2"/>
  <c r="CY148" i="2"/>
  <c r="CY65" i="2"/>
  <c r="CY5" i="2"/>
  <c r="CY41" i="2"/>
  <c r="CY31" i="2"/>
  <c r="CY57" i="2"/>
  <c r="CY93" i="2"/>
  <c r="CY23" i="2"/>
  <c r="CY66" i="2"/>
  <c r="CY123" i="2"/>
  <c r="CY113" i="2"/>
  <c r="CY180" i="2"/>
  <c r="CY47" i="2"/>
  <c r="CY136" i="2"/>
  <c r="CY16" i="2"/>
  <c r="CY153" i="2"/>
  <c r="CY179" i="2"/>
  <c r="CY51" i="2"/>
  <c r="CY158" i="2"/>
  <c r="CY171" i="2"/>
  <c r="CY11" i="2"/>
  <c r="CY107" i="2"/>
  <c r="CY176" i="2"/>
  <c r="CY8" i="2"/>
  <c r="CY119" i="2"/>
  <c r="CY40" i="2"/>
  <c r="CY118" i="2"/>
  <c r="CY124" i="2"/>
  <c r="CY82" i="2"/>
  <c r="CY165" i="2"/>
  <c r="CY6" i="2"/>
  <c r="CY201" i="2"/>
  <c r="CY122" i="2"/>
  <c r="CY80" i="2"/>
  <c r="CY120" i="2"/>
  <c r="CY54" i="2"/>
  <c r="CY22" i="2"/>
  <c r="CY85" i="2"/>
  <c r="CY39" i="2"/>
  <c r="CY145" i="2"/>
  <c r="CY15" i="2"/>
  <c r="CY199" i="2"/>
  <c r="CY29" i="2"/>
  <c r="CY154" i="2"/>
  <c r="CY50" i="2"/>
  <c r="CY202" i="2"/>
  <c r="CY89" i="2"/>
  <c r="CY98" i="2"/>
  <c r="CY163" i="2"/>
  <c r="CY30" i="2"/>
  <c r="CY133" i="2"/>
  <c r="CY187" i="2"/>
  <c r="CY26" i="2"/>
  <c r="CY20" i="2"/>
  <c r="CY198" i="2"/>
  <c r="CY197" i="2"/>
  <c r="CY191" i="2"/>
  <c r="CY75" i="2"/>
  <c r="CY13" i="2"/>
  <c r="CY68" i="2"/>
  <c r="CY103" i="2"/>
  <c r="CY134" i="2"/>
  <c r="CY106" i="2"/>
  <c r="CY147" i="2"/>
  <c r="CY161" i="2"/>
  <c r="CY18" i="2"/>
  <c r="CY162" i="2"/>
  <c r="CY53" i="2"/>
  <c r="CY72" i="2"/>
  <c r="CY94" i="2"/>
  <c r="CY71" i="2"/>
  <c r="CY46" i="2"/>
  <c r="CY36" i="2"/>
  <c r="CY140" i="2"/>
  <c r="CY168" i="2"/>
  <c r="CY181" i="2"/>
  <c r="CY195" i="2"/>
  <c r="CY188" i="2"/>
  <c r="CY128" i="2"/>
  <c r="CY192" i="2"/>
  <c r="CY115" i="2"/>
  <c r="CY88" i="2"/>
  <c r="CY127" i="2"/>
  <c r="CY100" i="2"/>
  <c r="CY143" i="2"/>
  <c r="CY137" i="2"/>
  <c r="CY200" i="2"/>
  <c r="CY135" i="2"/>
  <c r="CY160" i="2"/>
  <c r="CY42" i="2"/>
  <c r="CY102" i="2"/>
  <c r="CY155" i="2"/>
  <c r="CY34" i="2"/>
  <c r="CY33" i="2"/>
  <c r="CY186" i="2"/>
  <c r="CY150" i="2"/>
  <c r="CY73" i="2"/>
  <c r="CY111" i="2"/>
  <c r="CY17" i="2"/>
  <c r="CY112" i="2"/>
  <c r="CY32" i="2"/>
  <c r="CY56" i="2"/>
  <c r="CY60" i="2"/>
  <c r="CY14" i="2"/>
  <c r="CY196" i="2"/>
  <c r="CY81" i="2"/>
  <c r="CY184" i="2"/>
  <c r="CY55" i="2"/>
  <c r="CY170" i="2"/>
  <c r="CY28" i="2"/>
  <c r="CY177" i="2"/>
  <c r="CY109" i="2"/>
  <c r="CY19" i="2"/>
  <c r="CY164" i="2"/>
  <c r="CY156" i="2"/>
  <c r="CY175" i="2"/>
  <c r="CY190" i="2"/>
  <c r="CY90" i="2"/>
  <c r="CY21" i="2"/>
  <c r="CY52" i="2"/>
  <c r="CY174" i="2"/>
  <c r="CY194" i="2"/>
  <c r="CY173" i="2"/>
  <c r="CY132" i="2"/>
  <c r="CY105" i="2"/>
  <c r="CY126" i="2"/>
  <c r="CY131" i="2"/>
  <c r="CY117" i="2"/>
  <c r="CY121" i="2"/>
  <c r="CY38" i="2"/>
  <c r="CY159" i="2"/>
  <c r="CY116" i="2"/>
  <c r="CY59" i="2"/>
  <c r="CY58" i="2"/>
  <c r="CY10" i="2"/>
  <c r="CY92" i="2"/>
  <c r="CY167" i="2"/>
  <c r="CY74" i="2"/>
  <c r="CY129" i="2"/>
  <c r="CY83" i="2"/>
  <c r="CY96" i="2"/>
  <c r="CY110" i="2"/>
  <c r="CY125" i="2"/>
  <c r="CY99" i="2"/>
  <c r="CY4" i="2"/>
  <c r="CY172" i="2"/>
  <c r="CY130" i="2"/>
  <c r="CY64" i="2"/>
  <c r="CY63" i="2"/>
  <c r="CY203" i="2"/>
  <c r="CY12" i="2"/>
  <c r="CY193" i="2"/>
  <c r="CY182" i="2"/>
  <c r="CY45" i="2"/>
  <c r="CY7" i="2"/>
  <c r="CY149" i="2"/>
  <c r="CY76" i="2"/>
  <c r="CY142" i="2"/>
  <c r="CY61" i="2"/>
  <c r="CY97" i="2"/>
  <c r="CY144" i="2"/>
  <c r="CY104" i="2"/>
  <c r="CY84" i="2"/>
  <c r="CY9" i="2"/>
  <c r="CY67" i="2"/>
  <c r="CY79" i="2"/>
  <c r="CY139" i="2"/>
  <c r="CY48" i="2"/>
  <c r="CY35" i="2"/>
  <c r="CY95" i="2"/>
  <c r="CY108" i="2"/>
  <c r="CY70" i="2"/>
  <c r="CY69" i="2"/>
  <c r="CY151" i="2"/>
  <c r="CY87" i="2"/>
  <c r="CY78" i="2"/>
  <c r="CY166" i="2"/>
  <c r="CY86" i="2"/>
  <c r="CY114" i="2"/>
  <c r="CY3" i="2"/>
  <c r="C10" i="4" s="1"/>
  <c r="E10" i="4" s="1"/>
  <c r="F10" i="4" s="1"/>
  <c r="G10" i="4" s="1"/>
  <c r="L10" i="4" s="1"/>
  <c r="CY185" i="2"/>
  <c r="CY178" i="2"/>
  <c r="CY44" i="2"/>
  <c r="CY91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BI125" i="2" l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30" i="2" s="1"/>
  <c r="BE109" i="2"/>
  <c r="BS107" i="2"/>
  <c r="BI36" i="2" l="1"/>
  <c r="BI97" i="2"/>
  <c r="BI188" i="2"/>
  <c r="BI9" i="2"/>
  <c r="BI148" i="2"/>
  <c r="BI60" i="2"/>
  <c r="BI197" i="2"/>
  <c r="BI31" i="2"/>
  <c r="BI115" i="2"/>
  <c r="BI59" i="2"/>
  <c r="BI163" i="2"/>
  <c r="BI186" i="2"/>
  <c r="BI82" i="2"/>
  <c r="BI96" i="2"/>
  <c r="BI134" i="2"/>
  <c r="BI161" i="2"/>
  <c r="BI16" i="2"/>
  <c r="BI102" i="2"/>
  <c r="BI199" i="2"/>
  <c r="BI37" i="2"/>
  <c r="BI111" i="2"/>
  <c r="BI142" i="2"/>
  <c r="BI77" i="2"/>
  <c r="BI201" i="2"/>
  <c r="BI182" i="2"/>
  <c r="BI141" i="2"/>
  <c r="BI42" i="2"/>
  <c r="BI45" i="2"/>
  <c r="BI56" i="2"/>
  <c r="BI61" i="2"/>
  <c r="BI138" i="2"/>
  <c r="BI172" i="2"/>
  <c r="BI55" i="2"/>
  <c r="BI92" i="2"/>
  <c r="BI114" i="2"/>
  <c r="BI123" i="2"/>
  <c r="BI136" i="2"/>
  <c r="BI91" i="2"/>
  <c r="BI177" i="2"/>
  <c r="BI165" i="2"/>
  <c r="BI193" i="2"/>
  <c r="BI27" i="2"/>
  <c r="BI49" i="2"/>
  <c r="BI156" i="2"/>
  <c r="BI131" i="2"/>
  <c r="BI63" i="2"/>
  <c r="BI108" i="2"/>
  <c r="BI12" i="2"/>
  <c r="BI4" i="2"/>
  <c r="BI51" i="2"/>
  <c r="BI198" i="2"/>
  <c r="BI168" i="2"/>
  <c r="BI93" i="2"/>
  <c r="BI147" i="2"/>
  <c r="BI38" i="2"/>
  <c r="BI152" i="2"/>
  <c r="BI151" i="2"/>
  <c r="BI18" i="2"/>
  <c r="BI189" i="2"/>
  <c r="BI164" i="2"/>
  <c r="BI88" i="2"/>
  <c r="BI119" i="2"/>
  <c r="BI140" i="2"/>
  <c r="BI98" i="2"/>
  <c r="BI71" i="2"/>
  <c r="BI39" i="2"/>
  <c r="BI162" i="2"/>
  <c r="BI113" i="2"/>
  <c r="BI46" i="2"/>
  <c r="BI121" i="2"/>
  <c r="BI166" i="2"/>
  <c r="BI118" i="2"/>
  <c r="BI17" i="2"/>
  <c r="BI176" i="2"/>
  <c r="BI75" i="2"/>
  <c r="BI57" i="2"/>
  <c r="BI5" i="2"/>
  <c r="BI81" i="2"/>
  <c r="BI129" i="2"/>
  <c r="BI80" i="2"/>
  <c r="BI194" i="2"/>
  <c r="BI191" i="2"/>
  <c r="BI126" i="2"/>
  <c r="BI145" i="2"/>
  <c r="BI94" i="2"/>
  <c r="BI86" i="2"/>
  <c r="BI62" i="2"/>
  <c r="BI120" i="2"/>
  <c r="BI35" i="2"/>
  <c r="BI104" i="2"/>
  <c r="BI150" i="2"/>
  <c r="BI3" i="2"/>
  <c r="C8" i="4" s="1"/>
  <c r="E8" i="4" s="1"/>
  <c r="F8" i="4" s="1"/>
  <c r="G8" i="4" s="1"/>
  <c r="L8" i="4" s="1"/>
  <c r="BI47" i="2"/>
  <c r="BI99" i="2"/>
  <c r="BI66" i="2"/>
  <c r="BI174" i="2"/>
  <c r="BI11" i="2"/>
  <c r="BI149" i="2"/>
  <c r="BI78" i="2"/>
  <c r="BI179" i="2"/>
  <c r="BI100" i="2"/>
  <c r="BI72" i="2"/>
  <c r="BI41" i="2"/>
  <c r="BI187" i="2"/>
  <c r="BI178" i="2"/>
  <c r="BI44" i="2"/>
  <c r="BI22" i="2"/>
  <c r="BI48" i="2"/>
  <c r="BI26" i="2"/>
  <c r="BI25" i="2"/>
  <c r="BI117" i="2"/>
  <c r="BI13" i="2"/>
  <c r="BI8" i="2"/>
  <c r="BI181" i="2"/>
  <c r="BI14" i="2"/>
  <c r="BI76" i="2"/>
  <c r="BI65" i="2"/>
  <c r="BI202" i="2"/>
  <c r="BI159" i="2"/>
  <c r="BI54" i="2"/>
  <c r="BI64" i="2"/>
  <c r="BI21" i="2"/>
  <c r="BI132" i="2"/>
  <c r="BI155" i="2"/>
  <c r="BI85" i="2"/>
  <c r="BI40" i="2"/>
  <c r="BI109" i="2"/>
  <c r="BI29" i="2"/>
  <c r="BI10" i="2"/>
  <c r="BI7" i="2"/>
  <c r="BI107" i="2"/>
  <c r="BI68" i="2"/>
  <c r="BI167" i="2"/>
  <c r="BI106" i="2"/>
  <c r="BI200" i="2"/>
  <c r="BI154" i="2"/>
  <c r="BI173" i="2"/>
  <c r="BI6" i="2"/>
  <c r="BI158" i="2"/>
  <c r="BI192" i="2"/>
  <c r="BI122" i="2"/>
  <c r="BI33" i="2"/>
  <c r="BI24" i="2"/>
  <c r="BI103" i="2"/>
  <c r="BI110" i="2"/>
  <c r="BI89" i="2"/>
  <c r="BI184" i="2"/>
  <c r="BI52" i="2"/>
  <c r="BI143" i="2"/>
  <c r="BI95" i="2"/>
  <c r="BI144" i="2"/>
  <c r="BI203" i="2"/>
  <c r="BI130" i="2"/>
  <c r="BI84" i="2"/>
  <c r="BI185" i="2"/>
  <c r="BI15" i="2"/>
  <c r="BI20" i="2"/>
  <c r="BI43" i="2"/>
  <c r="BI146" i="2"/>
  <c r="BI175" i="2"/>
  <c r="BI28" i="2"/>
  <c r="BI139" i="2"/>
  <c r="BI137" i="2"/>
  <c r="BI180" i="2"/>
  <c r="BI153" i="2"/>
  <c r="BI32" i="2"/>
  <c r="BI171" i="2"/>
  <c r="BI90" i="2"/>
  <c r="BI73" i="2"/>
  <c r="BI70" i="2"/>
  <c r="BI133" i="2"/>
  <c r="BI101" i="2"/>
  <c r="BI195" i="2"/>
  <c r="BI19" i="2"/>
  <c r="BI79" i="2"/>
  <c r="BI34" i="2"/>
  <c r="BI53" i="2"/>
  <c r="BI116" i="2"/>
  <c r="BI127" i="2"/>
  <c r="BI112" i="2"/>
  <c r="BI183" i="2"/>
  <c r="BI196" i="2"/>
  <c r="BI135" i="2"/>
  <c r="BI87" i="2"/>
  <c r="BI169" i="2"/>
  <c r="BI160" i="2"/>
  <c r="BI67" i="2"/>
  <c r="BI190" i="2"/>
  <c r="BI58" i="2"/>
  <c r="BI157" i="2"/>
  <c r="BI128" i="2"/>
  <c r="BI23" i="2"/>
  <c r="BI50" i="2"/>
  <c r="BI83" i="2"/>
  <c r="BI124" i="2"/>
  <c r="BI74" i="2"/>
  <c r="BI170" i="2"/>
  <c r="BI105" i="2"/>
  <c r="BI69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<sst xmlns="http://schemas.openxmlformats.org/spreadsheetml/2006/main" count="1173" uniqueCount="324">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</sst>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3.015643224062297</c:v>
                </c:pt>
                <c:pt idx="2">
                  <c:v>4.0722529948595438</c:v>
                </c:pt>
                <c:pt idx="3">
                  <c:v>5.5006018745362235</c:v>
                </c:pt>
                <c:pt idx="4">
                  <c:v>7.4319811827349751</c:v>
                </c:pt>
                <c:pt idx="5">
                  <c:v>10.044218170589504</c:v>
                </c:pt>
                <c:pt idx="6">
                  <c:v>13.578225113429147</c:v>
                </c:pt>
                <c:pt idx="7">
                  <c:v>18.360451404377937</c:v>
                </c:pt>
                <c:pt idx="8">
                  <c:v>24.83335003064289</c:v>
                </c:pt>
                <c:pt idx="9">
                  <c:v>33.596726896246878</c:v>
                </c:pt>
                <c:pt idx="10">
                  <c:v>45.463870615269634</c:v>
                </c:pt>
                <c:pt idx="11">
                  <c:v>61.537759614262761</c:v>
                </c:pt>
                <c:pt idx="12">
                  <c:v>83.314545972184078</c:v>
                </c:pt>
                <c:pt idx="13">
                  <c:v>112.82410282766058</c:v>
                </c:pt>
                <c:pt idx="14">
                  <c:v>152.8209413414541</c:v>
                </c:pt>
                <c:pt idx="15">
                  <c:v>207.04359025710687</c:v>
                </c:pt>
                <c:pt idx="16">
                  <c:v>173.3902523967221</c:v>
                </c:pt>
                <c:pt idx="17">
                  <c:v>204.02410382923904</c:v>
                </c:pt>
                <c:pt idx="18">
                  <c:v>234.55138491384039</c:v>
                </c:pt>
                <c:pt idx="19">
                  <c:v>264.98792439409294</c:v>
                </c:pt>
                <c:pt idx="20">
                  <c:v>295.34560890488154</c:v>
                </c:pt>
                <c:pt idx="21">
                  <c:v>230.78777111964931</c:v>
                </c:pt>
                <c:pt idx="22">
                  <c:v>260.10863290775887</c:v>
                </c:pt>
                <c:pt idx="23">
                  <c:v>289.35480857103522</c:v>
                </c:pt>
                <c:pt idx="24">
                  <c:v>318.53490425391578</c:v>
                </c:pt>
                <c:pt idx="25">
                  <c:v>347.65581965898065</c:v>
                </c:pt>
                <c:pt idx="26">
                  <c:v>278.11452603753787</c:v>
                </c:pt>
                <c:pt idx="27">
                  <c:v>305.82302433005219</c:v>
                </c:pt>
                <c:pt idx="28">
                  <c:v>333.47571872180367</c:v>
                </c:pt>
                <c:pt idx="29">
                  <c:v>361.07788328212001</c:v>
                </c:pt>
                <c:pt idx="30">
                  <c:v>388.63392005694885</c:v>
                </c:pt>
                <c:pt idx="31">
                  <c:v>318.90861058050916</c:v>
                </c:pt>
                <c:pt idx="32">
                  <c:v>344.29854381894557</c:v>
                </c:pt>
                <c:pt idx="33">
                  <c:v>369.64735159591186</c:v>
                </c:pt>
                <c:pt idx="34">
                  <c:v>394.95824817710309</c:v>
                </c:pt>
                <c:pt idx="35">
                  <c:v>420.23400244347675</c:v>
                </c:pt>
                <c:pt idx="36">
                  <c:v>351.75819111537254</c:v>
                </c:pt>
                <c:pt idx="37">
                  <c:v>374.48903994418214</c:v>
                </c:pt>
                <c:pt idx="38">
                  <c:v>397.18983794003793</c:v>
                </c:pt>
                <c:pt idx="39">
                  <c:v>419.86254283875792</c:v>
                </c:pt>
                <c:pt idx="40">
                  <c:v>442.50888381337427</c:v>
                </c:pt>
                <c:pt idx="41">
                  <c:v>379.70164117358576</c:v>
                </c:pt>
                <c:pt idx="42">
                  <c:v>400.53671385047045</c:v>
                </c:pt>
                <c:pt idx="43">
                  <c:v>421.34833884363485</c:v>
                </c:pt>
                <c:pt idx="44">
                  <c:v>442.1378364455864</c:v>
                </c:pt>
                <c:pt idx="45">
                  <c:v>462.90639273248456</c:v>
                </c:pt>
                <c:pt idx="46">
                  <c:v>404.9982744755884</c:v>
                </c:pt>
                <c:pt idx="47">
                  <c:v>423.20542522399978</c:v>
                </c:pt>
                <c:pt idx="48">
                  <c:v>441.39572167958931</c:v>
                </c:pt>
                <c:pt idx="49">
                  <c:v>459.56995582844655</c:v>
                </c:pt>
                <c:pt idx="50">
                  <c:v>477.72885193803205</c:v>
                </c:pt>
                <c:pt idx="51">
                  <c:v>425.06233617824205</c:v>
                </c:pt>
                <c:pt idx="52">
                  <c:v>441.02465426855321</c:v>
                </c:pt>
                <c:pt idx="53">
                  <c:v>456.97459194094722</c:v>
                </c:pt>
                <c:pt idx="54">
                  <c:v>472.9126420088009</c:v>
                </c:pt>
                <c:pt idx="55">
                  <c:v>488.83926137072308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2.5674081613595483</c:v>
                </c:pt>
                <c:pt idx="2">
                  <c:v>2.9509973995419365</c:v>
                </c:pt>
                <c:pt idx="3">
                  <c:v>3.3921035249964064</c:v>
                </c:pt>
                <c:pt idx="4">
                  <c:v>3.8993800326575379</c:v>
                </c:pt>
                <c:pt idx="5">
                  <c:v>4.4827864698435551</c:v>
                </c:pt>
                <c:pt idx="6">
                  <c:v>5.1537861360321822</c:v>
                </c:pt>
                <c:pt idx="7">
                  <c:v>5.9255737902693291</c:v>
                </c:pt>
                <c:pt idx="8">
                  <c:v>6.8133379322758998</c:v>
                </c:pt>
                <c:pt idx="9">
                  <c:v>7.834562919695732</c:v>
                </c:pt>
                <c:pt idx="10">
                  <c:v>9.0093769867322209</c:v>
                </c:pt>
                <c:pt idx="11">
                  <c:v>10.360953154948495</c:v>
                </c:pt>
                <c:pt idx="12">
                  <c:v>11.915971094051232</c:v>
                </c:pt>
                <c:pt idx="13">
                  <c:v>13.705149220720239</c:v>
                </c:pt>
                <c:pt idx="14">
                  <c:v>15.763857741989639</c:v>
                </c:pt>
                <c:pt idx="15">
                  <c:v>18.132824985174668</c:v>
                </c:pt>
                <c:pt idx="16">
                  <c:v>20.858951242140964</c:v>
                </c:pt>
                <c:pt idx="17">
                  <c:v>23.996246530208428</c:v>
                </c:pt>
                <c:pt idx="18">
                  <c:v>27.606911179441123</c:v>
                </c:pt>
                <c:pt idx="19">
                  <c:v>31.762581047569586</c:v>
                </c:pt>
                <c:pt idx="20">
                  <c:v>36.545762498237771</c:v>
                </c:pt>
                <c:pt idx="21">
                  <c:v>45.976451369424893</c:v>
                </c:pt>
                <c:pt idx="22">
                  <c:v>61.195253174133917</c:v>
                </c:pt>
                <c:pt idx="23">
                  <c:v>76.314953891111699</c:v>
                </c:pt>
                <c:pt idx="24">
                  <c:v>91.358114590501202</c:v>
                </c:pt>
                <c:pt idx="25">
                  <c:v>106.33917221071198</c:v>
                </c:pt>
                <c:pt idx="26">
                  <c:v>93.28198944103697</c:v>
                </c:pt>
                <c:pt idx="27">
                  <c:v>107.10595572323882</c:v>
                </c:pt>
                <c:pt idx="28">
                  <c:v>120.88592545349094</c:v>
                </c:pt>
                <c:pt idx="29">
                  <c:v>134.62762855321992</c:v>
                </c:pt>
                <c:pt idx="30">
                  <c:v>148.33552588657844</c:v>
                </c:pt>
                <c:pt idx="31">
                  <c:v>134.24638938649042</c:v>
                </c:pt>
                <c:pt idx="32">
                  <c:v>146.81397834828729</c:v>
                </c:pt>
                <c:pt idx="33">
                  <c:v>159.35586286360191</c:v>
                </c:pt>
                <c:pt idx="34">
                  <c:v>171.87435267338165</c:v>
                </c:pt>
                <c:pt idx="35">
                  <c:v>184.37139305479846</c:v>
                </c:pt>
                <c:pt idx="36">
                  <c:v>168.8416056097681</c:v>
                </c:pt>
                <c:pt idx="37">
                  <c:v>179.829386330098</c:v>
                </c:pt>
                <c:pt idx="38">
                  <c:v>190.80144399249431</c:v>
                </c:pt>
                <c:pt idx="39">
                  <c:v>201.75881092692779</c:v>
                </c:pt>
                <c:pt idx="40">
                  <c:v>212.70239804910184</c:v>
                </c:pt>
                <c:pt idx="41">
                  <c:v>195.33725403815257</c:v>
                </c:pt>
                <c:pt idx="42">
                  <c:v>204.40159586063604</c:v>
                </c:pt>
                <c:pt idx="43">
                  <c:v>213.45664137520589</c:v>
                </c:pt>
                <c:pt idx="44">
                  <c:v>222.50284096633968</c:v>
                </c:pt>
                <c:pt idx="45">
                  <c:v>231.54060536306474</c:v>
                </c:pt>
                <c:pt idx="46">
                  <c:v>213.07952740360659</c:v>
                </c:pt>
                <c:pt idx="47">
                  <c:v>220.99573745004457</c:v>
                </c:pt>
                <c:pt idx="48">
                  <c:v>228.90543935922884</c:v>
                </c:pt>
                <c:pt idx="49">
                  <c:v>236.80889001154424</c:v>
                </c:pt>
                <c:pt idx="50">
                  <c:v>244.70632771903044</c:v>
                </c:pt>
                <c:pt idx="51">
                  <c:v>230.78777111964928</c:v>
                </c:pt>
                <c:pt idx="52">
                  <c:v>237.56128239156058</c:v>
                </c:pt>
                <c:pt idx="53">
                  <c:v>244.3303922732961</c:v>
                </c:pt>
                <c:pt idx="54">
                  <c:v>251.0952400785371</c:v>
                </c:pt>
                <c:pt idx="55">
                  <c:v>257.85595699105755</c:v>
                </c:pt>
                <c:pt idx="56">
                  <c:v>246.58580846713619</c:v>
                </c:pt>
                <c:pt idx="57">
                  <c:v>252.22230966781112</c:v>
                </c:pt>
                <c:pt idx="58">
                  <c:v>257.85595699105755</c:v>
                </c:pt>
                <c:pt idx="59">
                  <c:v>263.4868216859382</c:v>
                </c:pt>
                <c:pt idx="60">
                  <c:v>269.11497170292421</c:v>
                </c:pt>
                <c:pt idx="61">
                  <c:v>260.85942671475163</c:v>
                </c:pt>
                <c:pt idx="62">
                  <c:v>265.73840375453756</c:v>
                </c:pt>
                <c:pt idx="63">
                  <c:v>270.61536157536983</c:v>
                </c:pt>
                <c:pt idx="64">
                  <c:v>275.49034176419684</c:v>
                </c:pt>
                <c:pt idx="65">
                  <c:v>280.36338431358678</c:v>
                </c:pt>
                <c:pt idx="66">
                  <c:v>272.86559571589561</c:v>
                </c:pt>
                <c:pt idx="67">
                  <c:v>276.61506059958811</c:v>
                </c:pt>
                <c:pt idx="68">
                  <c:v>280.36338431358678</c:v>
                </c:pt>
                <c:pt idx="69">
                  <c:v>284.11058429716269</c:v>
                </c:pt>
                <c:pt idx="70">
                  <c:v>287.85667749117096</c:v>
                </c:pt>
                <c:pt idx="71">
                  <c:v>282.23712370144068</c:v>
                </c:pt>
                <c:pt idx="72">
                  <c:v>285.98376820295493</c:v>
                </c:pt>
                <c:pt idx="73">
                  <c:v>289.72931420493518</c:v>
                </c:pt>
                <c:pt idx="74">
                  <c:v>293.47377793906486</c:v>
                </c:pt>
                <c:pt idx="75">
                  <c:v>297.21717518827535</c:v>
                </c:pt>
                <c:pt idx="76">
                  <c:v>292.72497100977256</c:v>
                </c:pt>
                <c:pt idx="77">
                  <c:v>295.71994327479496</c:v>
                </c:pt>
                <c:pt idx="78">
                  <c:v>298.71423892515395</c:v>
                </c:pt>
                <c:pt idx="79">
                  <c:v>301.70786571384548</c:v>
                </c:pt>
                <c:pt idx="80">
                  <c:v>304.70083122716051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2.7652466528357245</c:v>
                </c:pt>
                <c:pt idx="2">
                  <c:v>3.1526498732896608</c:v>
                </c:pt>
                <c:pt idx="3">
                  <c:v>3.5945199610585767</c:v>
                </c:pt>
                <c:pt idx="4">
                  <c:v>4.0985402882858457</c:v>
                </c:pt>
                <c:pt idx="5">
                  <c:v>4.6734814741684882</c:v>
                </c:pt>
                <c:pt idx="6">
                  <c:v>5.3293556850609054</c:v>
                </c:pt>
                <c:pt idx="7">
                  <c:v>6.0775928914475736</c:v>
                </c:pt>
                <c:pt idx="8">
                  <c:v>6.9312422139657466</c:v>
                </c:pt>
                <c:pt idx="9">
                  <c:v>7.9052019384800483</c:v>
                </c:pt>
                <c:pt idx="10">
                  <c:v>9.0164822921904193</c:v>
                </c:pt>
                <c:pt idx="11">
                  <c:v>10.284505658102008</c:v>
                </c:pt>
                <c:pt idx="12">
                  <c:v>11.73144957443391</c:v>
                </c:pt>
                <c:pt idx="13">
                  <c:v>13.382638630740383</c:v>
                </c:pt>
                <c:pt idx="14">
                  <c:v>15.266992247444895</c:v>
                </c:pt>
                <c:pt idx="15">
                  <c:v>17.417536325906397</c:v>
                </c:pt>
                <c:pt idx="16">
                  <c:v>19.871987900080956</c:v>
                </c:pt>
                <c:pt idx="17">
                  <c:v>22.6734232289357</c:v>
                </c:pt>
                <c:pt idx="18">
                  <c:v>25.871041264612035</c:v>
                </c:pt>
                <c:pt idx="19">
                  <c:v>29.521036141912429</c:v>
                </c:pt>
                <c:pt idx="20">
                  <c:v>33.687594290879673</c:v>
                </c:pt>
                <c:pt idx="21">
                  <c:v>38.444034011373397</c:v>
                </c:pt>
                <c:pt idx="22">
                  <c:v>43.874107907041058</c:v>
                </c:pt>
                <c:pt idx="23">
                  <c:v>50.073491502164835</c:v>
                </c:pt>
                <c:pt idx="24">
                  <c:v>57.151484711439622</c:v>
                </c:pt>
                <c:pt idx="25">
                  <c:v>65.232956660322571</c:v>
                </c:pt>
                <c:pt idx="26">
                  <c:v>75.36203788251963</c:v>
                </c:pt>
                <c:pt idx="27">
                  <c:v>85.456382396271991</c:v>
                </c:pt>
                <c:pt idx="28">
                  <c:v>95.520682327282813</c:v>
                </c:pt>
                <c:pt idx="29">
                  <c:v>105.55855600949467</c:v>
                </c:pt>
                <c:pt idx="30">
                  <c:v>115.57287501055875</c:v>
                </c:pt>
                <c:pt idx="31">
                  <c:v>125.98191930067928</c:v>
                </c:pt>
                <c:pt idx="32">
                  <c:v>136.37010598118897</c:v>
                </c:pt>
                <c:pt idx="33">
                  <c:v>146.73924981884883</c:v>
                </c:pt>
                <c:pt idx="34">
                  <c:v>157.09088766117375</c:v>
                </c:pt>
                <c:pt idx="35">
                  <c:v>167.42633692098417</c:v>
                </c:pt>
                <c:pt idx="36">
                  <c:v>151.71013504978851</c:v>
                </c:pt>
                <c:pt idx="37">
                  <c:v>162.88065693289695</c:v>
                </c:pt>
                <c:pt idx="38">
                  <c:v>174.03306200202442</c:v>
                </c:pt>
                <c:pt idx="39">
                  <c:v>185.16867584889792</c:v>
                </c:pt>
                <c:pt idx="40">
                  <c:v>196.28865140045741</c:v>
                </c:pt>
                <c:pt idx="41">
                  <c:v>178.98422457057109</c:v>
                </c:pt>
                <c:pt idx="42">
                  <c:v>190.52462490535595</c:v>
                </c:pt>
                <c:pt idx="43">
                  <c:v>202.04874721849876</c:v>
                </c:pt>
                <c:pt idx="44">
                  <c:v>213.55765143811337</c:v>
                </c:pt>
                <c:pt idx="45">
                  <c:v>225.05227380728206</c:v>
                </c:pt>
                <c:pt idx="46">
                  <c:v>207.80504043511849</c:v>
                </c:pt>
                <c:pt idx="47">
                  <c:v>219.30669358828911</c:v>
                </c:pt>
                <c:pt idx="48">
                  <c:v>230.7944931021203</c:v>
                </c:pt>
                <c:pt idx="49">
                  <c:v>242.26922614367652</c:v>
                </c:pt>
                <c:pt idx="50">
                  <c:v>253.7315991661691</c:v>
                </c:pt>
                <c:pt idx="51">
                  <c:v>236.53344703477231</c:v>
                </c:pt>
                <c:pt idx="52">
                  <c:v>248.00191632320647</c:v>
                </c:pt>
                <c:pt idx="53">
                  <c:v>259.45835227370497</c:v>
                </c:pt>
                <c:pt idx="54">
                  <c:v>270.9033613896147</c:v>
                </c:pt>
                <c:pt idx="55">
                  <c:v>282.33749471067301</c:v>
                </c:pt>
                <c:pt idx="56">
                  <c:v>265.18224953636462</c:v>
                </c:pt>
                <c:pt idx="57">
                  <c:v>276.6217550466074</c:v>
                </c:pt>
                <c:pt idx="58">
                  <c:v>288.05064176968398</c:v>
                </c:pt>
                <c:pt idx="59">
                  <c:v>299.46939060089005</c:v>
                </c:pt>
                <c:pt idx="60">
                  <c:v>310.87844274943245</c:v>
                </c:pt>
                <c:pt idx="61">
                  <c:v>292.94560606300411</c:v>
                </c:pt>
                <c:pt idx="62">
                  <c:v>303.54514342437079</c:v>
                </c:pt>
                <c:pt idx="63">
                  <c:v>314.13644855888259</c:v>
                </c:pt>
                <c:pt idx="64">
                  <c:v>324.71983829084985</c:v>
                </c:pt>
                <c:pt idx="65">
                  <c:v>335.29560709579067</c:v>
                </c:pt>
                <c:pt idx="66">
                  <c:v>317.39370514042008</c:v>
                </c:pt>
                <c:pt idx="67">
                  <c:v>327.97471958208894</c:v>
                </c:pt>
                <c:pt idx="68">
                  <c:v>338.5481995642798</c:v>
                </c:pt>
                <c:pt idx="69">
                  <c:v>349.11441368138429</c:v>
                </c:pt>
                <c:pt idx="70">
                  <c:v>359.67361293503569</c:v>
                </c:pt>
                <c:pt idx="71">
                  <c:v>340.98719215689295</c:v>
                </c:pt>
                <c:pt idx="72">
                  <c:v>350.73935640199261</c:v>
                </c:pt>
                <c:pt idx="73">
                  <c:v>360.48557531469902</c:v>
                </c:pt>
                <c:pt idx="74">
                  <c:v>370.22603238018905</c:v>
                </c:pt>
                <c:pt idx="75">
                  <c:v>379.96090063618993</c:v>
                </c:pt>
                <c:pt idx="76">
                  <c:v>360.89154149553332</c:v>
                </c:pt>
                <c:pt idx="77">
                  <c:v>370.22603238018905</c:v>
                </c:pt>
                <c:pt idx="78">
                  <c:v>379.55539054654429</c:v>
                </c:pt>
                <c:pt idx="79">
                  <c:v>388.87976000894241</c:v>
                </c:pt>
                <c:pt idx="80">
                  <c:v>398.1992773085903</c:v>
                </c:pt>
                <c:pt idx="81">
                  <c:v>378.74434206791688</c:v>
                </c:pt>
                <c:pt idx="82">
                  <c:v>387.66381592151873</c:v>
                </c:pt>
                <c:pt idx="83">
                  <c:v>396.57883448700187</c:v>
                </c:pt>
                <c:pt idx="84">
                  <c:v>405.48951209335388</c:v>
                </c:pt>
                <c:pt idx="85">
                  <c:v>414.39595763230801</c:v>
                </c:pt>
                <c:pt idx="86">
                  <c:v>394.55307910081592</c:v>
                </c:pt>
                <c:pt idx="87">
                  <c:v>403.05975148729158</c:v>
                </c:pt>
                <c:pt idx="88">
                  <c:v>411.56254124269782</c:v>
                </c:pt>
                <c:pt idx="89">
                  <c:v>420.06153993571343</c:v>
                </c:pt>
                <c:pt idx="90">
                  <c:v>428.55683512546528</c:v>
                </c:pt>
                <c:pt idx="91">
                  <c:v>407.91895794657734</c:v>
                </c:pt>
                <c:pt idx="92">
                  <c:v>415.6101508216347</c:v>
                </c:pt>
                <c:pt idx="93">
                  <c:v>423.29827493076959</c:v>
                </c:pt>
                <c:pt idx="94">
                  <c:v>430.98339390471659</c:v>
                </c:pt>
                <c:pt idx="95">
                  <c:v>438.66556891849177</c:v>
                </c:pt>
                <c:pt idx="96">
                  <c:v>417.63363625997835</c:v>
                </c:pt>
                <c:pt idx="97">
                  <c:v>424.91644236173005</c:v>
                </c:pt>
                <c:pt idx="98">
                  <c:v>432.19656309026976</c:v>
                </c:pt>
                <c:pt idx="99">
                  <c:v>439.47405008772625</c:v>
                </c:pt>
                <c:pt idx="100">
                  <c:v>446.74895314532552</c:v>
                </c:pt>
                <c:pt idx="101">
                  <c:v>427.34344505663142</c:v>
                </c:pt>
                <c:pt idx="102">
                  <c:v>434.21834928171842</c:v>
                </c:pt>
                <c:pt idx="103">
                  <c:v>441.09091679699753</c:v>
                </c:pt>
                <c:pt idx="104">
                  <c:v>447.96118916963178</c:v>
                </c:pt>
                <c:pt idx="105">
                  <c:v>454.82920658695576</c:v>
                </c:pt>
                <c:pt idx="106">
                  <c:v>434.62268223024967</c:v>
                </c:pt>
                <c:pt idx="107">
                  <c:v>440.6867120524235</c:v>
                </c:pt>
                <c:pt idx="108">
                  <c:v>446.74895314532552</c:v>
                </c:pt>
                <c:pt idx="109">
                  <c:v>452.8094332235828</c:v>
                </c:pt>
                <c:pt idx="110">
                  <c:v>458.86817919889148</c:v>
                </c:pt>
                <c:pt idx="111">
                  <c:v>438.26131635086909</c:v>
                </c:pt>
                <c:pt idx="112">
                  <c:v>443.92012811747713</c:v>
                </c:pt>
                <c:pt idx="113">
                  <c:v>449.57739467471271</c:v>
                </c:pt>
                <c:pt idx="114">
                  <c:v>455.23313822520009</c:v>
                </c:pt>
                <c:pt idx="115">
                  <c:v>460.88738037445046</c:v>
                </c:pt>
                <c:pt idx="116">
                  <c:v>439.47405008772625</c:v>
                </c:pt>
                <c:pt idx="117">
                  <c:v>444.32426956358057</c:v>
                </c:pt>
                <c:pt idx="118">
                  <c:v>449.17335497371761</c:v>
                </c:pt>
                <c:pt idx="119">
                  <c:v>454.02132029945079</c:v>
                </c:pt>
                <c:pt idx="120">
                  <c:v>458.86817919889177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20" sqref="E2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3.5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0.443</v>
      </c>
      <c r="D9" s="36">
        <f t="shared" ref="D9:D18" si="0">C9*$C$5</f>
        <v>1.5505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</v>
      </c>
      <c r="C10" s="35">
        <v>0.23699999999999999</v>
      </c>
      <c r="D10" s="36">
        <f t="shared" si="0"/>
        <v>0.8294999999999999</v>
      </c>
      <c r="E10" s="37">
        <v>55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0.13</v>
      </c>
      <c r="D11" s="36">
        <f t="shared" si="0"/>
        <v>0.45500000000000002</v>
      </c>
      <c r="E11" s="37">
        <v>105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21</v>
      </c>
      <c r="C12" s="35">
        <v>0.1</v>
      </c>
      <c r="D12" s="36">
        <f t="shared" si="0"/>
        <v>0.35000000000000003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6</v>
      </c>
      <c r="C13" s="35">
        <v>0.09</v>
      </c>
      <c r="D13" s="36">
        <f t="shared" si="0"/>
        <v>0.315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0.99999999999999989</v>
      </c>
      <c r="D19" s="41">
        <f>SUM(D9:D18)</f>
        <v>3.5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0.4</v>
      </c>
      <c r="F38" s="54"/>
      <c r="G38" s="54">
        <v>0.6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0.4</v>
      </c>
      <c r="F40" s="54">
        <v>0.4</v>
      </c>
      <c r="G40" s="54">
        <v>0.2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3">
        <v>107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7.1333333333333337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3">
        <v>154</v>
      </c>
      <c r="C63" s="63">
        <v>2</v>
      </c>
      <c r="D63" s="63">
        <v>50</v>
      </c>
      <c r="E63" s="54"/>
      <c r="F63" s="54">
        <v>0.2</v>
      </c>
      <c r="G63" s="54">
        <v>0.8</v>
      </c>
      <c r="H63" s="54"/>
      <c r="I63" s="52">
        <f>IF(A63&lt;&gt;0,(B63-(B62-D62))/(A63-A62),"")</f>
        <v>16.2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3">
        <v>182</v>
      </c>
      <c r="C64" s="63">
        <v>3</v>
      </c>
      <c r="D64" s="63">
        <v>52</v>
      </c>
      <c r="E64" s="54">
        <v>0.2</v>
      </c>
      <c r="F64" s="54">
        <v>0.8</v>
      </c>
      <c r="G64" s="54">
        <v>0</v>
      </c>
      <c r="H64" s="54"/>
      <c r="I64" s="52">
        <f>IF(A64&lt;&gt;0,(B64-(B63-D63))/(A64-A63),"")</f>
        <v>15.6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204</v>
      </c>
      <c r="C65" s="63">
        <v>4</v>
      </c>
      <c r="D65" s="63">
        <v>51</v>
      </c>
      <c r="E65" s="54">
        <v>0.4</v>
      </c>
      <c r="F65" s="54">
        <v>0.6</v>
      </c>
      <c r="G65" s="54"/>
      <c r="H65" s="54"/>
      <c r="I65" s="52">
        <f>IF(A65&lt;&gt;0,(B65-(B64-D64))/(A65-A64),"")</f>
        <v>14.8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3">
        <v>221</v>
      </c>
      <c r="C66" s="63">
        <v>5</v>
      </c>
      <c r="D66" s="63">
        <v>49</v>
      </c>
      <c r="E66" s="54"/>
      <c r="F66" s="54"/>
      <c r="G66" s="54"/>
      <c r="H66" s="54"/>
      <c r="I66" s="52">
        <f t="shared" ref="I66:I81" si="2">IF(A66&lt;&gt;0,(B66-(B65-D65))/(A66-A65),"")</f>
        <v>13.6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3">
        <v>233</v>
      </c>
      <c r="C67" s="63">
        <v>6</v>
      </c>
      <c r="D67" s="63">
        <v>45</v>
      </c>
      <c r="E67" s="54"/>
      <c r="F67" s="54"/>
      <c r="G67" s="54"/>
      <c r="H67" s="54"/>
      <c r="I67" s="52">
        <f t="shared" si="2"/>
        <v>12.2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3">
        <v>244</v>
      </c>
      <c r="C68" s="63">
        <v>7</v>
      </c>
      <c r="D68" s="63">
        <v>41</v>
      </c>
      <c r="E68" s="54"/>
      <c r="F68" s="54"/>
      <c r="G68" s="54"/>
      <c r="H68" s="54"/>
      <c r="I68" s="52">
        <f t="shared" si="2"/>
        <v>11.2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53">
        <v>252</v>
      </c>
      <c r="C69" s="53">
        <v>8</v>
      </c>
      <c r="D69" s="53">
        <v>37</v>
      </c>
      <c r="E69" s="54"/>
      <c r="F69" s="54"/>
      <c r="G69" s="54"/>
      <c r="H69" s="54"/>
      <c r="I69" s="52">
        <f t="shared" si="2"/>
        <v>9.8000000000000007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v>258</v>
      </c>
      <c r="C70" s="53">
        <v>9</v>
      </c>
      <c r="D70" s="53">
        <v>258</v>
      </c>
      <c r="E70" s="54"/>
      <c r="F70" s="54"/>
      <c r="G70" s="54"/>
      <c r="H70" s="54"/>
      <c r="I70" s="52">
        <f t="shared" si="2"/>
        <v>8.6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30</v>
      </c>
      <c r="B88" s="63">
        <v>195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6.5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35</v>
      </c>
      <c r="B89" s="63">
        <v>280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17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42</v>
      </c>
      <c r="B90" s="63">
        <v>417</v>
      </c>
      <c r="C90" s="63">
        <v>3</v>
      </c>
      <c r="D90" s="63">
        <v>182</v>
      </c>
      <c r="E90" s="93"/>
      <c r="F90" s="93"/>
      <c r="G90" s="93"/>
      <c r="H90" s="93"/>
      <c r="I90" s="56">
        <f t="shared" si="3"/>
        <v>19.571428571428573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43</v>
      </c>
      <c r="B91" s="63">
        <v>256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21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49</v>
      </c>
      <c r="B92" s="63">
        <v>361</v>
      </c>
      <c r="C92" s="63">
        <v>5</v>
      </c>
      <c r="D92" s="63">
        <v>100</v>
      </c>
      <c r="E92" s="93"/>
      <c r="F92" s="93"/>
      <c r="G92" s="93"/>
      <c r="H92" s="93"/>
      <c r="I92" s="56">
        <f t="shared" si="3"/>
        <v>17.5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278</v>
      </c>
      <c r="C93" s="63">
        <v>6</v>
      </c>
      <c r="D93" s="63">
        <v>0</v>
      </c>
      <c r="E93" s="93"/>
      <c r="F93" s="93"/>
      <c r="G93" s="93"/>
      <c r="H93" s="93"/>
      <c r="I93" s="56">
        <f t="shared" si="3"/>
        <v>17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56</v>
      </c>
      <c r="B94" s="63">
        <v>380</v>
      </c>
      <c r="C94" s="63">
        <v>7</v>
      </c>
      <c r="D94" s="63">
        <v>79</v>
      </c>
      <c r="E94" s="93"/>
      <c r="F94" s="93"/>
      <c r="G94" s="93"/>
      <c r="H94" s="93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57</v>
      </c>
      <c r="B95" s="63">
        <v>316</v>
      </c>
      <c r="C95" s="63">
        <v>8</v>
      </c>
      <c r="D95" s="63">
        <v>0</v>
      </c>
      <c r="E95" s="93"/>
      <c r="F95" s="93"/>
      <c r="G95" s="93"/>
      <c r="H95" s="93"/>
      <c r="I95" s="56">
        <f t="shared" si="3"/>
        <v>15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63</v>
      </c>
      <c r="B96" s="63">
        <v>416</v>
      </c>
      <c r="C96" s="63">
        <v>9</v>
      </c>
      <c r="D96" s="63">
        <v>79</v>
      </c>
      <c r="E96" s="93"/>
      <c r="F96" s="93"/>
      <c r="G96" s="93"/>
      <c r="H96" s="93"/>
      <c r="I96" s="56">
        <f t="shared" si="3"/>
        <v>16.666666666666668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64</v>
      </c>
      <c r="B97" s="63">
        <v>353</v>
      </c>
      <c r="C97" s="63">
        <v>10</v>
      </c>
      <c r="D97" s="63">
        <v>0</v>
      </c>
      <c r="E97" s="93"/>
      <c r="F97" s="93"/>
      <c r="G97" s="93"/>
      <c r="H97" s="93"/>
      <c r="I97" s="56">
        <f t="shared" si="3"/>
        <v>16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71</v>
      </c>
      <c r="B98" s="63">
        <v>466</v>
      </c>
      <c r="C98" s="63">
        <v>11</v>
      </c>
      <c r="D98" s="63">
        <v>91</v>
      </c>
      <c r="E98" s="93"/>
      <c r="F98" s="93"/>
      <c r="G98" s="93"/>
      <c r="H98" s="93"/>
      <c r="I98" s="56">
        <f t="shared" si="3"/>
        <v>16.142857142857142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72</v>
      </c>
      <c r="B99" s="63">
        <v>390</v>
      </c>
      <c r="C99" s="63">
        <v>12</v>
      </c>
      <c r="D99" s="63">
        <v>0</v>
      </c>
      <c r="E99" s="93"/>
      <c r="F99" s="93"/>
      <c r="G99" s="93"/>
      <c r="H99" s="93"/>
      <c r="I99" s="56">
        <f t="shared" si="3"/>
        <v>15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79</v>
      </c>
      <c r="B100" s="63">
        <v>496</v>
      </c>
      <c r="C100" s="63">
        <v>13</v>
      </c>
      <c r="D100" s="63">
        <v>88</v>
      </c>
      <c r="E100" s="68"/>
      <c r="F100" s="68"/>
      <c r="G100" s="68"/>
      <c r="H100" s="68"/>
      <c r="I100" s="56">
        <f t="shared" si="3"/>
        <v>15.142857142857142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80</v>
      </c>
      <c r="B101" s="63">
        <v>423</v>
      </c>
      <c r="C101" s="63">
        <v>14</v>
      </c>
      <c r="D101" s="63">
        <v>0</v>
      </c>
      <c r="E101" s="68"/>
      <c r="F101" s="68"/>
      <c r="G101" s="68"/>
      <c r="H101" s="68"/>
      <c r="I101" s="56">
        <f t="shared" si="3"/>
        <v>15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87</v>
      </c>
      <c r="B102" s="53">
        <v>522</v>
      </c>
      <c r="C102" s="63">
        <v>15</v>
      </c>
      <c r="D102" s="53">
        <v>89</v>
      </c>
      <c r="E102" s="57"/>
      <c r="F102" s="57"/>
      <c r="G102" s="57"/>
      <c r="H102" s="57"/>
      <c r="I102" s="56">
        <f t="shared" si="3"/>
        <v>14.142857142857142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88</v>
      </c>
      <c r="B103" s="53">
        <v>447</v>
      </c>
      <c r="C103" s="63">
        <v>16</v>
      </c>
      <c r="D103" s="53">
        <v>0</v>
      </c>
      <c r="E103" s="57"/>
      <c r="F103" s="57"/>
      <c r="G103" s="57"/>
      <c r="H103" s="57"/>
      <c r="I103" s="56">
        <f t="shared" si="3"/>
        <v>14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94</v>
      </c>
      <c r="B104" s="53">
        <v>525</v>
      </c>
      <c r="C104" s="63">
        <v>17</v>
      </c>
      <c r="D104" s="53">
        <v>0</v>
      </c>
      <c r="E104" s="57"/>
      <c r="F104" s="57"/>
      <c r="G104" s="57"/>
      <c r="H104" s="57"/>
      <c r="I104" s="56">
        <f t="shared" si="3"/>
        <v>13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95</v>
      </c>
      <c r="B105" s="53">
        <v>538</v>
      </c>
      <c r="C105" s="53">
        <v>18</v>
      </c>
      <c r="D105" s="53">
        <v>269</v>
      </c>
      <c r="E105" s="57"/>
      <c r="F105" s="57"/>
      <c r="G105" s="57"/>
      <c r="H105" s="57"/>
      <c r="I105" s="56">
        <f t="shared" si="3"/>
        <v>13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96</v>
      </c>
      <c r="B106" s="53">
        <v>280</v>
      </c>
      <c r="C106" s="53">
        <v>19</v>
      </c>
      <c r="D106" s="53">
        <v>0</v>
      </c>
      <c r="E106" s="57"/>
      <c r="F106" s="57"/>
      <c r="G106" s="57"/>
      <c r="H106" s="57"/>
      <c r="I106" s="56">
        <f t="shared" si="3"/>
        <v>11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105</v>
      </c>
      <c r="B107" s="53">
        <v>357</v>
      </c>
      <c r="C107" s="53">
        <v>20</v>
      </c>
      <c r="D107" s="53">
        <v>357</v>
      </c>
      <c r="E107" s="57"/>
      <c r="F107" s="57"/>
      <c r="G107" s="57"/>
      <c r="H107" s="57"/>
      <c r="I107" s="56">
        <f t="shared" si="3"/>
        <v>8.5555555555555554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Erable champêtre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18</v>
      </c>
      <c r="C114" s="53">
        <v>1</v>
      </c>
      <c r="D114" s="63">
        <v>3</v>
      </c>
      <c r="E114" s="54"/>
      <c r="F114" s="54"/>
      <c r="G114" s="54"/>
      <c r="H114" s="54"/>
      <c r="I114" s="56">
        <f>IFERROR(B114/A114,"")</f>
        <v>0.9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54</v>
      </c>
      <c r="C115" s="53">
        <v>2</v>
      </c>
      <c r="D115" s="63">
        <v>14</v>
      </c>
      <c r="E115" s="54"/>
      <c r="F115" s="54"/>
      <c r="G115" s="54"/>
      <c r="H115" s="54"/>
      <c r="I115" s="56">
        <f t="shared" ref="I115:I133" si="4">IF(A115&lt;&gt;0,(B115-(B114-D114))/(A115-A114),"")</f>
        <v>7.8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v>76</v>
      </c>
      <c r="C116" s="53">
        <v>3</v>
      </c>
      <c r="D116" s="63">
        <v>14</v>
      </c>
      <c r="E116" s="54"/>
      <c r="F116" s="54"/>
      <c r="G116" s="54"/>
      <c r="H116" s="54"/>
      <c r="I116" s="56">
        <f t="shared" si="4"/>
        <v>7.2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95</v>
      </c>
      <c r="C117" s="53">
        <v>4</v>
      </c>
      <c r="D117" s="63">
        <v>14</v>
      </c>
      <c r="E117" s="54"/>
      <c r="F117" s="54"/>
      <c r="G117" s="54"/>
      <c r="H117" s="54"/>
      <c r="I117" s="56">
        <f t="shared" si="4"/>
        <v>6.6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v>110</v>
      </c>
      <c r="C118" s="53">
        <v>5</v>
      </c>
      <c r="D118" s="63">
        <v>14</v>
      </c>
      <c r="E118" s="54"/>
      <c r="F118" s="54"/>
      <c r="G118" s="54"/>
      <c r="H118" s="54"/>
      <c r="I118" s="56">
        <f t="shared" si="4"/>
        <v>5.8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120</v>
      </c>
      <c r="C119" s="53">
        <v>6</v>
      </c>
      <c r="D119" s="63">
        <v>14</v>
      </c>
      <c r="E119" s="54"/>
      <c r="F119" s="54"/>
      <c r="G119" s="54"/>
      <c r="H119" s="54"/>
      <c r="I119" s="56">
        <f t="shared" si="4"/>
        <v>4.8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v>127</v>
      </c>
      <c r="C120" s="63">
        <v>7</v>
      </c>
      <c r="D120" s="63">
        <v>11</v>
      </c>
      <c r="E120" s="93"/>
      <c r="F120" s="93"/>
      <c r="G120" s="93"/>
      <c r="H120" s="93"/>
      <c r="I120" s="56">
        <f t="shared" si="4"/>
        <v>4.2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55</v>
      </c>
      <c r="B121" s="63">
        <v>134</v>
      </c>
      <c r="C121" s="63">
        <v>8</v>
      </c>
      <c r="D121" s="63">
        <v>9</v>
      </c>
      <c r="E121" s="93"/>
      <c r="F121" s="93"/>
      <c r="G121" s="93"/>
      <c r="H121" s="93"/>
      <c r="I121" s="56">
        <f t="shared" si="4"/>
        <v>3.6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60</v>
      </c>
      <c r="B122" s="63">
        <v>140</v>
      </c>
      <c r="C122" s="63">
        <v>9</v>
      </c>
      <c r="D122" s="63">
        <v>7</v>
      </c>
      <c r="E122" s="93"/>
      <c r="F122" s="93"/>
      <c r="G122" s="93"/>
      <c r="H122" s="93"/>
      <c r="I122" s="56">
        <f t="shared" si="4"/>
        <v>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65</v>
      </c>
      <c r="B123" s="63">
        <v>146</v>
      </c>
      <c r="C123" s="63">
        <v>10</v>
      </c>
      <c r="D123" s="63">
        <v>6</v>
      </c>
      <c r="E123" s="93"/>
      <c r="F123" s="93"/>
      <c r="G123" s="93"/>
      <c r="H123" s="93"/>
      <c r="I123" s="56">
        <f t="shared" si="4"/>
        <v>2.6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70</v>
      </c>
      <c r="B124" s="63">
        <v>150</v>
      </c>
      <c r="C124" s="63">
        <v>11</v>
      </c>
      <c r="D124" s="63">
        <v>5</v>
      </c>
      <c r="E124" s="93"/>
      <c r="F124" s="93"/>
      <c r="G124" s="93"/>
      <c r="H124" s="93"/>
      <c r="I124" s="56">
        <f t="shared" si="4"/>
        <v>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75</v>
      </c>
      <c r="B125" s="63">
        <v>155</v>
      </c>
      <c r="C125" s="63">
        <v>12</v>
      </c>
      <c r="D125" s="63">
        <v>4</v>
      </c>
      <c r="E125" s="93"/>
      <c r="F125" s="93"/>
      <c r="G125" s="93"/>
      <c r="H125" s="93"/>
      <c r="I125" s="56">
        <f t="shared" si="4"/>
        <v>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80</v>
      </c>
      <c r="B126" s="63">
        <v>159</v>
      </c>
      <c r="C126" s="63">
        <v>13</v>
      </c>
      <c r="D126" s="63">
        <v>159</v>
      </c>
      <c r="E126" s="68"/>
      <c r="F126" s="68"/>
      <c r="G126" s="68"/>
      <c r="H126" s="68"/>
      <c r="I126" s="56">
        <f t="shared" si="4"/>
        <v>1.6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Charme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25</v>
      </c>
      <c r="B140" s="63">
        <v>30</v>
      </c>
      <c r="C140" s="53">
        <v>1</v>
      </c>
      <c r="D140" s="63">
        <v>0</v>
      </c>
      <c r="E140" s="54"/>
      <c r="F140" s="54"/>
      <c r="G140" s="54"/>
      <c r="H140" s="54"/>
      <c r="I140" s="60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3">
        <v>54</v>
      </c>
      <c r="C141" s="53">
        <v>2</v>
      </c>
      <c r="D141" s="63">
        <v>0</v>
      </c>
      <c r="E141" s="54"/>
      <c r="F141" s="54"/>
      <c r="G141" s="54"/>
      <c r="H141" s="54"/>
      <c r="I141" s="60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63">
        <v>79</v>
      </c>
      <c r="C142" s="53">
        <v>3</v>
      </c>
      <c r="D142" s="63">
        <v>13</v>
      </c>
      <c r="E142" s="54"/>
      <c r="F142" s="54"/>
      <c r="G142" s="54"/>
      <c r="H142" s="54"/>
      <c r="I142" s="60">
        <f t="shared" si="5"/>
        <v>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40</v>
      </c>
      <c r="B143" s="63">
        <v>93</v>
      </c>
      <c r="C143" s="53">
        <v>4</v>
      </c>
      <c r="D143" s="63">
        <v>14</v>
      </c>
      <c r="E143" s="54"/>
      <c r="F143" s="54"/>
      <c r="G143" s="54"/>
      <c r="H143" s="54"/>
      <c r="I143" s="60">
        <f t="shared" si="5"/>
        <v>5.4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45</v>
      </c>
      <c r="B144" s="63">
        <v>107</v>
      </c>
      <c r="C144" s="53">
        <v>5</v>
      </c>
      <c r="D144" s="63">
        <v>14</v>
      </c>
      <c r="E144" s="54"/>
      <c r="F144" s="54"/>
      <c r="G144" s="54"/>
      <c r="H144" s="54"/>
      <c r="I144" s="60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50</v>
      </c>
      <c r="B145" s="63">
        <v>121</v>
      </c>
      <c r="C145" s="53">
        <v>6</v>
      </c>
      <c r="D145" s="63">
        <v>14</v>
      </c>
      <c r="E145" s="54"/>
      <c r="F145" s="54"/>
      <c r="G145" s="54"/>
      <c r="H145" s="54"/>
      <c r="I145" s="60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55</v>
      </c>
      <c r="B146" s="63">
        <v>135</v>
      </c>
      <c r="C146" s="53">
        <v>7</v>
      </c>
      <c r="D146" s="63">
        <v>14</v>
      </c>
      <c r="E146" s="54"/>
      <c r="F146" s="54"/>
      <c r="G146" s="54"/>
      <c r="H146" s="54"/>
      <c r="I146" s="60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60</v>
      </c>
      <c r="B147" s="63">
        <v>149</v>
      </c>
      <c r="C147" s="53">
        <v>8</v>
      </c>
      <c r="D147" s="63">
        <v>14</v>
      </c>
      <c r="E147" s="54"/>
      <c r="F147" s="54"/>
      <c r="G147" s="54"/>
      <c r="H147" s="54"/>
      <c r="I147" s="60">
        <f>IF(A147&lt;&gt;0,(B147-(B146-D146))/(A147-A146),"")</f>
        <v>5.6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65</v>
      </c>
      <c r="B148" s="63">
        <v>161</v>
      </c>
      <c r="C148" s="53">
        <v>9</v>
      </c>
      <c r="D148" s="63">
        <v>14</v>
      </c>
      <c r="E148" s="54"/>
      <c r="F148" s="54"/>
      <c r="G148" s="54"/>
      <c r="H148" s="54"/>
      <c r="I148" s="60">
        <f t="shared" si="5"/>
        <v>5.2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70</v>
      </c>
      <c r="B149" s="63">
        <v>173</v>
      </c>
      <c r="C149" s="53">
        <v>10</v>
      </c>
      <c r="D149" s="63">
        <v>14</v>
      </c>
      <c r="E149" s="54"/>
      <c r="F149" s="54"/>
      <c r="G149" s="54"/>
      <c r="H149" s="54"/>
      <c r="I149" s="60">
        <f t="shared" si="5"/>
        <v>5.2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75</v>
      </c>
      <c r="B150" s="63">
        <v>183</v>
      </c>
      <c r="C150" s="53">
        <v>11</v>
      </c>
      <c r="D150" s="63">
        <v>14</v>
      </c>
      <c r="E150" s="54"/>
      <c r="F150" s="54"/>
      <c r="G150" s="54"/>
      <c r="H150" s="54"/>
      <c r="I150" s="60">
        <f t="shared" si="5"/>
        <v>4.8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80</v>
      </c>
      <c r="B151" s="63">
        <v>192</v>
      </c>
      <c r="C151" s="53">
        <v>12</v>
      </c>
      <c r="D151" s="63">
        <v>14</v>
      </c>
      <c r="E151" s="54"/>
      <c r="F151" s="54"/>
      <c r="G151" s="54"/>
      <c r="H151" s="54"/>
      <c r="I151" s="60">
        <f t="shared" si="5"/>
        <v>4.5999999999999996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85</v>
      </c>
      <c r="B152" s="63">
        <v>200</v>
      </c>
      <c r="C152" s="53">
        <v>13</v>
      </c>
      <c r="D152" s="63">
        <v>14</v>
      </c>
      <c r="E152" s="57"/>
      <c r="F152" s="57"/>
      <c r="G152" s="57"/>
      <c r="H152" s="57"/>
      <c r="I152" s="60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63">
        <v>207</v>
      </c>
      <c r="C153" s="53">
        <v>14</v>
      </c>
      <c r="D153" s="63">
        <v>14</v>
      </c>
      <c r="E153" s="57"/>
      <c r="F153" s="57"/>
      <c r="G153" s="57"/>
      <c r="H153" s="57"/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>
        <v>95</v>
      </c>
      <c r="B154" s="59">
        <v>212</v>
      </c>
      <c r="C154" s="53">
        <v>15</v>
      </c>
      <c r="D154" s="53">
        <v>14</v>
      </c>
      <c r="E154" s="57"/>
      <c r="F154" s="57"/>
      <c r="G154" s="57"/>
      <c r="H154" s="57"/>
      <c r="I154" s="60">
        <f t="shared" si="5"/>
        <v>3.8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>
        <v>100</v>
      </c>
      <c r="B155" s="59">
        <v>216</v>
      </c>
      <c r="C155" s="53">
        <v>16</v>
      </c>
      <c r="D155" s="53">
        <v>13</v>
      </c>
      <c r="E155" s="57"/>
      <c r="F155" s="57"/>
      <c r="G155" s="57"/>
      <c r="H155" s="57"/>
      <c r="I155" s="60">
        <f t="shared" si="5"/>
        <v>3.6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>
        <v>105</v>
      </c>
      <c r="B156" s="59">
        <v>220</v>
      </c>
      <c r="C156" s="53">
        <v>17</v>
      </c>
      <c r="D156" s="53">
        <v>13</v>
      </c>
      <c r="E156" s="57"/>
      <c r="F156" s="57"/>
      <c r="G156" s="57"/>
      <c r="H156" s="57"/>
      <c r="I156" s="60">
        <f t="shared" si="5"/>
        <v>3.4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>
        <v>110</v>
      </c>
      <c r="B157" s="59">
        <v>222</v>
      </c>
      <c r="C157" s="53">
        <v>18</v>
      </c>
      <c r="D157" s="53">
        <v>13</v>
      </c>
      <c r="E157" s="57"/>
      <c r="F157" s="57"/>
      <c r="G157" s="57"/>
      <c r="H157" s="57"/>
      <c r="I157" s="60">
        <f t="shared" si="5"/>
        <v>3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>
        <v>115</v>
      </c>
      <c r="B158" s="59">
        <v>223</v>
      </c>
      <c r="C158" s="53">
        <v>19</v>
      </c>
      <c r="D158" s="53">
        <v>13</v>
      </c>
      <c r="E158" s="57"/>
      <c r="F158" s="57"/>
      <c r="G158" s="57"/>
      <c r="H158" s="57"/>
      <c r="I158" s="60">
        <f t="shared" si="5"/>
        <v>2.8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>
        <v>120</v>
      </c>
      <c r="B159" s="59">
        <v>222</v>
      </c>
      <c r="C159" s="53">
        <v>20</v>
      </c>
      <c r="D159" s="61">
        <v>222</v>
      </c>
      <c r="E159" s="57"/>
      <c r="F159" s="57"/>
      <c r="G159" s="57"/>
      <c r="H159" s="57"/>
      <c r="I159" s="60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8" sqref="C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rouge d'Amérique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Cèdre de l'Atlas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Erable champêtre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Charme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195.80903373714432</v>
      </c>
      <c r="T3" s="62">
        <f>IF('Données projet'!E9&gt;30,$R$33-$H$33,LOOKUP('Données projet'!$E$9,$A$3:$A$203,R3:R203)-LOOKUP('Données projet'!$E$9,$A$3:$A$203,$H$3:$H$203))</f>
        <v>388.30721786668977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303.33040062722074</v>
      </c>
      <c r="AO3" s="62">
        <f>IF('Données projet'!E10&gt;30,$AM$33-$H$33,LOOKUP('Données projet'!$E$10,$A$3:$A$203,AM3:AM203)-LOOKUP('Données projet'!$E$10,$A$3:$A$203,$H$3:$H$203))</f>
        <v>425.30058672361548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317.54276561627643</v>
      </c>
      <c r="BJ3" s="62">
        <f>IF('Données projet'!E11&gt;30,$BH$33-$H$33,LOOKUP('Données projet'!$E$11,$A$3:$A$203,BH3:BH203)-LOOKUP('Données projet'!$E$11,$A$3:$A$203,$H$3:$H$203))</f>
        <v>238.92443174298893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195.30963433439501</v>
      </c>
      <c r="CE3" s="62">
        <f>IF('Données projet'!E12&gt;30,$CC$33-$H$33,LOOKUP('Données projet'!$E$12,$A$3:$A$203,CC3:CC203)-LOOKUP('Données projet'!$E$12,$A$3:$A$203,$H$3:$H$203))</f>
        <v>185.00219255324504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293.996396026019</v>
      </c>
      <c r="CZ3" s="62">
        <f>IF('Données projet'!E13&gt;30,$CX$33-$H$33,LOOKUP('Données projet'!$E$13,$A$3:$A$203,CX3:CX203)-LOOKUP('Données projet'!$E$13,$A$3:$A$203,$H$3:$H$203))</f>
        <v>152.23954167722536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195.80903373714432</v>
      </c>
      <c r="T4" s="62">
        <f>$T$3</f>
        <v>388.30721786668977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7.1333333333333337</v>
      </c>
      <c r="AI4" s="14">
        <f>IF('Données projet'!$A$62&gt;35,AI3+AH4-AQ3,IF(A4&lt;'Données projet'!$A$62,$AF$205^A4,IF(A4='Données projet'!$A$62,'Données projet'!$B$62,AI3+AH4-AQ3)))</f>
        <v>1.3655017210306359</v>
      </c>
      <c r="AJ4" s="14">
        <f>AI4*VLOOKUP('Données projet'!$B$10,Paramètres!$A$1:$I$89,3,0)*VLOOKUP('Données projet'!$B$10,Paramètres!$A$1:$I$89,5,0)</f>
        <v>1.1929023034923638</v>
      </c>
      <c r="AK4" s="14">
        <f>EXP(-1.0587+0.8836*LN(AJ4)+0.284)</f>
        <v>0.53856749022761552</v>
      </c>
      <c r="AL4" s="22">
        <f t="shared" ref="AL4:AL67" si="4">(AJ4+AK4)*0.475*44/12</f>
        <v>3.015643224062297</v>
      </c>
      <c r="AM4" s="62">
        <f t="shared" ref="AM4:AM67" si="5">AL4+(AD4+AE4)*44/12</f>
        <v>260.90453211295113</v>
      </c>
      <c r="AN4" s="62">
        <f ca="1">AVERAGE(OFFSET($AM$3,0,0,'Données projet'!$E$10+1,1))-AVERAGE(OFFSET($H$3,0,0,'Données projet'!$E$10+1,1))</f>
        <v>303.33040062722074</v>
      </c>
      <c r="AO4" s="62">
        <f>$AO$3</f>
        <v>425.30058672361548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6.5</v>
      </c>
      <c r="BD4" s="13">
        <f>IF('Données projet'!$A$88&gt;35,BD3+BC4-BL3,IF(A4&lt;'Données projet'!$A$88,$BA$205^A4,IF(A4='Données projet'!$A$88,'Données projet'!$B$88,BD3+BC4-BL3)))</f>
        <v>1.1921598380198544</v>
      </c>
      <c r="BE4" s="14">
        <f>BD4*VLOOKUP('Données projet'!$B$11,Paramètres!$A$1:$I$89,3,0)*VLOOKUP('Données projet'!$B$11,Paramètres!$A$1:$I$89,5,0)</f>
        <v>0.55793080419329188</v>
      </c>
      <c r="BF4" s="14">
        <f>EXP(-1.0587+0.8836*LN(BE4)+0.284)</f>
        <v>0.27518860925423011</v>
      </c>
      <c r="BG4" s="22">
        <f t="shared" ref="BG4:BG67" si="7">(BE4+BF4)*0.475*44/12</f>
        <v>1.4510163117544339</v>
      </c>
      <c r="BH4" s="62">
        <f t="shared" ref="BH4:BH67" si="8">BG4+(AY4+AZ4)*44/12</f>
        <v>259.33990520064327</v>
      </c>
      <c r="BI4" s="62">
        <f ca="1">AVERAGE(OFFSET($BH$3,0,0,'Données projet'!$E$11+1,1))-AVERAGE(OFFSET($H$3,0,0,'Données projet'!$E$11+1,1))</f>
        <v>317.54276561627643</v>
      </c>
      <c r="BJ4" s="62">
        <f>$BJ$3</f>
        <v>238.92443174298893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0.9</v>
      </c>
      <c r="BY4" s="13">
        <f>IF('Données projet'!$A$114&gt;35,BY3+BX4-CG3,IF(A4&lt;'Données projet'!$A$114,$BV$205^A4,IF(A4='Données projet'!$A$114,'Données projet'!$B$114,BY3+BX4-CG3)))</f>
        <v>1.1554831727638066</v>
      </c>
      <c r="BZ4" s="14">
        <f>BY4*VLOOKUP('Données projet'!$B$12,Paramètres!$A$1:$I$89,3,0)*VLOOKUP('Données projet'!$B$12,Paramètres!$A$1:$I$89,5,0)</f>
        <v>1.0094300997264616</v>
      </c>
      <c r="CA4" s="14">
        <f>EXP(-1.0587+0.8836*LN(BZ4)+0.284)</f>
        <v>0.46467984937949935</v>
      </c>
      <c r="CB4" s="22">
        <f t="shared" ref="CB4:CB67" si="10">(BZ4+CA4)*0.475*44/12</f>
        <v>2.5674081613595483</v>
      </c>
      <c r="CC4" s="62">
        <f t="shared" ref="CC4:CC67" si="11">CB4+(BT4+BU4)*44/12</f>
        <v>260.45629705024839</v>
      </c>
      <c r="CD4" s="62">
        <f ca="1">AVERAGE(OFFSET($CC$3,0,0,'Données projet'!$E$12+1,1))-AVERAGE(OFFSET($H$3,0,0,'Données projet'!$E$12+1,1))</f>
        <v>195.30963433439501</v>
      </c>
      <c r="CE4" s="62">
        <f>$CE$3</f>
        <v>185.00219255324504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1.0902831080943671</v>
      </c>
      <c r="CV4" s="14">
        <f>EXP(-1.0587+0.8836*LN(CU4)+0.284)</f>
        <v>0.49741831937112058</v>
      </c>
      <c r="CW4" s="22">
        <f t="shared" ref="CW4:CW67" si="13">(CU4+CV4)*0.475*44/12</f>
        <v>2.7652466528357245</v>
      </c>
      <c r="CX4" s="62">
        <f t="shared" ref="CX4:CX67" si="14">CW4+(CO4+CP4)*44/12</f>
        <v>260.6541355417246</v>
      </c>
      <c r="CY4" s="62">
        <f ca="1">AVERAGE(OFFSET($CX$3,0,0,'Données projet'!$E$13+1,1))-AVERAGE(OFFSET($H$3,0,0,'Données projet'!$E$13+1,1))</f>
        <v>293.996396026019</v>
      </c>
      <c r="CZ4" s="62">
        <f>$CZ$3</f>
        <v>152.23954167722536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195.80903373714432</v>
      </c>
      <c r="T5" s="62">
        <f t="shared" ref="T5:T68" si="34">$T$3</f>
        <v>388.30721786668977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7.1333333333333337</v>
      </c>
      <c r="AI5" s="14">
        <f>IF('Données projet'!$A$62&gt;35,AI4+AH5-AQ4,IF(A5&lt;'Données projet'!$A$62,$AF$205^A5,IF(A5='Données projet'!$A$62,'Données projet'!$B$62,AI4+AH5-AQ4)))</f>
        <v>1.8645949501376287</v>
      </c>
      <c r="AJ5" s="14">
        <f>AI5*VLOOKUP('Données projet'!$B$10,Paramètres!$A$1:$I$89,3,0)*VLOOKUP('Données projet'!$B$10,Paramètres!$A$1:$I$89,5,0)</f>
        <v>1.6289101484402326</v>
      </c>
      <c r="AK5" s="14">
        <f t="shared" ref="AK5:AK68" si="35">EXP(-1.0587+0.8836*LN(AJ5)+0.284)</f>
        <v>0.70922554238821334</v>
      </c>
      <c r="AL5" s="22">
        <f t="shared" si="4"/>
        <v>4.0722529948595438</v>
      </c>
      <c r="AM5" s="62">
        <f t="shared" si="5"/>
        <v>263.18336410597067</v>
      </c>
      <c r="AN5" s="62">
        <f ca="1">AVERAGE(OFFSET($AM$3,0,0,'Données projet'!$E$10+1,1))-AVERAGE(OFFSET($H$3,0,0,'Données projet'!$E$10+1,1))</f>
        <v>303.33040062722074</v>
      </c>
      <c r="AO5" s="62">
        <f t="shared" ref="AO5:AO68" si="36">$AO$3</f>
        <v>425.30058672361548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6.5</v>
      </c>
      <c r="BD5" s="13">
        <f>IF('Données projet'!$A$88&gt;35,BD4+BC5-BL4,IF(A5&lt;'Données projet'!$A$88,$BA$205^A5,IF(A5='Données projet'!$A$88,'Données projet'!$B$88,BD4+BC5-BL4)))</f>
        <v>1.4212450793875253</v>
      </c>
      <c r="BE5" s="14">
        <f>BD5*VLOOKUP('Données projet'!$B$11,Paramètres!$A$1:$I$89,3,0)*VLOOKUP('Données projet'!$B$11,Paramètres!$A$1:$I$89,5,0)</f>
        <v>0.66514269715336183</v>
      </c>
      <c r="BF5" s="14">
        <f t="shared" ref="BF5:BF68" si="37">EXP(-1.0587+0.8836*LN(BE5)+0.284)</f>
        <v>0.3214249656415451</v>
      </c>
      <c r="BG5" s="22">
        <f t="shared" si="7"/>
        <v>1.7182720127011295</v>
      </c>
      <c r="BH5" s="62">
        <f t="shared" si="8"/>
        <v>260.82938312381225</v>
      </c>
      <c r="BI5" s="62">
        <f ca="1">AVERAGE(OFFSET($BH$3,0,0,'Données projet'!$E$11+1,1))-AVERAGE(OFFSET($H$3,0,0,'Données projet'!$E$11+1,1))</f>
        <v>317.54276561627643</v>
      </c>
      <c r="BJ5" s="62">
        <f t="shared" ref="BJ5:BJ68" si="38">$BJ$3</f>
        <v>238.92443174298893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0.9</v>
      </c>
      <c r="BY5" s="13">
        <f>IF('Données projet'!$A$114&gt;35,BY4+BX5-CG4,IF(A5&lt;'Données projet'!$A$114,$BV$205^A5,IF(A5='Données projet'!$A$114,'Données projet'!$B$114,BY4+BX5-CG4)))</f>
        <v>1.335141362540313</v>
      </c>
      <c r="BZ5" s="14">
        <f>BY5*VLOOKUP('Données projet'!$B$12,Paramètres!$A$1:$I$89,3,0)*VLOOKUP('Données projet'!$B$12,Paramètres!$A$1:$I$89,5,0)</f>
        <v>1.1663794943152175</v>
      </c>
      <c r="CA5" s="14">
        <f t="shared" ref="CA5:CA68" si="39">EXP(-1.0587+0.8836*LN(BZ5)+0.284)</f>
        <v>0.52797307958445927</v>
      </c>
      <c r="CB5" s="22">
        <f t="shared" si="10"/>
        <v>2.9509973995419365</v>
      </c>
      <c r="CC5" s="62">
        <f t="shared" si="11"/>
        <v>262.0621085106531</v>
      </c>
      <c r="CD5" s="62">
        <f ca="1">AVERAGE(OFFSET($CC$3,0,0,'Données projet'!$E$12+1,1))-AVERAGE(OFFSET($H$3,0,0,'Données projet'!$E$12+1,1))</f>
        <v>195.30963433439501</v>
      </c>
      <c r="CE5" s="62">
        <f t="shared" ref="CE5:CE68" si="40">$CE$3</f>
        <v>185.00219255324504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1.2491774440898626</v>
      </c>
      <c r="CV5" s="14">
        <f t="shared" ref="CV5:CV68" si="41">EXP(-1.0587+0.8836*LN(CU5)+0.284)</f>
        <v>0.56095645444965547</v>
      </c>
      <c r="CW5" s="22">
        <f t="shared" si="13"/>
        <v>3.1526498732896608</v>
      </c>
      <c r="CX5" s="62">
        <f t="shared" si="14"/>
        <v>262.26376098440079</v>
      </c>
      <c r="CY5" s="62">
        <f ca="1">AVERAGE(OFFSET($CX$3,0,0,'Données projet'!$E$13+1,1))-AVERAGE(OFFSET($H$3,0,0,'Données projet'!$E$13+1,1))</f>
        <v>293.996396026019</v>
      </c>
      <c r="CZ5" s="62">
        <f t="shared" ref="CZ5:CZ68" si="42">$CZ$3</f>
        <v>152.23954167722536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195.80903373714432</v>
      </c>
      <c r="T6" s="62">
        <f t="shared" si="34"/>
        <v>388.30721786668977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7.1333333333333337</v>
      </c>
      <c r="AI6" s="14">
        <f>IF('Données projet'!$A$62&gt;35,AI5+AH6-AQ5,IF(A6&lt;'Données projet'!$A$62,$AF$205^A6,IF(A6='Données projet'!$A$62,'Données projet'!$B$62,AI5+AH6-AQ5)))</f>
        <v>2.5461076134379645</v>
      </c>
      <c r="AJ6" s="14">
        <f>AI6*VLOOKUP('Données projet'!$B$10,Paramètres!$A$1:$I$89,3,0)*VLOOKUP('Données projet'!$B$10,Paramètres!$A$1:$I$89,5,0)</f>
        <v>2.2242796110994063</v>
      </c>
      <c r="AK6" s="14">
        <f t="shared" si="35"/>
        <v>0.93396069963909534</v>
      </c>
      <c r="AL6" s="22">
        <f t="shared" si="4"/>
        <v>5.5006018745362235</v>
      </c>
      <c r="AM6" s="62">
        <f t="shared" si="5"/>
        <v>265.83393520786956</v>
      </c>
      <c r="AN6" s="62">
        <f ca="1">AVERAGE(OFFSET($AM$3,0,0,'Données projet'!$E$10+1,1))-AVERAGE(OFFSET($H$3,0,0,'Données projet'!$E$10+1,1))</f>
        <v>303.33040062722074</v>
      </c>
      <c r="AO6" s="62">
        <f t="shared" si="36"/>
        <v>425.30058672361548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6.5</v>
      </c>
      <c r="BD6" s="13">
        <f>IF('Données projet'!$A$88&gt;35,BD5+BC6-BL5,IF(A6&lt;'Données projet'!$A$88,$BA$205^A6,IF(A6='Données projet'!$A$88,'Données projet'!$B$88,BD5+BC6-BL5)))</f>
        <v>1.6943513036291473</v>
      </c>
      <c r="BE6" s="14">
        <f>BD6*VLOOKUP('Données projet'!$B$11,Paramètres!$A$1:$I$89,3,0)*VLOOKUP('Données projet'!$B$11,Paramètres!$A$1:$I$89,5,0)</f>
        <v>0.79295641009844098</v>
      </c>
      <c r="BF6" s="14">
        <f t="shared" si="37"/>
        <v>0.37542981454665864</v>
      </c>
      <c r="BG6" s="22">
        <f t="shared" si="7"/>
        <v>2.0349393412568815</v>
      </c>
      <c r="BH6" s="62">
        <f t="shared" si="8"/>
        <v>262.36827267459017</v>
      </c>
      <c r="BI6" s="62">
        <f ca="1">AVERAGE(OFFSET($BH$3,0,0,'Données projet'!$E$11+1,1))-AVERAGE(OFFSET($H$3,0,0,'Données projet'!$E$11+1,1))</f>
        <v>317.54276561627643</v>
      </c>
      <c r="BJ6" s="62">
        <f t="shared" si="38"/>
        <v>238.92443174298893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0.9</v>
      </c>
      <c r="BY6" s="13">
        <f>IF('Données projet'!$A$114&gt;35,BY5+BX6-CG5,IF(A6&lt;'Données projet'!$A$114,$BV$205^A6,IF(A6='Données projet'!$A$114,'Données projet'!$B$114,BY5+BX6-CG5)))</f>
        <v>1.5427333776762726</v>
      </c>
      <c r="BZ6" s="14">
        <f>BY6*VLOOKUP('Données projet'!$B$12,Paramètres!$A$1:$I$89,3,0)*VLOOKUP('Données projet'!$B$12,Paramètres!$A$1:$I$89,5,0)</f>
        <v>1.3477318787379919</v>
      </c>
      <c r="CA6" s="14">
        <f t="shared" si="39"/>
        <v>0.59988737006377257</v>
      </c>
      <c r="CB6" s="22">
        <f t="shared" si="10"/>
        <v>3.3921035249964064</v>
      </c>
      <c r="CC6" s="62">
        <f t="shared" si="11"/>
        <v>263.72543685832972</v>
      </c>
      <c r="CD6" s="62">
        <f ca="1">AVERAGE(OFFSET($CC$3,0,0,'Données projet'!$E$12+1,1))-AVERAGE(OFFSET($H$3,0,0,'Données projet'!$E$12+1,1))</f>
        <v>195.30963433439501</v>
      </c>
      <c r="CE6" s="62">
        <f t="shared" si="40"/>
        <v>185.00219255324504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1.4312285270110057</v>
      </c>
      <c r="CV6" s="14">
        <f t="shared" si="41"/>
        <v>0.63261068508004337</v>
      </c>
      <c r="CW6" s="22">
        <f t="shared" si="13"/>
        <v>3.5945199610585767</v>
      </c>
      <c r="CX6" s="62">
        <f t="shared" si="14"/>
        <v>263.92785329439187</v>
      </c>
      <c r="CY6" s="62">
        <f ca="1">AVERAGE(OFFSET($CX$3,0,0,'Données projet'!$E$13+1,1))-AVERAGE(OFFSET($H$3,0,0,'Données projet'!$E$13+1,1))</f>
        <v>293.996396026019</v>
      </c>
      <c r="CZ6" s="62">
        <f t="shared" si="42"/>
        <v>152.23954167722536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195.80903373714432</v>
      </c>
      <c r="T7" s="62">
        <f t="shared" si="34"/>
        <v>388.30721786668977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7.1333333333333337</v>
      </c>
      <c r="AI7" s="14">
        <f>IF('Données projet'!$A$62&gt;35,AI6+AH7-AQ6,IF(A7&lt;'Données projet'!$A$62,$AF$205^A7,IF(A7='Données projet'!$A$62,'Données projet'!$B$62,AI6+AH7-AQ6)))</f>
        <v>3.4767143280787458</v>
      </c>
      <c r="AJ7" s="14">
        <f>AI7*VLOOKUP('Données projet'!$B$10,Paramètres!$A$1:$I$89,3,0)*VLOOKUP('Données projet'!$B$10,Paramètres!$A$1:$I$89,5,0)</f>
        <v>3.0372576370095925</v>
      </c>
      <c r="AK7" s="14">
        <f t="shared" si="35"/>
        <v>1.2299085923119242</v>
      </c>
      <c r="AL7" s="22">
        <f t="shared" si="4"/>
        <v>7.4319811827349751</v>
      </c>
      <c r="AM7" s="62">
        <f t="shared" si="5"/>
        <v>268.98753673829054</v>
      </c>
      <c r="AN7" s="62">
        <f ca="1">AVERAGE(OFFSET($AM$3,0,0,'Données projet'!$E$10+1,1))-AVERAGE(OFFSET($H$3,0,0,'Données projet'!$E$10+1,1))</f>
        <v>303.33040062722074</v>
      </c>
      <c r="AO7" s="62">
        <f t="shared" si="36"/>
        <v>425.30058672361548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6.5</v>
      </c>
      <c r="BD7" s="13">
        <f>IF('Données projet'!$A$88&gt;35,BD6+BC7-BL6,IF(A7&lt;'Données projet'!$A$88,$BA$205^A7,IF(A7='Données projet'!$A$88,'Données projet'!$B$88,BD6+BC7-BL6)))</f>
        <v>2.0199375756832532</v>
      </c>
      <c r="BE7" s="14">
        <f>BD7*VLOOKUP('Données projet'!$B$11,Paramètres!$A$1:$I$89,3,0)*VLOOKUP('Données projet'!$B$11,Paramètres!$A$1:$I$89,5,0)</f>
        <v>0.94533078541976245</v>
      </c>
      <c r="BF7" s="14">
        <f t="shared" si="37"/>
        <v>0.43850839454619067</v>
      </c>
      <c r="BG7" s="22">
        <f t="shared" si="7"/>
        <v>2.4101865717740352</v>
      </c>
      <c r="BH7" s="62">
        <f t="shared" si="8"/>
        <v>263.96574212732958</v>
      </c>
      <c r="BI7" s="62">
        <f ca="1">AVERAGE(OFFSET($BH$3,0,0,'Données projet'!$E$11+1,1))-AVERAGE(OFFSET($H$3,0,0,'Données projet'!$E$11+1,1))</f>
        <v>317.54276561627643</v>
      </c>
      <c r="BJ7" s="62">
        <f t="shared" si="38"/>
        <v>238.92443174298893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0.9</v>
      </c>
      <c r="BY7" s="13">
        <f>IF('Données projet'!$A$114&gt;35,BY6+BX7-CG6,IF(A7&lt;'Données projet'!$A$114,$BV$205^A7,IF(A7='Données projet'!$A$114,'Données projet'!$B$114,BY6+BX7-CG6)))</f>
        <v>1.7826024579660036</v>
      </c>
      <c r="BZ7" s="14">
        <f>BY7*VLOOKUP('Données projet'!$B$12,Paramètres!$A$1:$I$89,3,0)*VLOOKUP('Données projet'!$B$12,Paramètres!$A$1:$I$89,5,0)</f>
        <v>1.5572815072791011</v>
      </c>
      <c r="CA7" s="14">
        <f t="shared" si="39"/>
        <v>0.68159698037116012</v>
      </c>
      <c r="CB7" s="22">
        <f t="shared" si="10"/>
        <v>3.8993800326575379</v>
      </c>
      <c r="CC7" s="62">
        <f t="shared" si="11"/>
        <v>265.45493558821306</v>
      </c>
      <c r="CD7" s="62">
        <f ca="1">AVERAGE(OFFSET($CC$3,0,0,'Données projet'!$E$12+1,1))-AVERAGE(OFFSET($H$3,0,0,'Données projet'!$E$12+1,1))</f>
        <v>195.30963433439501</v>
      </c>
      <c r="CE7" s="62">
        <f t="shared" si="40"/>
        <v>185.00219255324504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1.6398111463039953</v>
      </c>
      <c r="CV7" s="14">
        <f t="shared" si="41"/>
        <v>0.71341772735294995</v>
      </c>
      <c r="CW7" s="22">
        <f t="shared" si="13"/>
        <v>4.0985402882858457</v>
      </c>
      <c r="CX7" s="62">
        <f t="shared" si="14"/>
        <v>265.65409584384139</v>
      </c>
      <c r="CY7" s="62">
        <f ca="1">AVERAGE(OFFSET($CX$3,0,0,'Données projet'!$E$13+1,1))-AVERAGE(OFFSET($H$3,0,0,'Données projet'!$E$13+1,1))</f>
        <v>293.996396026019</v>
      </c>
      <c r="CZ7" s="62">
        <f t="shared" si="42"/>
        <v>152.23954167722536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195.80903373714432</v>
      </c>
      <c r="T8" s="62">
        <f t="shared" si="34"/>
        <v>388.30721786668977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7.1333333333333337</v>
      </c>
      <c r="AI8" s="14">
        <f>IF('Données projet'!$A$62&gt;35,AI7+AH8-AQ7,IF(A8&lt;'Données projet'!$A$62,$AF$205^A8,IF(A8='Données projet'!$A$62,'Données projet'!$B$62,AI7+AH8-AQ7)))</f>
        <v>4.7474593985233984</v>
      </c>
      <c r="AJ8" s="14">
        <f>AI8*VLOOKUP('Données projet'!$B$10,Paramètres!$A$1:$I$89,3,0)*VLOOKUP('Données projet'!$B$10,Paramètres!$A$1:$I$89,5,0)</f>
        <v>4.1473805305500413</v>
      </c>
      <c r="AK8" s="14">
        <f t="shared" si="35"/>
        <v>1.6196346870133109</v>
      </c>
      <c r="AL8" s="22">
        <f t="shared" si="4"/>
        <v>10.044218170589504</v>
      </c>
      <c r="AM8" s="62">
        <f t="shared" si="5"/>
        <v>272.82199594836726</v>
      </c>
      <c r="AN8" s="62">
        <f ca="1">AVERAGE(OFFSET($AM$3,0,0,'Données projet'!$E$10+1,1))-AVERAGE(OFFSET($H$3,0,0,'Données projet'!$E$10+1,1))</f>
        <v>303.33040062722074</v>
      </c>
      <c r="AO8" s="62">
        <f t="shared" si="36"/>
        <v>425.30058672361548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6.5</v>
      </c>
      <c r="BD8" s="13">
        <f>IF('Données projet'!$A$88&gt;35,BD7+BC8-BL7,IF(A8&lt;'Données projet'!$A$88,$BA$205^A8,IF(A8='Données projet'!$A$88,'Données projet'!$B$88,BD7+BC8-BL7)))</f>
        <v>2.4080884530367643</v>
      </c>
      <c r="BE8" s="14">
        <f>BD8*VLOOKUP('Données projet'!$B$11,Paramètres!$A$1:$I$89,3,0)*VLOOKUP('Données projet'!$B$11,Paramètres!$A$1:$I$89,5,0)</f>
        <v>1.1269853960212057</v>
      </c>
      <c r="BF8" s="14">
        <f t="shared" si="37"/>
        <v>0.51218524644792107</v>
      </c>
      <c r="BG8" s="22">
        <f t="shared" si="7"/>
        <v>2.8548888689670626</v>
      </c>
      <c r="BH8" s="62">
        <f t="shared" si="8"/>
        <v>265.63266664674484</v>
      </c>
      <c r="BI8" s="62">
        <f ca="1">AVERAGE(OFFSET($BH$3,0,0,'Données projet'!$E$11+1,1))-AVERAGE(OFFSET($H$3,0,0,'Données projet'!$E$11+1,1))</f>
        <v>317.54276561627643</v>
      </c>
      <c r="BJ8" s="62">
        <f t="shared" si="38"/>
        <v>238.92443174298893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0.9</v>
      </c>
      <c r="BY8" s="13">
        <f>IF('Données projet'!$A$114&gt;35,BY7+BX8-CG7,IF(A8&lt;'Données projet'!$A$114,$BV$205^A8,IF(A8='Données projet'!$A$114,'Données projet'!$B$114,BY7+BX8-CG7)))</f>
        <v>2.0597671439071181</v>
      </c>
      <c r="BZ8" s="14">
        <f>BY8*VLOOKUP('Données projet'!$B$12,Paramètres!$A$1:$I$89,3,0)*VLOOKUP('Données projet'!$B$12,Paramètres!$A$1:$I$89,5,0)</f>
        <v>1.7994125769172586</v>
      </c>
      <c r="CA8" s="14">
        <f t="shared" si="39"/>
        <v>0.77443611390200762</v>
      </c>
      <c r="CB8" s="22">
        <f t="shared" si="10"/>
        <v>4.4827864698435551</v>
      </c>
      <c r="CC8" s="62">
        <f t="shared" si="11"/>
        <v>267.26056424762135</v>
      </c>
      <c r="CD8" s="62">
        <f ca="1">AVERAGE(OFFSET($CC$3,0,0,'Données projet'!$E$12+1,1))-AVERAGE(OFFSET($H$3,0,0,'Données projet'!$E$12+1,1))</f>
        <v>195.30963433439501</v>
      </c>
      <c r="CE8" s="62">
        <f t="shared" si="40"/>
        <v>185.00219255324504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1.878791922320415</v>
      </c>
      <c r="CV8" s="14">
        <f t="shared" si="41"/>
        <v>0.8045467231351765</v>
      </c>
      <c r="CW8" s="22">
        <f t="shared" si="13"/>
        <v>4.6734814741684882</v>
      </c>
      <c r="CX8" s="62">
        <f t="shared" si="14"/>
        <v>267.45125925194628</v>
      </c>
      <c r="CY8" s="62">
        <f ca="1">AVERAGE(OFFSET($CX$3,0,0,'Données projet'!$E$13+1,1))-AVERAGE(OFFSET($H$3,0,0,'Données projet'!$E$13+1,1))</f>
        <v>293.996396026019</v>
      </c>
      <c r="CZ8" s="62">
        <f t="shared" si="42"/>
        <v>152.23954167722536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195.80903373714432</v>
      </c>
      <c r="T9" s="62">
        <f t="shared" si="34"/>
        <v>388.30721786668977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7.1333333333333337</v>
      </c>
      <c r="AI9" s="14">
        <f>IF('Données projet'!$A$62&gt;35,AI8+AH9-AQ8,IF(A9&lt;'Données projet'!$A$62,$AF$205^A9,IF(A9='Données projet'!$A$62,'Données projet'!$B$62,AI8+AH9-AQ8)))</f>
        <v>6.4826639792067677</v>
      </c>
      <c r="AJ9" s="14">
        <f>AI9*VLOOKUP('Données projet'!$B$10,Paramètres!$A$1:$I$89,3,0)*VLOOKUP('Données projet'!$B$10,Paramètres!$A$1:$I$89,5,0)</f>
        <v>5.6632552522350332</v>
      </c>
      <c r="AK9" s="14">
        <f t="shared" si="35"/>
        <v>2.1328548607386395</v>
      </c>
      <c r="AL9" s="22">
        <f t="shared" si="4"/>
        <v>13.578225113429147</v>
      </c>
      <c r="AM9" s="62">
        <f t="shared" si="5"/>
        <v>277.57822511342914</v>
      </c>
      <c r="AN9" s="62">
        <f ca="1">AVERAGE(OFFSET($AM$3,0,0,'Données projet'!$E$10+1,1))-AVERAGE(OFFSET($H$3,0,0,'Données projet'!$E$10+1,1))</f>
        <v>303.33040062722074</v>
      </c>
      <c r="AO9" s="62">
        <f t="shared" si="36"/>
        <v>425.30058672361548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6.5</v>
      </c>
      <c r="BD9" s="13">
        <f>IF('Données projet'!$A$88&gt;35,BD8+BC9-BL8,IF(A9&lt;'Données projet'!$A$88,$BA$205^A9,IF(A9='Données projet'!$A$88,'Données projet'!$B$88,BD8+BC9-BL8)))</f>
        <v>2.8708263401097907</v>
      </c>
      <c r="BE9" s="14">
        <f>BD9*VLOOKUP('Données projet'!$B$11,Paramètres!$A$1:$I$89,3,0)*VLOOKUP('Données projet'!$B$11,Paramètres!$A$1:$I$89,5,0)</f>
        <v>1.3435467271713821</v>
      </c>
      <c r="BF9" s="14">
        <f t="shared" si="37"/>
        <v>0.59824105978724762</v>
      </c>
      <c r="BG9" s="22">
        <f t="shared" si="7"/>
        <v>3.3819470622862799</v>
      </c>
      <c r="BH9" s="62">
        <f t="shared" si="8"/>
        <v>267.38194706228626</v>
      </c>
      <c r="BI9" s="62">
        <f ca="1">AVERAGE(OFFSET($BH$3,0,0,'Données projet'!$E$11+1,1))-AVERAGE(OFFSET($H$3,0,0,'Données projet'!$E$11+1,1))</f>
        <v>317.54276561627643</v>
      </c>
      <c r="BJ9" s="62">
        <f t="shared" si="38"/>
        <v>238.92443174298893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0.9</v>
      </c>
      <c r="BY9" s="13">
        <f>IF('Données projet'!$A$114&gt;35,BY8+BX9-CG8,IF(A9&lt;'Données projet'!$A$114,$BV$205^A9,IF(A9='Données projet'!$A$114,'Données projet'!$B$114,BY8+BX9-CG8)))</f>
        <v>2.3800262745964411</v>
      </c>
      <c r="BZ9" s="14">
        <f>BY9*VLOOKUP('Données projet'!$B$12,Paramètres!$A$1:$I$89,3,0)*VLOOKUP('Données projet'!$B$12,Paramètres!$A$1:$I$89,5,0)</f>
        <v>2.0791909534874513</v>
      </c>
      <c r="CA9" s="14">
        <f t="shared" si="39"/>
        <v>0.87992070356451979</v>
      </c>
      <c r="CB9" s="22">
        <f t="shared" si="10"/>
        <v>5.1537861360321822</v>
      </c>
      <c r="CC9" s="62">
        <f t="shared" si="11"/>
        <v>269.15378613603218</v>
      </c>
      <c r="CD9" s="62">
        <f ca="1">AVERAGE(OFFSET($CC$3,0,0,'Données projet'!$E$12+1,1))-AVERAGE(OFFSET($H$3,0,0,'Données projet'!$E$12+1,1))</f>
        <v>195.30963433439501</v>
      </c>
      <c r="CE9" s="62">
        <f t="shared" si="40"/>
        <v>185.00219255324504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2.1526009841636116</v>
      </c>
      <c r="CV9" s="14">
        <f t="shared" si="41"/>
        <v>0.90731615558427703</v>
      </c>
      <c r="CW9" s="22">
        <f t="shared" si="13"/>
        <v>5.3293556850609054</v>
      </c>
      <c r="CX9" s="62">
        <f t="shared" si="14"/>
        <v>269.32935568506093</v>
      </c>
      <c r="CY9" s="62">
        <f ca="1">AVERAGE(OFFSET($CX$3,0,0,'Données projet'!$E$13+1,1))-AVERAGE(OFFSET($H$3,0,0,'Données projet'!$E$13+1,1))</f>
        <v>293.996396026019</v>
      </c>
      <c r="CZ9" s="62">
        <f t="shared" si="42"/>
        <v>152.23954167722536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195.80903373714432</v>
      </c>
      <c r="T10" s="62">
        <f t="shared" si="34"/>
        <v>388.30721786668977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7.1333333333333337</v>
      </c>
      <c r="AI10" s="14">
        <f>IF('Données projet'!$A$62&gt;35,AI9+AH10-AQ9,IF(A10&lt;'Données projet'!$A$62,$AF$205^A10,IF(A10='Données projet'!$A$62,'Données projet'!$B$62,AI9+AH10-AQ9)))</f>
        <v>8.8520888204701524</v>
      </c>
      <c r="AJ10" s="14">
        <f>AI10*VLOOKUP('Données projet'!$B$10,Paramètres!$A$1:$I$89,3,0)*VLOOKUP('Données projet'!$B$10,Paramètres!$A$1:$I$89,5,0)</f>
        <v>7.7331847935627263</v>
      </c>
      <c r="AK10" s="14">
        <f t="shared" si="35"/>
        <v>2.8087011802427866</v>
      </c>
      <c r="AL10" s="22">
        <f t="shared" si="4"/>
        <v>18.360451404377937</v>
      </c>
      <c r="AM10" s="62">
        <f t="shared" si="5"/>
        <v>283.58267362660018</v>
      </c>
      <c r="AN10" s="62">
        <f ca="1">AVERAGE(OFFSET($AM$3,0,0,'Données projet'!$E$10+1,1))-AVERAGE(OFFSET($H$3,0,0,'Données projet'!$E$10+1,1))</f>
        <v>303.33040062722074</v>
      </c>
      <c r="AO10" s="62">
        <f t="shared" si="36"/>
        <v>425.30058672361548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6.5</v>
      </c>
      <c r="BD10" s="13">
        <f>IF('Données projet'!$A$88&gt;35,BD9+BC10-BL9,IF(A10&lt;'Données projet'!$A$88,$BA$205^A10,IF(A10='Données projet'!$A$88,'Données projet'!$B$88,BD9+BC10-BL9)))</f>
        <v>3.4224838646084192</v>
      </c>
      <c r="BE10" s="14">
        <f>BD10*VLOOKUP('Données projet'!$B$11,Paramètres!$A$1:$I$89,3,0)*VLOOKUP('Données projet'!$B$11,Paramètres!$A$1:$I$89,5,0)</f>
        <v>1.6017224486367401</v>
      </c>
      <c r="BF10" s="14">
        <f t="shared" si="37"/>
        <v>0.69875571016034643</v>
      </c>
      <c r="BG10" s="22">
        <f t="shared" si="7"/>
        <v>4.0066661265715924</v>
      </c>
      <c r="BH10" s="62">
        <f t="shared" si="8"/>
        <v>269.22888834879382</v>
      </c>
      <c r="BI10" s="62">
        <f ca="1">AVERAGE(OFFSET($BH$3,0,0,'Données projet'!$E$11+1,1))-AVERAGE(OFFSET($H$3,0,0,'Données projet'!$E$11+1,1))</f>
        <v>317.54276561627643</v>
      </c>
      <c r="BJ10" s="62">
        <f t="shared" si="38"/>
        <v>238.92443174298893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0.9</v>
      </c>
      <c r="BY10" s="13">
        <f>IF('Données projet'!$A$114&gt;35,BY9+BX10-CG9,IF(A10&lt;'Données projet'!$A$114,$BV$205^A10,IF(A10='Données projet'!$A$114,'Données projet'!$B$114,BY9+BX10-CG9)))</f>
        <v>2.7500803110319185</v>
      </c>
      <c r="BZ10" s="14">
        <f>BY10*VLOOKUP('Données projet'!$B$12,Paramètres!$A$1:$I$89,3,0)*VLOOKUP('Données projet'!$B$12,Paramètres!$A$1:$I$89,5,0)</f>
        <v>2.4024701597174842</v>
      </c>
      <c r="CA10" s="14">
        <f t="shared" si="39"/>
        <v>0.9997731648390682</v>
      </c>
      <c r="CB10" s="22">
        <f t="shared" si="10"/>
        <v>5.9255737902693291</v>
      </c>
      <c r="CC10" s="62">
        <f t="shared" si="11"/>
        <v>271.14779601249154</v>
      </c>
      <c r="CD10" s="62">
        <f ca="1">AVERAGE(OFFSET($CC$3,0,0,'Données projet'!$E$12+1,1))-AVERAGE(OFFSET($H$3,0,0,'Données projet'!$E$12+1,1))</f>
        <v>195.30963433439501</v>
      </c>
      <c r="CE10" s="62">
        <f t="shared" si="40"/>
        <v>185.00219255324504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2.4663140936327195</v>
      </c>
      <c r="CV10" s="14">
        <f t="shared" si="41"/>
        <v>1.0232129253802424</v>
      </c>
      <c r="CW10" s="22">
        <f t="shared" si="13"/>
        <v>6.0775928914475736</v>
      </c>
      <c r="CX10" s="62">
        <f t="shared" si="14"/>
        <v>271.29981511366981</v>
      </c>
      <c r="CY10" s="62">
        <f ca="1">AVERAGE(OFFSET($CX$3,0,0,'Données projet'!$E$13+1,1))-AVERAGE(OFFSET($H$3,0,0,'Données projet'!$E$13+1,1))</f>
        <v>293.996396026019</v>
      </c>
      <c r="CZ10" s="62">
        <f t="shared" si="42"/>
        <v>152.23954167722536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195.80903373714432</v>
      </c>
      <c r="T11" s="62">
        <f t="shared" si="34"/>
        <v>388.30721786668977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7.1333333333333337</v>
      </c>
      <c r="AI11" s="14">
        <f>IF('Données projet'!$A$62&gt;35,AI10+AH11-AQ10,IF(A11&lt;'Données projet'!$A$62,$AF$205^A11,IF(A11='Données projet'!$A$62,'Données projet'!$B$62,AI10+AH11-AQ10)))</f>
        <v>12.087542519068045</v>
      </c>
      <c r="AJ11" s="14">
        <f>AI11*VLOOKUP('Données projet'!$B$10,Paramètres!$A$1:$I$89,3,0)*VLOOKUP('Données projet'!$B$10,Paramètres!$A$1:$I$89,5,0)</f>
        <v>10.559677144657845</v>
      </c>
      <c r="AK11" s="14">
        <f t="shared" si="35"/>
        <v>3.6987056480557761</v>
      </c>
      <c r="AL11" s="22">
        <f t="shared" si="4"/>
        <v>24.83335003064289</v>
      </c>
      <c r="AM11" s="62">
        <f t="shared" si="5"/>
        <v>291.27779447508738</v>
      </c>
      <c r="AN11" s="62">
        <f ca="1">AVERAGE(OFFSET($AM$3,0,0,'Données projet'!$E$10+1,1))-AVERAGE(OFFSET($H$3,0,0,'Données projet'!$E$10+1,1))</f>
        <v>303.33040062722074</v>
      </c>
      <c r="AO11" s="62">
        <f t="shared" si="36"/>
        <v>425.30058672361548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6.5</v>
      </c>
      <c r="BD11" s="13">
        <f>IF('Données projet'!$A$88&gt;35,BD10+BC11-BL10,IF(A11&lt;'Données projet'!$A$88,$BA$205^A11,IF(A11='Données projet'!$A$88,'Données projet'!$B$88,BD10+BC11-BL10)))</f>
        <v>4.080147809657138</v>
      </c>
      <c r="BE11" s="14">
        <f>BD11*VLOOKUP('Données projet'!$B$11,Paramètres!$A$1:$I$89,3,0)*VLOOKUP('Données projet'!$B$11,Paramètres!$A$1:$I$89,5,0)</f>
        <v>1.9095091749195405</v>
      </c>
      <c r="BF11" s="14">
        <f t="shared" si="37"/>
        <v>0.81615852755965934</v>
      </c>
      <c r="BG11" s="22">
        <f t="shared" si="7"/>
        <v>4.7472045818179396</v>
      </c>
      <c r="BH11" s="62">
        <f t="shared" si="8"/>
        <v>271.19164902626238</v>
      </c>
      <c r="BI11" s="62">
        <f ca="1">AVERAGE(OFFSET($BH$3,0,0,'Données projet'!$E$11+1,1))-AVERAGE(OFFSET($H$3,0,0,'Données projet'!$E$11+1,1))</f>
        <v>317.54276561627643</v>
      </c>
      <c r="BJ11" s="62">
        <f t="shared" si="38"/>
        <v>238.92443174298893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0.9</v>
      </c>
      <c r="BY11" s="13">
        <f>IF('Données projet'!$A$114&gt;35,BY10+BX11-CG10,IF(A11&lt;'Données projet'!$A$114,$BV$205^A11,IF(A11='Données projet'!$A$114,'Données projet'!$B$114,BY10+BX11-CG10)))</f>
        <v>3.1776715231464374</v>
      </c>
      <c r="BZ11" s="14">
        <f>BY11*VLOOKUP('Données projet'!$B$12,Paramètres!$A$1:$I$89,3,0)*VLOOKUP('Données projet'!$B$12,Paramètres!$A$1:$I$89,5,0)</f>
        <v>2.7760138426207281</v>
      </c>
      <c r="CA11" s="14">
        <f t="shared" si="39"/>
        <v>1.135950520408497</v>
      </c>
      <c r="CB11" s="22">
        <f t="shared" si="10"/>
        <v>6.8133379322758998</v>
      </c>
      <c r="CC11" s="62">
        <f t="shared" si="11"/>
        <v>273.25778237672034</v>
      </c>
      <c r="CD11" s="62">
        <f ca="1">AVERAGE(OFFSET($CC$3,0,0,'Données projet'!$E$12+1,1))-AVERAGE(OFFSET($H$3,0,0,'Données projet'!$E$12+1,1))</f>
        <v>195.30963433439501</v>
      </c>
      <c r="CE11" s="62">
        <f t="shared" si="40"/>
        <v>185.00219255324504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2.8257467376448333</v>
      </c>
      <c r="CV11" s="14">
        <f t="shared" si="41"/>
        <v>1.1539138636752129</v>
      </c>
      <c r="CW11" s="22">
        <f t="shared" si="13"/>
        <v>6.9312422139657466</v>
      </c>
      <c r="CX11" s="62">
        <f t="shared" si="14"/>
        <v>273.37568665841019</v>
      </c>
      <c r="CY11" s="62">
        <f ca="1">AVERAGE(OFFSET($CX$3,0,0,'Données projet'!$E$13+1,1))-AVERAGE(OFFSET($H$3,0,0,'Données projet'!$E$13+1,1))</f>
        <v>293.996396026019</v>
      </c>
      <c r="CZ11" s="62">
        <f t="shared" si="42"/>
        <v>152.23954167722536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195.80903373714432</v>
      </c>
      <c r="T12" s="62">
        <f t="shared" si="34"/>
        <v>388.30721786668977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7.1333333333333337</v>
      </c>
      <c r="AI12" s="14">
        <f>IF('Données projet'!$A$62&gt;35,AI11+AH12-AQ11,IF(A12&lt;'Données projet'!$A$62,$AF$205^A12,IF(A12='Données projet'!$A$62,'Données projet'!$B$62,AI11+AH12-AQ11)))</f>
        <v>16.505560112818404</v>
      </c>
      <c r="AJ12" s="14">
        <f>AI12*VLOOKUP('Données projet'!$B$10,Paramètres!$A$1:$I$89,3,0)*VLOOKUP('Données projet'!$B$10,Paramètres!$A$1:$I$89,5,0)</f>
        <v>14.419257314558161</v>
      </c>
      <c r="AK12" s="14">
        <f t="shared" si="35"/>
        <v>4.870729420129039</v>
      </c>
      <c r="AL12" s="22">
        <f t="shared" si="4"/>
        <v>33.596726896246878</v>
      </c>
      <c r="AM12" s="62">
        <f t="shared" si="5"/>
        <v>301.26339356291356</v>
      </c>
      <c r="AN12" s="62">
        <f ca="1">AVERAGE(OFFSET($AM$3,0,0,'Données projet'!$E$10+1,1))-AVERAGE(OFFSET($H$3,0,0,'Données projet'!$E$10+1,1))</f>
        <v>303.33040062722074</v>
      </c>
      <c r="AO12" s="62">
        <f t="shared" si="36"/>
        <v>425.30058672361548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6.5</v>
      </c>
      <c r="BD12" s="13">
        <f>IF('Données projet'!$A$88&gt;35,BD11+BC12-BL11,IF(A12&lt;'Données projet'!$A$88,$BA$205^A12,IF(A12='Données projet'!$A$88,'Données projet'!$B$88,BD11+BC12-BL11)))</f>
        <v>4.8641883518579174</v>
      </c>
      <c r="BE12" s="14">
        <f>BD12*VLOOKUP('Données projet'!$B$11,Paramètres!$A$1:$I$89,3,0)*VLOOKUP('Données projet'!$B$11,Paramètres!$A$1:$I$89,5,0)</f>
        <v>2.2764401486695052</v>
      </c>
      <c r="BF12" s="14">
        <f t="shared" si="37"/>
        <v>0.95328701064281096</v>
      </c>
      <c r="BG12" s="22">
        <f t="shared" si="7"/>
        <v>5.6251081358022832</v>
      </c>
      <c r="BH12" s="62">
        <f t="shared" si="8"/>
        <v>273.29177480246898</v>
      </c>
      <c r="BI12" s="62">
        <f ca="1">AVERAGE(OFFSET($BH$3,0,0,'Données projet'!$E$11+1,1))-AVERAGE(OFFSET($H$3,0,0,'Données projet'!$E$11+1,1))</f>
        <v>317.54276561627643</v>
      </c>
      <c r="BJ12" s="62">
        <f t="shared" si="38"/>
        <v>238.92443174298893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0.9</v>
      </c>
      <c r="BY12" s="13">
        <f>IF('Données projet'!$A$114&gt;35,BY11+BX12-CG11,IF(A12&lt;'Données projet'!$A$114,$BV$205^A12,IF(A12='Données projet'!$A$114,'Données projet'!$B$114,BY11+BX12-CG11)))</f>
        <v>3.6717459735664435</v>
      </c>
      <c r="BZ12" s="14">
        <f>BY12*VLOOKUP('Données projet'!$B$12,Paramètres!$A$1:$I$89,3,0)*VLOOKUP('Données projet'!$B$12,Paramètres!$A$1:$I$89,5,0)</f>
        <v>3.2076372825076458</v>
      </c>
      <c r="CA12" s="14">
        <f t="shared" si="39"/>
        <v>1.290676355595167</v>
      </c>
      <c r="CB12" s="22">
        <f t="shared" si="10"/>
        <v>7.834562919695732</v>
      </c>
      <c r="CC12" s="62">
        <f t="shared" si="11"/>
        <v>275.5012295863624</v>
      </c>
      <c r="CD12" s="62">
        <f ca="1">AVERAGE(OFFSET($CC$3,0,0,'Données projet'!$E$12+1,1))-AVERAGE(OFFSET($H$3,0,0,'Données projet'!$E$12+1,1))</f>
        <v>195.30963433439501</v>
      </c>
      <c r="CE12" s="62">
        <f t="shared" si="40"/>
        <v>185.00219255324504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3.2375619333826471</v>
      </c>
      <c r="CV12" s="14">
        <f t="shared" si="41"/>
        <v>1.3013099930173813</v>
      </c>
      <c r="CW12" s="22">
        <f t="shared" si="13"/>
        <v>7.9052019384800483</v>
      </c>
      <c r="CX12" s="62">
        <f t="shared" si="14"/>
        <v>275.57186860514673</v>
      </c>
      <c r="CY12" s="62">
        <f ca="1">AVERAGE(OFFSET($CX$3,0,0,'Données projet'!$E$13+1,1))-AVERAGE(OFFSET($H$3,0,0,'Données projet'!$E$13+1,1))</f>
        <v>293.996396026019</v>
      </c>
      <c r="CZ12" s="62">
        <f t="shared" si="42"/>
        <v>152.23954167722536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195.80903373714432</v>
      </c>
      <c r="T13" s="62">
        <f t="shared" si="34"/>
        <v>388.30721786668977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7.1333333333333337</v>
      </c>
      <c r="AI13" s="14">
        <f>IF('Données projet'!$A$62&gt;35,AI12+AH13-AQ12,IF(A13&lt;'Données projet'!$A$62,$AF$205^A13,IF(A13='Données projet'!$A$62,'Données projet'!$B$62,AI12+AH13-AQ12)))</f>
        <v>22.538370740628146</v>
      </c>
      <c r="AJ13" s="14">
        <f>AI13*VLOOKUP('Données projet'!$B$10,Paramètres!$A$1:$I$89,3,0)*VLOOKUP('Données projet'!$B$10,Paramètres!$A$1:$I$89,5,0)</f>
        <v>19.689520679012752</v>
      </c>
      <c r="AK13" s="14">
        <f t="shared" si="35"/>
        <v>6.414137090520053</v>
      </c>
      <c r="AL13" s="22">
        <f t="shared" si="4"/>
        <v>45.463870615269634</v>
      </c>
      <c r="AM13" s="62">
        <f t="shared" si="5"/>
        <v>314.35275950415848</v>
      </c>
      <c r="AN13" s="62">
        <f ca="1">AVERAGE(OFFSET($AM$3,0,0,'Données projet'!$E$10+1,1))-AVERAGE(OFFSET($H$3,0,0,'Données projet'!$E$10+1,1))</f>
        <v>303.33040062722074</v>
      </c>
      <c r="AO13" s="62">
        <f t="shared" si="36"/>
        <v>425.30058672361548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6.5</v>
      </c>
      <c r="BD13" s="13">
        <f>IF('Données projet'!$A$88&gt;35,BD12+BC13-BL12,IF(A13&lt;'Données projet'!$A$88,$BA$205^A13,IF(A13='Données projet'!$A$88,'Données projet'!$B$88,BD12+BC13-BL12)))</f>
        <v>5.7988899976489963</v>
      </c>
      <c r="BE13" s="14">
        <f>BD13*VLOOKUP('Données projet'!$B$11,Paramètres!$A$1:$I$89,3,0)*VLOOKUP('Données projet'!$B$11,Paramètres!$A$1:$I$89,5,0)</f>
        <v>2.7138805188997304</v>
      </c>
      <c r="BF13" s="14">
        <f t="shared" si="37"/>
        <v>1.1134554059951043</v>
      </c>
      <c r="BG13" s="22">
        <f t="shared" si="7"/>
        <v>6.66594340252517</v>
      </c>
      <c r="BH13" s="62">
        <f t="shared" si="8"/>
        <v>275.55483229141402</v>
      </c>
      <c r="BI13" s="62">
        <f ca="1">AVERAGE(OFFSET($BH$3,0,0,'Données projet'!$E$11+1,1))-AVERAGE(OFFSET($H$3,0,0,'Données projet'!$E$11+1,1))</f>
        <v>317.54276561627643</v>
      </c>
      <c r="BJ13" s="62">
        <f t="shared" si="38"/>
        <v>238.92443174298893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0.9</v>
      </c>
      <c r="BY13" s="13">
        <f>IF('Données projet'!$A$114&gt;35,BY12+BX13-CG12,IF(A13&lt;'Données projet'!$A$114,$BV$205^A13,IF(A13='Données projet'!$A$114,'Données projet'!$B$114,BY12+BX13-CG12)))</f>
        <v>4.2426406871192865</v>
      </c>
      <c r="BZ13" s="14">
        <f>BY13*VLOOKUP('Données projet'!$B$12,Paramètres!$A$1:$I$89,3,0)*VLOOKUP('Données projet'!$B$12,Paramètres!$A$1:$I$89,5,0)</f>
        <v>3.7063709042674091</v>
      </c>
      <c r="CA13" s="14">
        <f t="shared" si="39"/>
        <v>1.4664771263922398</v>
      </c>
      <c r="CB13" s="22">
        <f t="shared" si="10"/>
        <v>9.0093769867322209</v>
      </c>
      <c r="CC13" s="62">
        <f t="shared" si="11"/>
        <v>277.89826587562106</v>
      </c>
      <c r="CD13" s="62">
        <f ca="1">AVERAGE(OFFSET($CC$3,0,0,'Données projet'!$E$12+1,1))-AVERAGE(OFFSET($H$3,0,0,'Données projet'!$E$12+1,1))</f>
        <v>195.30963433439501</v>
      </c>
      <c r="CE13" s="62">
        <f t="shared" si="40"/>
        <v>185.00219255324504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3.7093937446158476</v>
      </c>
      <c r="CV13" s="14">
        <f t="shared" si="41"/>
        <v>1.4675338872638184</v>
      </c>
      <c r="CW13" s="22">
        <f t="shared" si="13"/>
        <v>9.0164822921904193</v>
      </c>
      <c r="CX13" s="62">
        <f t="shared" si="14"/>
        <v>277.90537118107926</v>
      </c>
      <c r="CY13" s="62">
        <f ca="1">AVERAGE(OFFSET($CX$3,0,0,'Données projet'!$E$13+1,1))-AVERAGE(OFFSET($H$3,0,0,'Données projet'!$E$13+1,1))</f>
        <v>293.996396026019</v>
      </c>
      <c r="CZ13" s="62">
        <f t="shared" si="42"/>
        <v>152.23954167722536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195.80903373714432</v>
      </c>
      <c r="T14" s="62">
        <f t="shared" si="34"/>
        <v>388.30721786668977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7.1333333333333337</v>
      </c>
      <c r="AI14" s="14">
        <f>IF('Données projet'!$A$62&gt;35,AI13+AH14-AQ13,IF(A14&lt;'Données projet'!$A$62,$AF$205^A14,IF(A14='Données projet'!$A$62,'Données projet'!$B$62,AI13+AH14-AQ13)))</f>
        <v>30.776184035554262</v>
      </c>
      <c r="AJ14" s="14">
        <f>AI14*VLOOKUP('Données projet'!$B$10,Paramètres!$A$1:$I$89,3,0)*VLOOKUP('Données projet'!$B$10,Paramètres!$A$1:$I$89,5,0)</f>
        <v>26.886074373460207</v>
      </c>
      <c r="AK14" s="14">
        <f t="shared" si="35"/>
        <v>8.4466105725279856</v>
      </c>
      <c r="AL14" s="22">
        <f t="shared" si="4"/>
        <v>61.537759614262761</v>
      </c>
      <c r="AM14" s="62">
        <f t="shared" si="5"/>
        <v>331.64887072537391</v>
      </c>
      <c r="AN14" s="62">
        <f ca="1">AVERAGE(OFFSET($AM$3,0,0,'Données projet'!$E$10+1,1))-AVERAGE(OFFSET($H$3,0,0,'Données projet'!$E$10+1,1))</f>
        <v>303.33040062722074</v>
      </c>
      <c r="AO14" s="62">
        <f t="shared" si="36"/>
        <v>425.30058672361548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6.5</v>
      </c>
      <c r="BD14" s="13">
        <f>IF('Données projet'!$A$88&gt;35,BD13+BC14-BL13,IF(A14&lt;'Données projet'!$A$88,$BA$205^A14,IF(A14='Données projet'!$A$88,'Données projet'!$B$88,BD13+BC14-BL13)))</f>
        <v>6.9132037602921814</v>
      </c>
      <c r="BE14" s="14">
        <f>BD14*VLOOKUP('Données projet'!$B$11,Paramètres!$A$1:$I$89,3,0)*VLOOKUP('Données projet'!$B$11,Paramètres!$A$1:$I$89,5,0)</f>
        <v>3.2353793598167409</v>
      </c>
      <c r="BF14" s="14">
        <f t="shared" si="37"/>
        <v>1.3005348098719234</v>
      </c>
      <c r="BG14" s="22">
        <f t="shared" si="7"/>
        <v>7.9000505122077564</v>
      </c>
      <c r="BH14" s="62">
        <f t="shared" si="8"/>
        <v>278.01116162331891</v>
      </c>
      <c r="BI14" s="62">
        <f ca="1">AVERAGE(OFFSET($BH$3,0,0,'Données projet'!$E$11+1,1))-AVERAGE(OFFSET($H$3,0,0,'Données projet'!$E$11+1,1))</f>
        <v>317.54276561627643</v>
      </c>
      <c r="BJ14" s="62">
        <f t="shared" si="38"/>
        <v>238.92443174298893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0.9</v>
      </c>
      <c r="BY14" s="13">
        <f>IF('Données projet'!$A$114&gt;35,BY13+BX14-CG13,IF(A14&lt;'Données projet'!$A$114,$BV$205^A14,IF(A14='Données projet'!$A$114,'Données projet'!$B$114,BY13+BX14-CG13)))</f>
        <v>4.9022999220494095</v>
      </c>
      <c r="BZ14" s="14">
        <f>BY14*VLOOKUP('Données projet'!$B$12,Paramètres!$A$1:$I$89,3,0)*VLOOKUP('Données projet'!$B$12,Paramètres!$A$1:$I$89,5,0)</f>
        <v>4.2826492119023651</v>
      </c>
      <c r="CA14" s="14">
        <f t="shared" si="39"/>
        <v>1.6662234129484463</v>
      </c>
      <c r="CB14" s="22">
        <f t="shared" si="10"/>
        <v>10.360953154948495</v>
      </c>
      <c r="CC14" s="62">
        <f t="shared" si="11"/>
        <v>280.47206426605965</v>
      </c>
      <c r="CD14" s="62">
        <f ca="1">AVERAGE(OFFSET($CC$3,0,0,'Données projet'!$E$12+1,1))-AVERAGE(OFFSET($H$3,0,0,'Données projet'!$E$12+1,1))</f>
        <v>195.30963433439501</v>
      </c>
      <c r="CE14" s="62">
        <f t="shared" si="40"/>
        <v>185.00219255324504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4.2499887988919385</v>
      </c>
      <c r="CV14" s="14">
        <f t="shared" si="41"/>
        <v>1.6549905263340952</v>
      </c>
      <c r="CW14" s="22">
        <f t="shared" si="13"/>
        <v>10.284505658102008</v>
      </c>
      <c r="CX14" s="62">
        <f t="shared" si="14"/>
        <v>280.39561676921318</v>
      </c>
      <c r="CY14" s="62">
        <f ca="1">AVERAGE(OFFSET($CX$3,0,0,'Données projet'!$E$13+1,1))-AVERAGE(OFFSET($H$3,0,0,'Données projet'!$E$13+1,1))</f>
        <v>293.996396026019</v>
      </c>
      <c r="CZ14" s="62">
        <f t="shared" si="42"/>
        <v>152.23954167722536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195.80903373714432</v>
      </c>
      <c r="T15" s="62">
        <f t="shared" si="34"/>
        <v>388.30721786668977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7.1333333333333337</v>
      </c>
      <c r="AI15" s="14">
        <f>IF('Données projet'!$A$62&gt;35,AI14+AH15-AQ14,IF(A15&lt;'Données projet'!$A$62,$AF$205^A15,IF(A15='Données projet'!$A$62,'Données projet'!$B$62,AI14+AH15-AQ14)))</f>
        <v>42.024932267304926</v>
      </c>
      <c r="AJ15" s="14">
        <f>AI15*VLOOKUP('Données projet'!$B$10,Paramètres!$A$1:$I$89,3,0)*VLOOKUP('Données projet'!$B$10,Paramètres!$A$1:$I$89,5,0)</f>
        <v>36.71298082871759</v>
      </c>
      <c r="AK15" s="14">
        <f t="shared" si="35"/>
        <v>11.123122121818724</v>
      </c>
      <c r="AL15" s="22">
        <f t="shared" si="4"/>
        <v>83.314545972184078</v>
      </c>
      <c r="AM15" s="62">
        <f t="shared" si="5"/>
        <v>354.64787930551739</v>
      </c>
      <c r="AN15" s="62">
        <f ca="1">AVERAGE(OFFSET($AM$3,0,0,'Données projet'!$E$10+1,1))-AVERAGE(OFFSET($H$3,0,0,'Données projet'!$E$10+1,1))</f>
        <v>303.33040062722074</v>
      </c>
      <c r="AO15" s="62">
        <f t="shared" si="36"/>
        <v>425.30058672361548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6.5</v>
      </c>
      <c r="BD15" s="13">
        <f>IF('Données projet'!$A$88&gt;35,BD14+BC15-BL14,IF(A15&lt;'Données projet'!$A$88,$BA$205^A15,IF(A15='Données projet'!$A$88,'Données projet'!$B$88,BD14+BC15-BL14)))</f>
        <v>8.2416438750681742</v>
      </c>
      <c r="BE15" s="14">
        <f>BD15*VLOOKUP('Données projet'!$B$11,Paramètres!$A$1:$I$89,3,0)*VLOOKUP('Données projet'!$B$11,Paramètres!$A$1:$I$89,5,0)</f>
        <v>3.8570893335319059</v>
      </c>
      <c r="BF15" s="14">
        <f t="shared" si="37"/>
        <v>1.5190467283932132</v>
      </c>
      <c r="BG15" s="22">
        <f t="shared" si="7"/>
        <v>9.3634369745195816</v>
      </c>
      <c r="BH15" s="62">
        <f t="shared" si="8"/>
        <v>280.69677030785289</v>
      </c>
      <c r="BI15" s="62">
        <f ca="1">AVERAGE(OFFSET($BH$3,0,0,'Données projet'!$E$11+1,1))-AVERAGE(OFFSET($H$3,0,0,'Données projet'!$E$11+1,1))</f>
        <v>317.54276561627643</v>
      </c>
      <c r="BJ15" s="62">
        <f t="shared" si="38"/>
        <v>238.92443174298893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0.9</v>
      </c>
      <c r="BY15" s="13">
        <f>IF('Données projet'!$A$114&gt;35,BY14+BX15-CG14,IF(A15&lt;'Données projet'!$A$114,$BV$205^A15,IF(A15='Données projet'!$A$114,'Données projet'!$B$114,BY14+BX15-CG14)))</f>
        <v>5.6645250677694134</v>
      </c>
      <c r="BZ15" s="14">
        <f>BY15*VLOOKUP('Données projet'!$B$12,Paramètres!$A$1:$I$89,3,0)*VLOOKUP('Données projet'!$B$12,Paramètres!$A$1:$I$89,5,0)</f>
        <v>4.9485290992033608</v>
      </c>
      <c r="CA15" s="14">
        <f t="shared" si="39"/>
        <v>1.8931767921179217</v>
      </c>
      <c r="CB15" s="22">
        <f t="shared" si="10"/>
        <v>11.915971094051232</v>
      </c>
      <c r="CC15" s="62">
        <f t="shared" si="11"/>
        <v>283.24930442738457</v>
      </c>
      <c r="CD15" s="62">
        <f ca="1">AVERAGE(OFFSET($CC$3,0,0,'Données projet'!$E$12+1,1))-AVERAGE(OFFSET($H$3,0,0,'Données projet'!$E$12+1,1))</f>
        <v>195.30963433439501</v>
      </c>
      <c r="CE15" s="62">
        <f t="shared" si="40"/>
        <v>185.00219255324504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4.8693684289850241</v>
      </c>
      <c r="CV15" s="14">
        <f t="shared" si="41"/>
        <v>1.8663920922210482</v>
      </c>
      <c r="CW15" s="22">
        <f t="shared" si="13"/>
        <v>11.73144957443391</v>
      </c>
      <c r="CX15" s="62">
        <f t="shared" si="14"/>
        <v>283.06478290776721</v>
      </c>
      <c r="CY15" s="62">
        <f ca="1">AVERAGE(OFFSET($CX$3,0,0,'Données projet'!$E$13+1,1))-AVERAGE(OFFSET($H$3,0,0,'Données projet'!$E$13+1,1))</f>
        <v>293.996396026019</v>
      </c>
      <c r="CZ15" s="62">
        <f t="shared" si="42"/>
        <v>152.23954167722536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195.80903373714432</v>
      </c>
      <c r="T16" s="62">
        <f t="shared" si="34"/>
        <v>388.30721786668977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7.1333333333333337</v>
      </c>
      <c r="AI16" s="14">
        <f>IF('Données projet'!$A$62&gt;35,AI15+AH16-AQ15,IF(A16&lt;'Données projet'!$A$62,$AF$205^A16,IF(A16='Données projet'!$A$62,'Données projet'!$B$62,AI15+AH16-AQ15)))</f>
        <v>57.385117337200782</v>
      </c>
      <c r="AJ16" s="14">
        <f>AI16*VLOOKUP('Données projet'!$B$10,Paramètres!$A$1:$I$89,3,0)*VLOOKUP('Données projet'!$B$10,Paramètres!$A$1:$I$89,5,0)</f>
        <v>50.131638505778611</v>
      </c>
      <c r="AK16" s="14">
        <f t="shared" si="35"/>
        <v>14.647750677567194</v>
      </c>
      <c r="AL16" s="22">
        <f t="shared" si="4"/>
        <v>112.82410282766058</v>
      </c>
      <c r="AM16" s="62">
        <f t="shared" si="5"/>
        <v>385.37965838321611</v>
      </c>
      <c r="AN16" s="62">
        <f ca="1">AVERAGE(OFFSET($AM$3,0,0,'Données projet'!$E$10+1,1))-AVERAGE(OFFSET($H$3,0,0,'Données projet'!$E$10+1,1))</f>
        <v>303.33040062722074</v>
      </c>
      <c r="AO16" s="62">
        <f t="shared" si="36"/>
        <v>425.30058672361548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6.5</v>
      </c>
      <c r="BD16" s="13">
        <f>IF('Données projet'!$A$88&gt;35,BD15+BC16-BL15,IF(A16&lt;'Données projet'!$A$88,$BA$205^A16,IF(A16='Données projet'!$A$88,'Données projet'!$B$88,BD15+BC16-BL15)))</f>
        <v>9.8253568271186005</v>
      </c>
      <c r="BE16" s="14">
        <f>BD16*VLOOKUP('Données projet'!$B$11,Paramètres!$A$1:$I$89,3,0)*VLOOKUP('Données projet'!$B$11,Paramètres!$A$1:$I$89,5,0)</f>
        <v>4.5982669950915049</v>
      </c>
      <c r="BF16" s="14">
        <f t="shared" si="37"/>
        <v>1.7742723574383734</v>
      </c>
      <c r="BG16" s="22">
        <f t="shared" si="7"/>
        <v>11.098839372322871</v>
      </c>
      <c r="BH16" s="62">
        <f t="shared" si="8"/>
        <v>283.6543949278784</v>
      </c>
      <c r="BI16" s="62">
        <f ca="1">AVERAGE(OFFSET($BH$3,0,0,'Données projet'!$E$11+1,1))-AVERAGE(OFFSET($H$3,0,0,'Données projet'!$E$11+1,1))</f>
        <v>317.54276561627643</v>
      </c>
      <c r="BJ16" s="62">
        <f t="shared" si="38"/>
        <v>238.92443174298893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0.9</v>
      </c>
      <c r="BY16" s="13">
        <f>IF('Données projet'!$A$114&gt;35,BY15+BX16-CG15,IF(A16&lt;'Données projet'!$A$114,$BV$205^A16,IF(A16='Données projet'!$A$114,'Données projet'!$B$114,BY15+BX16-CG15)))</f>
        <v>6.5452633975063188</v>
      </c>
      <c r="BZ16" s="14">
        <f>BY16*VLOOKUP('Données projet'!$B$12,Paramètres!$A$1:$I$89,3,0)*VLOOKUP('Données projet'!$B$12,Paramètres!$A$1:$I$89,5,0)</f>
        <v>5.717942104061521</v>
      </c>
      <c r="CA16" s="14">
        <f t="shared" si="39"/>
        <v>2.1510430944381391</v>
      </c>
      <c r="CB16" s="22">
        <f t="shared" si="10"/>
        <v>13.705149220720239</v>
      </c>
      <c r="CC16" s="62">
        <f t="shared" si="11"/>
        <v>286.26070477627576</v>
      </c>
      <c r="CD16" s="62">
        <f ca="1">AVERAGE(OFFSET($CC$3,0,0,'Données projet'!$E$12+1,1))-AVERAGE(OFFSET($H$3,0,0,'Données projet'!$E$12+1,1))</f>
        <v>195.30963433439501</v>
      </c>
      <c r="CE16" s="62">
        <f t="shared" si="40"/>
        <v>185.00219255324504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5.5790144443152343</v>
      </c>
      <c r="CV16" s="14">
        <f t="shared" si="41"/>
        <v>2.1047972096983822</v>
      </c>
      <c r="CW16" s="22">
        <f t="shared" si="13"/>
        <v>13.382638630740383</v>
      </c>
      <c r="CX16" s="62">
        <f t="shared" si="14"/>
        <v>285.9381941862959</v>
      </c>
      <c r="CY16" s="62">
        <f ca="1">AVERAGE(OFFSET($CX$3,0,0,'Données projet'!$E$13+1,1))-AVERAGE(OFFSET($H$3,0,0,'Données projet'!$E$13+1,1))</f>
        <v>293.996396026019</v>
      </c>
      <c r="CZ16" s="62">
        <f t="shared" si="42"/>
        <v>152.23954167722536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195.80903373714432</v>
      </c>
      <c r="T17" s="62">
        <f t="shared" si="34"/>
        <v>388.30721786668977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7.1333333333333337</v>
      </c>
      <c r="AI17" s="14">
        <f>IF('Données projet'!$A$62&gt;35,AI16+AH17-AQ16,IF(A17&lt;'Données projet'!$A$62,$AF$205^A17,IF(A17='Données projet'!$A$62,'Données projet'!$B$62,AI16+AH17-AQ16)))</f>
        <v>78.35947648549265</v>
      </c>
      <c r="AJ17" s="14">
        <f>AI17*VLOOKUP('Données projet'!$B$10,Paramètres!$A$1:$I$89,3,0)*VLOOKUP('Données projet'!$B$10,Paramètres!$A$1:$I$89,5,0)</f>
        <v>68.454838657726384</v>
      </c>
      <c r="AK17" s="14">
        <f t="shared" si="35"/>
        <v>19.289242495261615</v>
      </c>
      <c r="AL17" s="22">
        <f t="shared" si="4"/>
        <v>152.8209413414541</v>
      </c>
      <c r="AM17" s="62">
        <f t="shared" si="5"/>
        <v>426.59871911923187</v>
      </c>
      <c r="AN17" s="62">
        <f ca="1">AVERAGE(OFFSET($AM$3,0,0,'Données projet'!$E$10+1,1))-AVERAGE(OFFSET($H$3,0,0,'Données projet'!$E$10+1,1))</f>
        <v>303.33040062722074</v>
      </c>
      <c r="AO17" s="62">
        <f t="shared" si="36"/>
        <v>425.30058672361548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6.5</v>
      </c>
      <c r="BD17" s="13">
        <f>IF('Données projet'!$A$88&gt;35,BD16+BC17-BL16,IF(A17&lt;'Données projet'!$A$88,$BA$205^A17,IF(A17='Données projet'!$A$88,'Données projet'!$B$88,BD16+BC17-BL16)))</f>
        <v>11.71339580350498</v>
      </c>
      <c r="BE17" s="14">
        <f>BD17*VLOOKUP('Données projet'!$B$11,Paramètres!$A$1:$I$89,3,0)*VLOOKUP('Données projet'!$B$11,Paramètres!$A$1:$I$89,5,0)</f>
        <v>5.4818692360403301</v>
      </c>
      <c r="BF17" s="14">
        <f t="shared" si="37"/>
        <v>2.0723802234180093</v>
      </c>
      <c r="BG17" s="22">
        <f t="shared" si="7"/>
        <v>13.156984475223274</v>
      </c>
      <c r="BH17" s="62">
        <f t="shared" si="8"/>
        <v>286.93476225300105</v>
      </c>
      <c r="BI17" s="62">
        <f ca="1">AVERAGE(OFFSET($BH$3,0,0,'Données projet'!$E$11+1,1))-AVERAGE(OFFSET($H$3,0,0,'Données projet'!$E$11+1,1))</f>
        <v>317.54276561627643</v>
      </c>
      <c r="BJ17" s="62">
        <f t="shared" si="38"/>
        <v>238.92443174298893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0.9</v>
      </c>
      <c r="BY17" s="13">
        <f>IF('Données projet'!$A$114&gt;35,BY16+BX17-CG16,IF(A17&lt;'Données projet'!$A$114,$BV$205^A17,IF(A17='Données projet'!$A$114,'Données projet'!$B$114,BY16+BX17-CG16)))</f>
        <v>7.5629417171254145</v>
      </c>
      <c r="BZ17" s="14">
        <f>BY17*VLOOKUP('Données projet'!$B$12,Paramètres!$A$1:$I$89,3,0)*VLOOKUP('Données projet'!$B$12,Paramètres!$A$1:$I$89,5,0)</f>
        <v>6.6069858840807631</v>
      </c>
      <c r="CA17" s="14">
        <f t="shared" si="39"/>
        <v>2.4440329151477385</v>
      </c>
      <c r="CB17" s="22">
        <f t="shared" si="10"/>
        <v>15.763857741989639</v>
      </c>
      <c r="CC17" s="62">
        <f t="shared" si="11"/>
        <v>289.5416355197674</v>
      </c>
      <c r="CD17" s="62">
        <f ca="1">AVERAGE(OFFSET($CC$3,0,0,'Données projet'!$E$12+1,1))-AVERAGE(OFFSET($H$3,0,0,'Données projet'!$E$12+1,1))</f>
        <v>195.30963433439501</v>
      </c>
      <c r="CE17" s="62">
        <f t="shared" si="40"/>
        <v>185.00219255324504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6.3920819760943495</v>
      </c>
      <c r="CV17" s="14">
        <f t="shared" si="41"/>
        <v>2.3736551994720978</v>
      </c>
      <c r="CW17" s="22">
        <f t="shared" si="13"/>
        <v>15.266992247444895</v>
      </c>
      <c r="CX17" s="62">
        <f t="shared" si="14"/>
        <v>289.04477002522265</v>
      </c>
      <c r="CY17" s="62">
        <f ca="1">AVERAGE(OFFSET($CX$3,0,0,'Données projet'!$E$13+1,1))-AVERAGE(OFFSET($H$3,0,0,'Données projet'!$E$13+1,1))</f>
        <v>293.996396026019</v>
      </c>
      <c r="CZ17" s="62">
        <f t="shared" si="42"/>
        <v>152.23954167722536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195.80903373714432</v>
      </c>
      <c r="T18" s="62">
        <f t="shared" si="34"/>
        <v>388.30721786668977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107</v>
      </c>
      <c r="AG18" s="13">
        <f>VLOOKUP(A18,'Données projet'!$A$61:$I$81,9,0)</f>
        <v>7.1333333333333337</v>
      </c>
      <c r="AH18" s="13">
        <f t="array" ref="AH18">INDEX(AG:AG,MIN(IF(ISNUMBER(AG18:AG214),ROW(AG18:AG214),"")))</f>
        <v>7.1333333333333337</v>
      </c>
      <c r="AI18" s="14">
        <f>IF('Données projet'!$A$62&gt;35,AI17+AH18-AQ17,IF(A18&lt;'Données projet'!$A$62,$AF$205^A18,IF(A18='Données projet'!$A$62,'Données projet'!$B$62,AI17+AH18-AQ17)))</f>
        <v>107</v>
      </c>
      <c r="AJ18" s="14">
        <f>AI18*VLOOKUP('Données projet'!$B$10,Paramètres!$A$1:$I$89,3,0)*VLOOKUP('Données projet'!$B$10,Paramètres!$A$1:$I$89,5,0)</f>
        <v>93.475200000000015</v>
      </c>
      <c r="AK18" s="14">
        <f t="shared" si="35"/>
        <v>25.401502539965662</v>
      </c>
      <c r="AL18" s="22">
        <f t="shared" si="4"/>
        <v>207.04359025710687</v>
      </c>
      <c r="AM18" s="62">
        <f t="shared" si="5"/>
        <v>482.04359025710687</v>
      </c>
      <c r="AN18" s="62">
        <f ca="1">AVERAGE(OFFSET($AM$3,0,0,'Données projet'!$E$10+1,1))-AVERAGE(OFFSET($H$3,0,0,'Données projet'!$E$10+1,1))</f>
        <v>303.33040062722074</v>
      </c>
      <c r="AO18" s="62">
        <f t="shared" si="36"/>
        <v>425.30058672361548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34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28.025013828375084</v>
      </c>
      <c r="AX18" s="23">
        <f t="shared" si="6"/>
        <v>28.025013828375084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6.5</v>
      </c>
      <c r="BD18" s="13">
        <f>IF('Données projet'!$A$88&gt;35,BD17+BC18-BL17,IF(A18&lt;'Données projet'!$A$88,$BA$205^A18,IF(A18='Données projet'!$A$88,'Données projet'!$B$88,BD17+BC18-BL17)))</f>
        <v>13.964240043768939</v>
      </c>
      <c r="BE18" s="14">
        <f>BD18*VLOOKUP('Données projet'!$B$11,Paramètres!$A$1:$I$89,3,0)*VLOOKUP('Données projet'!$B$11,Paramètres!$A$1:$I$89,5,0)</f>
        <v>6.5352643404838631</v>
      </c>
      <c r="BF18" s="14">
        <f t="shared" si="37"/>
        <v>2.4205752698614362</v>
      </c>
      <c r="BG18" s="22">
        <f t="shared" si="7"/>
        <v>15.598087321351393</v>
      </c>
      <c r="BH18" s="62">
        <f t="shared" si="8"/>
        <v>290.59808732135139</v>
      </c>
      <c r="BI18" s="62">
        <f ca="1">AVERAGE(OFFSET($BH$3,0,0,'Données projet'!$E$11+1,1))-AVERAGE(OFFSET($H$3,0,0,'Données projet'!$E$11+1,1))</f>
        <v>317.54276561627643</v>
      </c>
      <c r="BJ18" s="62">
        <f t="shared" si="38"/>
        <v>238.92443174298893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0.9</v>
      </c>
      <c r="BY18" s="13">
        <f>IF('Données projet'!$A$114&gt;35,BY17+BX18-CG17,IF(A18&lt;'Données projet'!$A$114,$BV$205^A18,IF(A18='Données projet'!$A$114,'Données projet'!$B$114,BY17+BX18-CG17)))</f>
        <v>8.7388518907318247</v>
      </c>
      <c r="BZ18" s="14">
        <f>BY18*VLOOKUP('Données projet'!$B$12,Paramètres!$A$1:$I$89,3,0)*VLOOKUP('Données projet'!$B$12,Paramètres!$A$1:$I$89,5,0)</f>
        <v>7.6342610117433241</v>
      </c>
      <c r="CA18" s="14">
        <f t="shared" si="39"/>
        <v>2.7769303673043324</v>
      </c>
      <c r="CB18" s="22">
        <f t="shared" si="10"/>
        <v>18.132824985174668</v>
      </c>
      <c r="CC18" s="62">
        <f t="shared" si="11"/>
        <v>293.13282498517469</v>
      </c>
      <c r="CD18" s="62">
        <f ca="1">AVERAGE(OFFSET($CC$3,0,0,'Données projet'!$E$12+1,1))-AVERAGE(OFFSET($H$3,0,0,'Données projet'!$E$12+1,1))</f>
        <v>195.30963433439501</v>
      </c>
      <c r="CE18" s="62">
        <f t="shared" si="40"/>
        <v>185.00219255324504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7.3236433418349414</v>
      </c>
      <c r="CV18" s="14">
        <f t="shared" si="41"/>
        <v>2.6768559840443293</v>
      </c>
      <c r="CW18" s="22">
        <f t="shared" si="13"/>
        <v>17.417536325906397</v>
      </c>
      <c r="CX18" s="62">
        <f t="shared" si="14"/>
        <v>292.41753632590638</v>
      </c>
      <c r="CY18" s="62">
        <f ca="1">AVERAGE(OFFSET($CX$3,0,0,'Données projet'!$E$13+1,1))-AVERAGE(OFFSET($H$3,0,0,'Données projet'!$E$13+1,1))</f>
        <v>293.996396026019</v>
      </c>
      <c r="CZ18" s="62">
        <f t="shared" si="42"/>
        <v>152.23954167722536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195.80903373714432</v>
      </c>
      <c r="T19" s="62">
        <f t="shared" si="34"/>
        <v>388.30721786668977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16.2</v>
      </c>
      <c r="AI19" s="14">
        <f>IF('Données projet'!$A$62&gt;35,AI18+AH19-AQ18,IF(A19&lt;'Données projet'!$A$62,$AF$205^A19,IF(A19='Données projet'!$A$62,'Données projet'!$B$62,AI18+AH19-AQ18)))</f>
        <v>89.2</v>
      </c>
      <c r="AJ19" s="14">
        <f>AI19*VLOOKUP('Données projet'!$B$10,Paramètres!$A$1:$I$89,3,0)*VLOOKUP('Données projet'!$B$10,Paramètres!$A$1:$I$89,5,0)</f>
        <v>77.925120000000007</v>
      </c>
      <c r="AK19" s="14">
        <f t="shared" si="35"/>
        <v>21.629091902424182</v>
      </c>
      <c r="AL19" s="22">
        <f t="shared" si="4"/>
        <v>173.3902523967221</v>
      </c>
      <c r="AM19" s="62">
        <f t="shared" si="5"/>
        <v>449.61247461894436</v>
      </c>
      <c r="AN19" s="62">
        <f ca="1">AVERAGE(OFFSET($AM$3,0,0,'Données projet'!$E$10+1,1))-AVERAGE(OFFSET($H$3,0,0,'Données projet'!$E$10+1,1))</f>
        <v>303.33040062722074</v>
      </c>
      <c r="AO19" s="62">
        <f t="shared" si="36"/>
        <v>425.30058672361548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19.81667732089079</v>
      </c>
      <c r="AX19" s="23">
        <f t="shared" si="6"/>
        <v>19.81667732089079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6.5</v>
      </c>
      <c r="BD19" s="13">
        <f>IF('Données projet'!$A$88&gt;35,BD18+BC19-BL18,IF(A19&lt;'Données projet'!$A$88,$BA$205^A19,IF(A19='Données projet'!$A$88,'Données projet'!$B$88,BD18+BC19-BL18)))</f>
        <v>16.647606148649942</v>
      </c>
      <c r="BE19" s="14">
        <f>BD19*VLOOKUP('Données projet'!$B$11,Paramètres!$A$1:$I$89,3,0)*VLOOKUP('Données projet'!$B$11,Paramètres!$A$1:$I$89,5,0)</f>
        <v>7.791079677568173</v>
      </c>
      <c r="BF19" s="14">
        <f t="shared" si="37"/>
        <v>2.8272729930809319</v>
      </c>
      <c r="BG19" s="22">
        <f t="shared" si="7"/>
        <v>18.493630901380524</v>
      </c>
      <c r="BH19" s="62">
        <f t="shared" si="8"/>
        <v>294.71585312360276</v>
      </c>
      <c r="BI19" s="62">
        <f ca="1">AVERAGE(OFFSET($BH$3,0,0,'Données projet'!$E$11+1,1))-AVERAGE(OFFSET($H$3,0,0,'Données projet'!$E$11+1,1))</f>
        <v>317.54276561627643</v>
      </c>
      <c r="BJ19" s="62">
        <f t="shared" si="38"/>
        <v>238.92443174298893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0.9</v>
      </c>
      <c r="BY19" s="13">
        <f>IF('Données projet'!$A$114&gt;35,BY18+BX19-CG18,IF(A19&lt;'Données projet'!$A$114,$BV$205^A19,IF(A19='Données projet'!$A$114,'Données projet'!$B$114,BY18+BX19-CG18)))</f>
        <v>10.097596309015799</v>
      </c>
      <c r="BZ19" s="14">
        <f>BY19*VLOOKUP('Données projet'!$B$12,Paramètres!$A$1:$I$89,3,0)*VLOOKUP('Données projet'!$B$12,Paramètres!$A$1:$I$89,5,0)</f>
        <v>8.8212601355562033</v>
      </c>
      <c r="CA19" s="14">
        <f t="shared" si="39"/>
        <v>3.1551711996443523</v>
      </c>
      <c r="CB19" s="22">
        <f t="shared" si="10"/>
        <v>20.858951242140964</v>
      </c>
      <c r="CC19" s="62">
        <f t="shared" si="11"/>
        <v>297.08117346436319</v>
      </c>
      <c r="CD19" s="62">
        <f ca="1">AVERAGE(OFFSET($CC$3,0,0,'Données projet'!$E$12+1,1))-AVERAGE(OFFSET($H$3,0,0,'Données projet'!$E$12+1,1))</f>
        <v>195.30963433439501</v>
      </c>
      <c r="CE19" s="62">
        <f t="shared" si="40"/>
        <v>185.00219255324504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8.3909674498848439</v>
      </c>
      <c r="CV19" s="14">
        <f t="shared" si="41"/>
        <v>3.0187863683434557</v>
      </c>
      <c r="CW19" s="22">
        <f t="shared" si="13"/>
        <v>19.871987900080956</v>
      </c>
      <c r="CX19" s="62">
        <f t="shared" si="14"/>
        <v>296.0942101223032</v>
      </c>
      <c r="CY19" s="62">
        <f ca="1">AVERAGE(OFFSET($CX$3,0,0,'Données projet'!$E$13+1,1))-AVERAGE(OFFSET($H$3,0,0,'Données projet'!$E$13+1,1))</f>
        <v>293.996396026019</v>
      </c>
      <c r="CZ19" s="62">
        <f t="shared" si="42"/>
        <v>152.23954167722536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195.80903373714432</v>
      </c>
      <c r="T20" s="62">
        <f t="shared" si="34"/>
        <v>388.30721786668977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16.2</v>
      </c>
      <c r="AI20" s="14">
        <f>IF('Données projet'!$A$62&gt;35,AI19+AH20-AQ19,IF(A20&lt;'Données projet'!$A$62,$AF$205^A20,IF(A20='Données projet'!$A$62,'Données projet'!$B$62,AI19+AH20-AQ19)))</f>
        <v>105.4</v>
      </c>
      <c r="AJ20" s="14">
        <f>AI20*VLOOKUP('Données projet'!$B$10,Paramètres!$A$1:$I$89,3,0)*VLOOKUP('Données projet'!$B$10,Paramètres!$A$1:$I$89,5,0)</f>
        <v>92.07744000000001</v>
      </c>
      <c r="AK20" s="14">
        <f t="shared" si="35"/>
        <v>25.065586122051112</v>
      </c>
      <c r="AL20" s="22">
        <f t="shared" si="4"/>
        <v>204.02410382923904</v>
      </c>
      <c r="AM20" s="62">
        <f t="shared" si="5"/>
        <v>481.4685482736835</v>
      </c>
      <c r="AN20" s="62">
        <f ca="1">AVERAGE(OFFSET($AM$3,0,0,'Données projet'!$E$10+1,1))-AVERAGE(OFFSET($H$3,0,0,'Données projet'!$E$10+1,1))</f>
        <v>303.33040062722074</v>
      </c>
      <c r="AO20" s="62">
        <f t="shared" si="36"/>
        <v>425.30058672361548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14.012506914187544</v>
      </c>
      <c r="AX20" s="23">
        <f t="shared" si="6"/>
        <v>14.012506914187544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6.5</v>
      </c>
      <c r="BD20" s="13">
        <f>IF('Données projet'!$A$88&gt;35,BD19+BC20-BL19,IF(A20&lt;'Données projet'!$A$88,$BA$205^A20,IF(A20='Données projet'!$A$88,'Données projet'!$B$88,BD19+BC20-BL19)))</f>
        <v>19.846607449592845</v>
      </c>
      <c r="BE20" s="14">
        <f>BD20*VLOOKUP('Données projet'!$B$11,Paramètres!$A$1:$I$89,3,0)*VLOOKUP('Données projet'!$B$11,Paramètres!$A$1:$I$89,5,0)</f>
        <v>9.2882122864094523</v>
      </c>
      <c r="BF20" s="14">
        <f t="shared" si="37"/>
        <v>3.3023028355827138</v>
      </c>
      <c r="BG20" s="22">
        <f t="shared" si="7"/>
        <v>21.928480504136356</v>
      </c>
      <c r="BH20" s="62">
        <f t="shared" si="8"/>
        <v>299.37292494858082</v>
      </c>
      <c r="BI20" s="62">
        <f ca="1">AVERAGE(OFFSET($BH$3,0,0,'Données projet'!$E$11+1,1))-AVERAGE(OFFSET($H$3,0,0,'Données projet'!$E$11+1,1))</f>
        <v>317.54276561627643</v>
      </c>
      <c r="BJ20" s="62">
        <f t="shared" si="38"/>
        <v>238.92443174298893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0.9</v>
      </c>
      <c r="BY20" s="13">
        <f>IF('Données projet'!$A$114&gt;35,BY19+BX20-CG19,IF(A20&lt;'Données projet'!$A$114,$BV$205^A20,IF(A20='Données projet'!$A$114,'Données projet'!$B$114,BY19+BX20-CG19)))</f>
        <v>11.667602620429678</v>
      </c>
      <c r="BZ20" s="14">
        <f>BY20*VLOOKUP('Données projet'!$B$12,Paramètres!$A$1:$I$89,3,0)*VLOOKUP('Données projet'!$B$12,Paramètres!$A$1:$I$89,5,0)</f>
        <v>10.192817649207369</v>
      </c>
      <c r="CA20" s="14">
        <f t="shared" si="39"/>
        <v>3.5849315547400531</v>
      </c>
      <c r="CB20" s="22">
        <f t="shared" si="10"/>
        <v>23.996246530208428</v>
      </c>
      <c r="CC20" s="62">
        <f t="shared" si="11"/>
        <v>301.44069097465291</v>
      </c>
      <c r="CD20" s="62">
        <f ca="1">AVERAGE(OFFSET($CC$3,0,0,'Données projet'!$E$12+1,1))-AVERAGE(OFFSET($H$3,0,0,'Données projet'!$E$12+1,1))</f>
        <v>195.30963433439501</v>
      </c>
      <c r="CE20" s="62">
        <f t="shared" si="40"/>
        <v>185.00219255324504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9.6138399234753162</v>
      </c>
      <c r="CV20" s="14">
        <f t="shared" si="41"/>
        <v>3.404393509406427</v>
      </c>
      <c r="CW20" s="22">
        <f t="shared" si="13"/>
        <v>22.6734232289357</v>
      </c>
      <c r="CX20" s="62">
        <f t="shared" si="14"/>
        <v>300.11786767338015</v>
      </c>
      <c r="CY20" s="62">
        <f ca="1">AVERAGE(OFFSET($CX$3,0,0,'Données projet'!$E$13+1,1))-AVERAGE(OFFSET($H$3,0,0,'Données projet'!$E$13+1,1))</f>
        <v>293.996396026019</v>
      </c>
      <c r="CZ20" s="62">
        <f t="shared" si="42"/>
        <v>152.23954167722536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195.80903373714432</v>
      </c>
      <c r="T21" s="62">
        <f t="shared" si="34"/>
        <v>388.30721786668977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9.0000000000000011E-2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0.8</v>
      </c>
      <c r="Z21" s="23">
        <f>EXP(-LN(2)/35)*Z20+(1-EXP(-LN(2)/35))/(LN(2)/35)*V21*W21*VLOOKUP('Données projet'!$B$9,Paramètres!$A$1:$I$89,3,0)*0.475*44/12</f>
        <v>2.8558279596702421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25.017747086499455</v>
      </c>
      <c r="AC21" s="24">
        <f t="shared" si="3"/>
        <v>27.873575046169698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16.2</v>
      </c>
      <c r="AI21" s="14">
        <f>IF('Données projet'!$A$62&gt;35,AI20+AH21-AQ20,IF(A21&lt;'Données projet'!$A$62,$AF$205^A21,IF(A21='Données projet'!$A$62,'Données projet'!$B$62,AI20+AH21-AQ20)))</f>
        <v>121.60000000000001</v>
      </c>
      <c r="AJ21" s="14">
        <f>AI21*VLOOKUP('Données projet'!$B$10,Paramètres!$A$1:$I$89,3,0)*VLOOKUP('Données projet'!$B$10,Paramètres!$A$1:$I$89,5,0)</f>
        <v>106.22976000000003</v>
      </c>
      <c r="AK21" s="14">
        <f t="shared" si="35"/>
        <v>28.440891625171492</v>
      </c>
      <c r="AL21" s="22">
        <f t="shared" si="4"/>
        <v>234.55138491384039</v>
      </c>
      <c r="AM21" s="62">
        <f t="shared" si="5"/>
        <v>513.21805158050711</v>
      </c>
      <c r="AN21" s="62">
        <f ca="1">AVERAGE(OFFSET($AM$3,0,0,'Données projet'!$E$10+1,1))-AVERAGE(OFFSET($H$3,0,0,'Données projet'!$E$10+1,1))</f>
        <v>303.33040062722074</v>
      </c>
      <c r="AO21" s="62">
        <f t="shared" si="36"/>
        <v>425.30058672361548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9.9083386604453967</v>
      </c>
      <c r="AX21" s="23">
        <f t="shared" si="6"/>
        <v>9.9083386604453967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6.5</v>
      </c>
      <c r="BD21" s="13">
        <f>IF('Données projet'!$A$88&gt;35,BD20+BC21-BL20,IF(A21&lt;'Données projet'!$A$88,$BA$205^A21,IF(A21='Données projet'!$A$88,'Données projet'!$B$88,BD20+BC21-BL20)))</f>
        <v>23.660328322350242</v>
      </c>
      <c r="BE21" s="14">
        <f>BD21*VLOOKUP('Données projet'!$B$11,Paramètres!$A$1:$I$89,3,0)*VLOOKUP('Données projet'!$B$11,Paramètres!$A$1:$I$89,5,0)</f>
        <v>11.073033654859913</v>
      </c>
      <c r="BF21" s="14">
        <f t="shared" si="37"/>
        <v>3.8571457530226052</v>
      </c>
      <c r="BG21" s="22">
        <f t="shared" si="7"/>
        <v>26.003395802062048</v>
      </c>
      <c r="BH21" s="62">
        <f t="shared" si="8"/>
        <v>304.67006246872876</v>
      </c>
      <c r="BI21" s="62">
        <f ca="1">AVERAGE(OFFSET($BH$3,0,0,'Données projet'!$E$11+1,1))-AVERAGE(OFFSET($H$3,0,0,'Données projet'!$E$11+1,1))</f>
        <v>317.54276561627643</v>
      </c>
      <c r="BJ21" s="62">
        <f t="shared" si="38"/>
        <v>238.92443174298893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0.9</v>
      </c>
      <c r="BY21" s="13">
        <f>IF('Données projet'!$A$114&gt;35,BY20+BX21-CG20,IF(A21&lt;'Données projet'!$A$114,$BV$205^A21,IF(A21='Données projet'!$A$114,'Données projet'!$B$114,BY20+BX21-CG20)))</f>
        <v>13.48171849440139</v>
      </c>
      <c r="BZ21" s="14">
        <f>BY21*VLOOKUP('Données projet'!$B$12,Paramètres!$A$1:$I$89,3,0)*VLOOKUP('Données projet'!$B$12,Paramètres!$A$1:$I$89,5,0)</f>
        <v>11.777629276709055</v>
      </c>
      <c r="CA21" s="14">
        <f t="shared" si="39"/>
        <v>4.0732288167499631</v>
      </c>
      <c r="CB21" s="22">
        <f t="shared" si="10"/>
        <v>27.606911179441123</v>
      </c>
      <c r="CC21" s="62">
        <f t="shared" si="11"/>
        <v>306.2735778461078</v>
      </c>
      <c r="CD21" s="62">
        <f ca="1">AVERAGE(OFFSET($CC$3,0,0,'Données projet'!$E$12+1,1))-AVERAGE(OFFSET($H$3,0,0,'Données projet'!$E$12+1,1))</f>
        <v>195.30963433439501</v>
      </c>
      <c r="CE21" s="62">
        <f t="shared" si="40"/>
        <v>185.00219255324504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11.014929878613264</v>
      </c>
      <c r="CV21" s="14">
        <f t="shared" si="41"/>
        <v>3.8392564934127869</v>
      </c>
      <c r="CW21" s="22">
        <f t="shared" si="13"/>
        <v>25.871041264612035</v>
      </c>
      <c r="CX21" s="62">
        <f t="shared" si="14"/>
        <v>304.5377079312787</v>
      </c>
      <c r="CY21" s="62">
        <f ca="1">AVERAGE(OFFSET($CX$3,0,0,'Données projet'!$E$13+1,1))-AVERAGE(OFFSET($H$3,0,0,'Données projet'!$E$13+1,1))</f>
        <v>293.996396026019</v>
      </c>
      <c r="CZ21" s="62">
        <f t="shared" si="42"/>
        <v>152.23954167722536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195.80903373714432</v>
      </c>
      <c r="T22" s="62">
        <f t="shared" si="34"/>
        <v>388.30721786668977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2.7998269152641675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17.690218614873757</v>
      </c>
      <c r="AC22" s="24">
        <f t="shared" si="3"/>
        <v>20.490045530137923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16.2</v>
      </c>
      <c r="AI22" s="14">
        <f>IF('Données projet'!$A$62&gt;35,AI21+AH22-AQ21,IF(A22&lt;'Données projet'!$A$62,$AF$205^A22,IF(A22='Données projet'!$A$62,'Données projet'!$B$62,AI21+AH22-AQ21)))</f>
        <v>137.80000000000001</v>
      </c>
      <c r="AJ22" s="14">
        <f>AI22*VLOOKUP('Données projet'!$B$10,Paramètres!$A$1:$I$89,3,0)*VLOOKUP('Données projet'!$B$10,Paramètres!$A$1:$I$89,5,0)</f>
        <v>120.38208000000003</v>
      </c>
      <c r="AK22" s="14">
        <f t="shared" si="35"/>
        <v>31.76409668560358</v>
      </c>
      <c r="AL22" s="22">
        <f t="shared" si="4"/>
        <v>264.98792439409294</v>
      </c>
      <c r="AM22" s="62">
        <f t="shared" si="5"/>
        <v>544.87681328298186</v>
      </c>
      <c r="AN22" s="62">
        <f ca="1">AVERAGE(OFFSET($AM$3,0,0,'Données projet'!$E$10+1,1))-AVERAGE(OFFSET($H$3,0,0,'Données projet'!$E$10+1,1))</f>
        <v>303.33040062722074</v>
      </c>
      <c r="AO22" s="62">
        <f t="shared" si="36"/>
        <v>425.30058672361548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7.0062534570937727</v>
      </c>
      <c r="AX22" s="23">
        <f t="shared" si="6"/>
        <v>7.0062534570937727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6.5</v>
      </c>
      <c r="BD22" s="13">
        <f>IF('Données projet'!$A$88&gt;35,BD21+BC22-BL21,IF(A22&lt;'Données projet'!$A$88,$BA$205^A22,IF(A22='Données projet'!$A$88,'Données projet'!$B$88,BD21+BC22-BL21)))</f>
        <v>28.206893180269638</v>
      </c>
      <c r="BE22" s="14">
        <f>BD22*VLOOKUP('Données projet'!$B$11,Paramètres!$A$1:$I$89,3,0)*VLOOKUP('Données projet'!$B$11,Paramètres!$A$1:$I$89,5,0)</f>
        <v>13.200826008366192</v>
      </c>
      <c r="BF22" s="14">
        <f t="shared" si="37"/>
        <v>4.5052116964418483</v>
      </c>
      <c r="BG22" s="22">
        <f t="shared" si="7"/>
        <v>30.838015669207337</v>
      </c>
      <c r="BH22" s="62">
        <f t="shared" si="8"/>
        <v>310.72690455809618</v>
      </c>
      <c r="BI22" s="62">
        <f ca="1">AVERAGE(OFFSET($BH$3,0,0,'Données projet'!$E$11+1,1))-AVERAGE(OFFSET($H$3,0,0,'Données projet'!$E$11+1,1))</f>
        <v>317.54276561627643</v>
      </c>
      <c r="BJ22" s="62">
        <f t="shared" si="38"/>
        <v>238.92443174298893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0.9</v>
      </c>
      <c r="BY22" s="13">
        <f>IF('Données projet'!$A$114&gt;35,BY21+BX22-CG21,IF(A22&lt;'Données projet'!$A$114,$BV$205^A22,IF(A22='Données projet'!$A$114,'Données projet'!$B$114,BY21+BX22-CG21)))</f>
        <v>15.577898860219406</v>
      </c>
      <c r="BZ22" s="14">
        <f>BY22*VLOOKUP('Données projet'!$B$12,Paramètres!$A$1:$I$89,3,0)*VLOOKUP('Données projet'!$B$12,Paramètres!$A$1:$I$89,5,0)</f>
        <v>13.608852444287676</v>
      </c>
      <c r="CA22" s="14">
        <f t="shared" si="39"/>
        <v>4.6280361954652021</v>
      </c>
      <c r="CB22" s="22">
        <f t="shared" si="10"/>
        <v>31.762581047569586</v>
      </c>
      <c r="CC22" s="62">
        <f t="shared" si="11"/>
        <v>311.65146993645845</v>
      </c>
      <c r="CD22" s="62">
        <f ca="1">AVERAGE(OFFSET($CC$3,0,0,'Données projet'!$E$12+1,1))-AVERAGE(OFFSET($H$3,0,0,'Données projet'!$E$12+1,1))</f>
        <v>195.30963433439501</v>
      </c>
      <c r="CE22" s="62">
        <f t="shared" si="40"/>
        <v>185.00219255324504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12.620210154997878</v>
      </c>
      <c r="CV22" s="14">
        <f t="shared" si="41"/>
        <v>4.329667055669546</v>
      </c>
      <c r="CW22" s="22">
        <f t="shared" si="13"/>
        <v>29.521036141912429</v>
      </c>
      <c r="CX22" s="62">
        <f t="shared" si="14"/>
        <v>309.40992503080128</v>
      </c>
      <c r="CY22" s="62">
        <f ca="1">AVERAGE(OFFSET($CX$3,0,0,'Données projet'!$E$13+1,1))-AVERAGE(OFFSET($H$3,0,0,'Données projet'!$E$13+1,1))</f>
        <v>293.996396026019</v>
      </c>
      <c r="CZ22" s="62">
        <f t="shared" si="42"/>
        <v>152.23954167722536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195.80903373714432</v>
      </c>
      <c r="T23" s="62">
        <f t="shared" si="34"/>
        <v>388.30721786668977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2.7449240171816314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12.508873543249729</v>
      </c>
      <c r="AC23" s="24">
        <f t="shared" si="3"/>
        <v>15.25379756043136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154</v>
      </c>
      <c r="AG23" s="13">
        <f>VLOOKUP(A23,'Données projet'!$A$61:$I$81,9,0)</f>
        <v>16.2</v>
      </c>
      <c r="AH23" s="13">
        <f t="array" ref="AH23">INDEX(AG:AG,MIN(IF(ISNUMBER(AG23:AG219),ROW(AG23:AG219),"")))</f>
        <v>16.2</v>
      </c>
      <c r="AI23" s="14">
        <f>IF('Données projet'!$A$62&gt;35,AI22+AH23-AQ22,IF(A23&lt;'Données projet'!$A$62,$AF$205^A23,IF(A23='Données projet'!$A$62,'Données projet'!$B$62,AI22+AH23-AQ22)))</f>
        <v>154</v>
      </c>
      <c r="AJ23" s="14">
        <f>AI23*VLOOKUP('Données projet'!$B$10,Paramètres!$A$1:$I$89,3,0)*VLOOKUP('Données projet'!$B$10,Paramètres!$A$1:$I$89,5,0)</f>
        <v>134.53440000000001</v>
      </c>
      <c r="AK23" s="14">
        <f t="shared" si="35"/>
        <v>35.042026165482234</v>
      </c>
      <c r="AL23" s="22">
        <f t="shared" si="4"/>
        <v>295.34560890488154</v>
      </c>
      <c r="AM23" s="62">
        <f t="shared" si="5"/>
        <v>576.45672001599269</v>
      </c>
      <c r="AN23" s="62">
        <f ca="1">AVERAGE(OFFSET($AM$3,0,0,'Données projet'!$E$10+1,1))-AVERAGE(OFFSET($H$3,0,0,'Données projet'!$E$10+1,1))</f>
        <v>303.33040062722074</v>
      </c>
      <c r="AO23" s="62">
        <f t="shared" si="36"/>
        <v>425.30058672361548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8.6000000000000007E-2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4.1363266982029705</v>
      </c>
      <c r="AW23" s="23">
        <f>EXP(-LN(2)/2)*AW22+(1-EXP(-LN(2)/2))/(LN(2)/2)*AQ23*AT23*VLOOKUP('Données projet'!$B$10,Paramètres!$A$1:$I$89,3,0)*0.475*44/12</f>
        <v>37.924773834193381</v>
      </c>
      <c r="AX23" s="23">
        <f t="shared" si="6"/>
        <v>42.061100532396352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6.5</v>
      </c>
      <c r="BD23" s="13">
        <f>IF('Données projet'!$A$88&gt;35,BD22+BC23-BL22,IF(A23&lt;'Données projet'!$A$88,$BA$205^A23,IF(A23='Données projet'!$A$88,'Données projet'!$B$88,BD22+BC23-BL22)))</f>
        <v>33.627125204833582</v>
      </c>
      <c r="BE23" s="14">
        <f>BD23*VLOOKUP('Données projet'!$B$11,Paramètres!$A$1:$I$89,3,0)*VLOOKUP('Données projet'!$B$11,Paramètres!$A$1:$I$89,5,0)</f>
        <v>15.737494595862117</v>
      </c>
      <c r="BF23" s="14">
        <f t="shared" si="37"/>
        <v>5.2621637162274721</v>
      </c>
      <c r="BG23" s="22">
        <f t="shared" si="7"/>
        <v>36.574404893556029</v>
      </c>
      <c r="BH23" s="62">
        <f t="shared" si="8"/>
        <v>317.68551600466719</v>
      </c>
      <c r="BI23" s="62">
        <f ca="1">AVERAGE(OFFSET($BH$3,0,0,'Données projet'!$E$11+1,1))-AVERAGE(OFFSET($H$3,0,0,'Données projet'!$E$11+1,1))</f>
        <v>317.54276561627643</v>
      </c>
      <c r="BJ23" s="62">
        <f t="shared" si="38"/>
        <v>238.92443174298893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18</v>
      </c>
      <c r="BW23" s="13">
        <f>VLOOKUP(A23,'Données projet'!$A$113:$I$133,9,0)</f>
        <v>0.9</v>
      </c>
      <c r="BX23" s="13">
        <f t="array" ref="BX23">INDEX(BW:BW,MIN(IF(ISNUMBER(BW23:BW219),ROW(BW23:BW219),"")))</f>
        <v>0.9</v>
      </c>
      <c r="BY23" s="13">
        <f>IF('Données projet'!$A$114&gt;35,BY22+BX23-CG22,IF(A23&lt;'Données projet'!$A$114,$BV$205^A23,IF(A23='Données projet'!$A$114,'Données projet'!$B$114,BY22+BX23-CG22)))</f>
        <v>18</v>
      </c>
      <c r="BZ23" s="14">
        <f>BY23*VLOOKUP('Données projet'!$B$12,Paramètres!$A$1:$I$89,3,0)*VLOOKUP('Données projet'!$B$12,Paramètres!$A$1:$I$89,5,0)</f>
        <v>15.724800000000004</v>
      </c>
      <c r="CA23" s="14">
        <f t="shared" si="39"/>
        <v>5.2584129176484753</v>
      </c>
      <c r="CB23" s="22">
        <f t="shared" si="10"/>
        <v>36.545762498237771</v>
      </c>
      <c r="CC23" s="62">
        <f t="shared" si="11"/>
        <v>317.65687360934891</v>
      </c>
      <c r="CD23" s="62">
        <f ca="1">AVERAGE(OFFSET($CC$3,0,0,'Données projet'!$E$12+1,1))-AVERAGE(OFFSET($H$3,0,0,'Données projet'!$E$12+1,1))</f>
        <v>195.30963433439501</v>
      </c>
      <c r="CE23" s="62">
        <f t="shared" si="40"/>
        <v>185.00219255324504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14.459438790032763</v>
      </c>
      <c r="CV23" s="14">
        <f t="shared" si="41"/>
        <v>4.8827206114292476</v>
      </c>
      <c r="CW23" s="22">
        <f t="shared" si="13"/>
        <v>33.687594290879673</v>
      </c>
      <c r="CX23" s="62">
        <f t="shared" si="14"/>
        <v>314.79870540199079</v>
      </c>
      <c r="CY23" s="62">
        <f ca="1">AVERAGE(OFFSET($CX$3,0,0,'Données projet'!$E$13+1,1))-AVERAGE(OFFSET($H$3,0,0,'Données projet'!$E$13+1,1))</f>
        <v>293.996396026019</v>
      </c>
      <c r="CZ23" s="62">
        <f t="shared" si="42"/>
        <v>152.23954167722536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195.80903373714432</v>
      </c>
      <c r="T24" s="62">
        <f t="shared" si="34"/>
        <v>388.30721786668977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2.6910977314430329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8.8451093074368803</v>
      </c>
      <c r="AC24" s="24">
        <f t="shared" si="3"/>
        <v>11.536207038879914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15.6</v>
      </c>
      <c r="AI24" s="14">
        <f>IF('Données projet'!$A$62&gt;35,AI23+AH24-AQ23,IF(A24&lt;'Données projet'!$A$62,$AF$205^A24,IF(A24='Données projet'!$A$62,'Données projet'!$B$62,AI23+AH24-AQ23)))</f>
        <v>119.6</v>
      </c>
      <c r="AJ24" s="14">
        <f>AI24*VLOOKUP('Données projet'!$B$10,Paramètres!$A$1:$I$89,3,0)*VLOOKUP('Données projet'!$B$10,Paramètres!$A$1:$I$89,5,0)</f>
        <v>104.48256000000001</v>
      </c>
      <c r="AK24" s="14">
        <f t="shared" si="35"/>
        <v>28.02716504477474</v>
      </c>
      <c r="AL24" s="22">
        <f t="shared" si="4"/>
        <v>230.78777111964931</v>
      </c>
      <c r="AM24" s="62">
        <f t="shared" si="5"/>
        <v>513.12110445298265</v>
      </c>
      <c r="AN24" s="62">
        <f ca="1">AVERAGE(OFFSET($AM$3,0,0,'Données projet'!$E$10+1,1))-AVERAGE(OFFSET($H$3,0,0,'Données projet'!$E$10+1,1))</f>
        <v>303.33040062722074</v>
      </c>
      <c r="AO24" s="62">
        <f t="shared" si="36"/>
        <v>425.30058672361548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4.0232186271206425</v>
      </c>
      <c r="AW24" s="23">
        <f>EXP(-LN(2)/2)*AW23+(1-EXP(-LN(2)/2))/(LN(2)/2)*AQ24*AT24*VLOOKUP('Données projet'!$B$10,Paramètres!$A$1:$I$89,3,0)*0.475*44/12</f>
        <v>26.816864753124285</v>
      </c>
      <c r="AX24" s="23">
        <f t="shared" si="6"/>
        <v>30.840083380244927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</v>
      </c>
      <c r="BD24" s="13">
        <f>IF('Données projet'!$A$88&gt;35,BD23+BC24-BL23,IF(A24&lt;'Données projet'!$A$88,$BA$205^A24,IF(A24='Données projet'!$A$88,'Données projet'!$B$88,BD23+BC24-BL23)))</f>
        <v>40.088908137267765</v>
      </c>
      <c r="BE24" s="14">
        <f>BD24*VLOOKUP('Données projet'!$B$11,Paramètres!$A$1:$I$89,3,0)*VLOOKUP('Données projet'!$B$11,Paramètres!$A$1:$I$89,5,0)</f>
        <v>18.761609008241315</v>
      </c>
      <c r="BF24" s="14">
        <f t="shared" si="37"/>
        <v>6.1462965210381464</v>
      </c>
      <c r="BG24" s="22">
        <f t="shared" si="7"/>
        <v>43.381268796828387</v>
      </c>
      <c r="BH24" s="62">
        <f t="shared" si="8"/>
        <v>325.71460213016172</v>
      </c>
      <c r="BI24" s="62">
        <f ca="1">AVERAGE(OFFSET($BH$3,0,0,'Données projet'!$E$11+1,1))-AVERAGE(OFFSET($H$3,0,0,'Données projet'!$E$11+1,1))</f>
        <v>317.54276561627643</v>
      </c>
      <c r="BJ24" s="62">
        <f t="shared" si="38"/>
        <v>238.92443174298893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7.8</v>
      </c>
      <c r="BY24" s="13">
        <f>IF('Données projet'!$A$114&gt;35,BY23+BX24-CG23,IF(A24&lt;'Données projet'!$A$114,$BV$205^A24,IF(A24='Données projet'!$A$114,'Données projet'!$B$114,BY23+BX24-CG23)))</f>
        <v>22.8</v>
      </c>
      <c r="BZ24" s="14">
        <f>BY24*VLOOKUP('Données projet'!$B$12,Paramètres!$A$1:$I$89,3,0)*VLOOKUP('Données projet'!$B$12,Paramètres!$A$1:$I$89,5,0)</f>
        <v>19.918080000000003</v>
      </c>
      <c r="CA24" s="14">
        <f t="shared" si="39"/>
        <v>6.4798825087607046</v>
      </c>
      <c r="CB24" s="22">
        <f t="shared" si="10"/>
        <v>45.976451369424893</v>
      </c>
      <c r="CC24" s="62">
        <f t="shared" si="11"/>
        <v>328.30978470275818</v>
      </c>
      <c r="CD24" s="62">
        <f ca="1">AVERAGE(OFFSET($CC$3,0,0,'Données projet'!$E$12+1,1))-AVERAGE(OFFSET($H$3,0,0,'Données projet'!$E$12+1,1))</f>
        <v>195.30963433439501</v>
      </c>
      <c r="CE24" s="62">
        <f t="shared" si="40"/>
        <v>185.00219255324504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16.566710661304302</v>
      </c>
      <c r="CV24" s="14">
        <f t="shared" si="41"/>
        <v>5.5064189146038656</v>
      </c>
      <c r="CW24" s="22">
        <f t="shared" si="13"/>
        <v>38.444034011373397</v>
      </c>
      <c r="CX24" s="62">
        <f t="shared" si="14"/>
        <v>320.7773673447067</v>
      </c>
      <c r="CY24" s="62">
        <f ca="1">AVERAGE(OFFSET($CX$3,0,0,'Données projet'!$E$13+1,1))-AVERAGE(OFFSET($H$3,0,0,'Données projet'!$E$13+1,1))</f>
        <v>293.996396026019</v>
      </c>
      <c r="CZ24" s="62">
        <f t="shared" si="42"/>
        <v>152.23954167722536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195.80903373714432</v>
      </c>
      <c r="T25" s="62">
        <f t="shared" si="34"/>
        <v>388.30721786668977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2.6383269463369756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6.2544367716248654</v>
      </c>
      <c r="AC25" s="24">
        <f t="shared" si="3"/>
        <v>8.8927637179618415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15.6</v>
      </c>
      <c r="AI25" s="14">
        <f>IF('Données projet'!$A$62&gt;35,AI24+AH25-AQ24,IF(A25&lt;'Données projet'!$A$62,$AF$205^A25,IF(A25='Données projet'!$A$62,'Données projet'!$B$62,AI24+AH25-AQ24)))</f>
        <v>135.19999999999999</v>
      </c>
      <c r="AJ25" s="14">
        <f>AI25*VLOOKUP('Données projet'!$B$10,Paramètres!$A$1:$I$89,3,0)*VLOOKUP('Données projet'!$B$10,Paramètres!$A$1:$I$89,5,0)</f>
        <v>118.11072000000001</v>
      </c>
      <c r="AK25" s="14">
        <f t="shared" si="35"/>
        <v>31.233949612110369</v>
      </c>
      <c r="AL25" s="22">
        <f t="shared" si="4"/>
        <v>260.10863290775887</v>
      </c>
      <c r="AM25" s="62">
        <f t="shared" si="5"/>
        <v>543.66418846331442</v>
      </c>
      <c r="AN25" s="62">
        <f ca="1">AVERAGE(OFFSET($AM$3,0,0,'Données projet'!$E$10+1,1))-AVERAGE(OFFSET($H$3,0,0,'Données projet'!$E$10+1,1))</f>
        <v>303.33040062722074</v>
      </c>
      <c r="AO25" s="62">
        <f t="shared" si="36"/>
        <v>425.30058672361548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3.9132035021901559</v>
      </c>
      <c r="AW25" s="23">
        <f>EXP(-LN(2)/2)*AW24+(1-EXP(-LN(2)/2))/(LN(2)/2)*AQ25*AT25*VLOOKUP('Données projet'!$B$10,Paramètres!$A$1:$I$89,3,0)*0.475*44/12</f>
        <v>18.962386917096694</v>
      </c>
      <c r="AX25" s="23">
        <f t="shared" si="6"/>
        <v>22.875590419286851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</v>
      </c>
      <c r="BD25" s="13">
        <f>IF('Données projet'!$A$88&gt;35,BD24+BC25-BL24,IF(A25&lt;'Données projet'!$A$88,$BA$205^A25,IF(A25='Données projet'!$A$88,'Données projet'!$B$88,BD24+BC25-BL24)))</f>
        <v>47.792386231317963</v>
      </c>
      <c r="BE25" s="14">
        <f>BD25*VLOOKUP('Données projet'!$B$11,Paramètres!$A$1:$I$89,3,0)*VLOOKUP('Données projet'!$B$11,Paramètres!$A$1:$I$89,5,0)</f>
        <v>22.366836756256806</v>
      </c>
      <c r="BF25" s="14">
        <f t="shared" si="37"/>
        <v>7.178978641053865</v>
      </c>
      <c r="BG25" s="22">
        <f t="shared" si="7"/>
        <v>51.458961816982743</v>
      </c>
      <c r="BH25" s="62">
        <f t="shared" si="8"/>
        <v>335.01451737253831</v>
      </c>
      <c r="BI25" s="62">
        <f ca="1">AVERAGE(OFFSET($BH$3,0,0,'Données projet'!$E$11+1,1))-AVERAGE(OFFSET($H$3,0,0,'Données projet'!$E$11+1,1))</f>
        <v>317.54276561627643</v>
      </c>
      <c r="BJ25" s="62">
        <f t="shared" si="38"/>
        <v>238.92443174298893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7.8</v>
      </c>
      <c r="BY25" s="13">
        <f>IF('Données projet'!$A$114&gt;35,BY24+BX25-CG24,IF(A25&lt;'Données projet'!$A$114,$BV$205^A25,IF(A25='Données projet'!$A$114,'Données projet'!$B$114,BY24+BX25-CG24)))</f>
        <v>30.6</v>
      </c>
      <c r="BZ25" s="14">
        <f>BY25*VLOOKUP('Données projet'!$B$12,Paramètres!$A$1:$I$89,3,0)*VLOOKUP('Données projet'!$B$12,Paramètres!$A$1:$I$89,5,0)</f>
        <v>26.732160000000004</v>
      </c>
      <c r="CA25" s="14">
        <f t="shared" si="39"/>
        <v>8.4038705306032053</v>
      </c>
      <c r="CB25" s="22">
        <f t="shared" si="10"/>
        <v>61.195253174133917</v>
      </c>
      <c r="CC25" s="62">
        <f t="shared" si="11"/>
        <v>344.75080872968948</v>
      </c>
      <c r="CD25" s="62">
        <f ca="1">AVERAGE(OFFSET($CC$3,0,0,'Données projet'!$E$12+1,1))-AVERAGE(OFFSET($H$3,0,0,'Données projet'!$E$12+1,1))</f>
        <v>195.30963433439501</v>
      </c>
      <c r="CE25" s="62">
        <f t="shared" si="40"/>
        <v>185.00219255324504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18.981089523651683</v>
      </c>
      <c r="CV25" s="14">
        <f t="shared" si="41"/>
        <v>6.2097858296733257</v>
      </c>
      <c r="CW25" s="22">
        <f t="shared" si="13"/>
        <v>43.874107907041058</v>
      </c>
      <c r="CX25" s="62">
        <f t="shared" si="14"/>
        <v>327.42966346259658</v>
      </c>
      <c r="CY25" s="62">
        <f ca="1">AVERAGE(OFFSET($CX$3,0,0,'Données projet'!$E$13+1,1))-AVERAGE(OFFSET($H$3,0,0,'Données projet'!$E$13+1,1))</f>
        <v>293.996396026019</v>
      </c>
      <c r="CZ25" s="62">
        <f t="shared" si="42"/>
        <v>152.23954167722536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195.80903373714432</v>
      </c>
      <c r="T26" s="62">
        <f t="shared" si="34"/>
        <v>388.30721786668977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0.18000000000000002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0.6</v>
      </c>
      <c r="Z26" s="23">
        <f>EXP(-LN(2)/35)*Z25+(1-EXP(-LN(2)/35))/(LN(2)/35)*V26*W26*VLOOKUP('Données projet'!$B$9,Paramètres!$A$1:$I$89,3,0)*0.475*44/12</f>
        <v>10.011743659282478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25.547291968048228</v>
      </c>
      <c r="AC26" s="24">
        <f t="shared" si="3"/>
        <v>35.559035627330708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15.6</v>
      </c>
      <c r="AI26" s="14">
        <f>IF('Données projet'!$A$62&gt;35,AI25+AH26-AQ25,IF(A26&lt;'Données projet'!$A$62,$AF$205^A26,IF(A26='Données projet'!$A$62,'Données projet'!$B$62,AI25+AH26-AQ25)))</f>
        <v>150.79999999999998</v>
      </c>
      <c r="AJ26" s="14">
        <f>AI26*VLOOKUP('Données projet'!$B$10,Paramètres!$A$1:$I$89,3,0)*VLOOKUP('Données projet'!$B$10,Paramètres!$A$1:$I$89,5,0)</f>
        <v>131.73887999999999</v>
      </c>
      <c r="AK26" s="14">
        <f t="shared" si="35"/>
        <v>34.397852193895829</v>
      </c>
      <c r="AL26" s="22">
        <f t="shared" si="4"/>
        <v>289.35480857103522</v>
      </c>
      <c r="AM26" s="62">
        <f t="shared" si="5"/>
        <v>574.13258634881299</v>
      </c>
      <c r="AN26" s="62">
        <f ca="1">AVERAGE(OFFSET($AM$3,0,0,'Données projet'!$E$10+1,1))-AVERAGE(OFFSET($H$3,0,0,'Données projet'!$E$10+1,1))</f>
        <v>303.33040062722074</v>
      </c>
      <c r="AO26" s="62">
        <f t="shared" si="36"/>
        <v>425.30058672361548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3.8061967466363376</v>
      </c>
      <c r="AW26" s="23">
        <f>EXP(-LN(2)/2)*AW25+(1-EXP(-LN(2)/2))/(LN(2)/2)*AQ26*AT26*VLOOKUP('Données projet'!$B$10,Paramètres!$A$1:$I$89,3,0)*0.475*44/12</f>
        <v>13.408432376562144</v>
      </c>
      <c r="AX26" s="23">
        <f t="shared" si="6"/>
        <v>17.214629123198481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</v>
      </c>
      <c r="BD26" s="13">
        <f>IF('Données projet'!$A$88&gt;35,BD25+BC26-BL25,IF(A26&lt;'Données projet'!$A$88,$BA$205^A26,IF(A26='Données projet'!$A$88,'Données projet'!$B$88,BD25+BC26-BL25)))</f>
        <v>56.976163428110333</v>
      </c>
      <c r="BE26" s="14">
        <f>BD26*VLOOKUP('Données projet'!$B$11,Paramètres!$A$1:$I$89,3,0)*VLOOKUP('Données projet'!$B$11,Paramètres!$A$1:$I$89,5,0)</f>
        <v>26.664844484355637</v>
      </c>
      <c r="BF26" s="14">
        <f t="shared" si="37"/>
        <v>8.3851688821551527</v>
      </c>
      <c r="BG26" s="22">
        <f t="shared" si="7"/>
        <v>61.045439946672957</v>
      </c>
      <c r="BH26" s="62">
        <f t="shared" si="8"/>
        <v>345.82321772445073</v>
      </c>
      <c r="BI26" s="62">
        <f ca="1">AVERAGE(OFFSET($BH$3,0,0,'Données projet'!$E$11+1,1))-AVERAGE(OFFSET($H$3,0,0,'Données projet'!$E$11+1,1))</f>
        <v>317.54276561627643</v>
      </c>
      <c r="BJ26" s="62">
        <f t="shared" si="38"/>
        <v>238.92443174298893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7.8</v>
      </c>
      <c r="BY26" s="13">
        <f>IF('Données projet'!$A$114&gt;35,BY25+BX26-CG25,IF(A26&lt;'Données projet'!$A$114,$BV$205^A26,IF(A26='Données projet'!$A$114,'Données projet'!$B$114,BY25+BX26-CG25)))</f>
        <v>38.4</v>
      </c>
      <c r="BZ26" s="14">
        <f>BY26*VLOOKUP('Données projet'!$B$12,Paramètres!$A$1:$I$89,3,0)*VLOOKUP('Données projet'!$B$12,Paramètres!$A$1:$I$89,5,0)</f>
        <v>33.546240000000004</v>
      </c>
      <c r="CA26" s="14">
        <f t="shared" si="39"/>
        <v>10.270958406379922</v>
      </c>
      <c r="CB26" s="22">
        <f t="shared" si="10"/>
        <v>76.314953891111699</v>
      </c>
      <c r="CC26" s="62">
        <f t="shared" si="11"/>
        <v>361.09273166888948</v>
      </c>
      <c r="CD26" s="62">
        <f ca="1">AVERAGE(OFFSET($CC$3,0,0,'Données projet'!$E$12+1,1))-AVERAGE(OFFSET($H$3,0,0,'Données projet'!$E$12+1,1))</f>
        <v>195.30963433439501</v>
      </c>
      <c r="CE26" s="62">
        <f t="shared" si="40"/>
        <v>185.00219255324504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21.747332157276574</v>
      </c>
      <c r="CV26" s="14">
        <f t="shared" si="41"/>
        <v>7.002997891813278</v>
      </c>
      <c r="CW26" s="22">
        <f t="shared" si="13"/>
        <v>50.073491502164835</v>
      </c>
      <c r="CX26" s="62">
        <f t="shared" si="14"/>
        <v>334.85126927994258</v>
      </c>
      <c r="CY26" s="62">
        <f ca="1">AVERAGE(OFFSET($CX$3,0,0,'Données projet'!$E$13+1,1))-AVERAGE(OFFSET($H$3,0,0,'Données projet'!$E$13+1,1))</f>
        <v>293.996396026019</v>
      </c>
      <c r="CZ26" s="62">
        <f t="shared" si="42"/>
        <v>152.23954167722536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521.19675671623452</v>
      </c>
      <c r="S27" s="62">
        <f ca="1">AVERAGE(OFFSET($R$3,0,0,'Données projet'!$E$9+1,1))-AVERAGE(OFFSET($H$3,0,0,'Données projet'!$E$9+1,1))</f>
        <v>195.80903373714432</v>
      </c>
      <c r="T27" s="62">
        <f t="shared" si="34"/>
        <v>388.30721786668977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9.8154194726846082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18.064663391559524</v>
      </c>
      <c r="AC27" s="24">
        <f t="shared" si="3"/>
        <v>27.88008286424413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15.6</v>
      </c>
      <c r="AI27" s="14">
        <f>IF('Données projet'!$A$62&gt;35,AI26+AH27-AQ26,IF(A27&lt;'Données projet'!$A$62,$AF$205^A27,IF(A27='Données projet'!$A$62,'Données projet'!$B$62,AI26+AH27-AQ26)))</f>
        <v>166.39999999999998</v>
      </c>
      <c r="AJ27" s="14">
        <f>AI27*VLOOKUP('Données projet'!$B$10,Paramètres!$A$1:$I$89,3,0)*VLOOKUP('Données projet'!$B$10,Paramètres!$A$1:$I$89,5,0)</f>
        <v>145.36704</v>
      </c>
      <c r="AK27" s="14">
        <f t="shared" si="35"/>
        <v>37.523814117080832</v>
      </c>
      <c r="AL27" s="22">
        <f t="shared" si="4"/>
        <v>318.53490425391578</v>
      </c>
      <c r="AM27" s="62">
        <f t="shared" si="5"/>
        <v>604.53490425391578</v>
      </c>
      <c r="AN27" s="62">
        <f ca="1">AVERAGE(OFFSET($AM$3,0,0,'Données projet'!$E$10+1,1))-AVERAGE(OFFSET($H$3,0,0,'Données projet'!$E$10+1,1))</f>
        <v>303.33040062722074</v>
      </c>
      <c r="AO27" s="62">
        <f t="shared" si="36"/>
        <v>425.30058672361548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3.702116096440379</v>
      </c>
      <c r="AW27" s="23">
        <f>EXP(-LN(2)/2)*AW26+(1-EXP(-LN(2)/2))/(LN(2)/2)*AQ27*AT27*VLOOKUP('Données projet'!$B$10,Paramètres!$A$1:$I$89,3,0)*0.475*44/12</f>
        <v>9.4811934585483488</v>
      </c>
      <c r="AX27" s="23">
        <f t="shared" si="6"/>
        <v>13.183309554988728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</v>
      </c>
      <c r="BD27" s="13">
        <f>IF('Données projet'!$A$88&gt;35,BD26+BC27-BL26,IF(A27&lt;'Données projet'!$A$88,$BA$205^A27,IF(A27='Données projet'!$A$88,'Données projet'!$B$88,BD26+BC27-BL26)))</f>
        <v>67.924693763448758</v>
      </c>
      <c r="BE27" s="14">
        <f>BD27*VLOOKUP('Données projet'!$B$11,Paramètres!$A$1:$I$89,3,0)*VLOOKUP('Données projet'!$B$11,Paramètres!$A$1:$I$89,5,0)</f>
        <v>31.788756681294021</v>
      </c>
      <c r="BF27" s="14">
        <f t="shared" si="37"/>
        <v>9.7940195531688623</v>
      </c>
      <c r="BG27" s="22">
        <f t="shared" si="7"/>
        <v>72.423335275022851</v>
      </c>
      <c r="BH27" s="62">
        <f t="shared" si="8"/>
        <v>358.42333527502285</v>
      </c>
      <c r="BI27" s="62">
        <f ca="1">AVERAGE(OFFSET($BH$3,0,0,'Données projet'!$E$11+1,1))-AVERAGE(OFFSET($H$3,0,0,'Données projet'!$E$11+1,1))</f>
        <v>317.54276561627643</v>
      </c>
      <c r="BJ27" s="62">
        <f t="shared" si="38"/>
        <v>238.92443174298893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7.8</v>
      </c>
      <c r="BY27" s="13">
        <f>IF('Données projet'!$A$114&gt;35,BY26+BX27-CG26,IF(A27&lt;'Données projet'!$A$114,$BV$205^A27,IF(A27='Données projet'!$A$114,'Données projet'!$B$114,BY26+BX27-CG26)))</f>
        <v>46.199999999999996</v>
      </c>
      <c r="BZ27" s="14">
        <f>BY27*VLOOKUP('Données projet'!$B$12,Paramètres!$A$1:$I$89,3,0)*VLOOKUP('Données projet'!$B$12,Paramètres!$A$1:$I$89,5,0)</f>
        <v>40.360320000000002</v>
      </c>
      <c r="CA27" s="14">
        <f t="shared" si="39"/>
        <v>12.09409986057485</v>
      </c>
      <c r="CB27" s="22">
        <f t="shared" si="10"/>
        <v>91.358114590501202</v>
      </c>
      <c r="CC27" s="62">
        <f t="shared" si="11"/>
        <v>377.3581145905012</v>
      </c>
      <c r="CD27" s="62">
        <f ca="1">AVERAGE(OFFSET($CC$3,0,0,'Données projet'!$E$12+1,1))-AVERAGE(OFFSET($H$3,0,0,'Données projet'!$E$12+1,1))</f>
        <v>195.30963433439501</v>
      </c>
      <c r="CE27" s="62">
        <f t="shared" si="40"/>
        <v>185.00219255324504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24.91671805085759</v>
      </c>
      <c r="CV27" s="14">
        <f t="shared" si="41"/>
        <v>7.8975315442273644</v>
      </c>
      <c r="CW27" s="22">
        <f t="shared" si="13"/>
        <v>57.151484711439622</v>
      </c>
      <c r="CX27" s="62">
        <f t="shared" si="14"/>
        <v>343.15148471143959</v>
      </c>
      <c r="CY27" s="62">
        <f ca="1">AVERAGE(OFFSET($CX$3,0,0,'Données projet'!$E$13+1,1))-AVERAGE(OFFSET($H$3,0,0,'Données projet'!$E$13+1,1))</f>
        <v>293.996396026019</v>
      </c>
      <c r="CZ27" s="62">
        <f t="shared" si="42"/>
        <v>152.23954167722536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541.90241347715198</v>
      </c>
      <c r="S28" s="62">
        <f ca="1">AVERAGE(OFFSET($R$3,0,0,'Données projet'!$E$9+1,1))-AVERAGE(OFFSET($H$3,0,0,'Données projet'!$E$9+1,1))</f>
        <v>195.80903373714432</v>
      </c>
      <c r="T28" s="62">
        <f t="shared" si="34"/>
        <v>388.30721786668977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9.6229450836399923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12.773645984024117</v>
      </c>
      <c r="AC28" s="24">
        <f t="shared" si="3"/>
        <v>22.396591067664112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182</v>
      </c>
      <c r="AG28" s="13">
        <f>VLOOKUP(A28,'Données projet'!$A$61:$I$81,9,0)</f>
        <v>15.6</v>
      </c>
      <c r="AH28" s="13">
        <f t="array" ref="AH28">INDEX(AG:AG,MIN(IF(ISNUMBER(AG28:AG224),ROW(AG28:AG224),"")))</f>
        <v>15.6</v>
      </c>
      <c r="AI28" s="14">
        <f>IF('Données projet'!$A$62&gt;35,AI27+AH28-AQ27,IF(A28&lt;'Données projet'!$A$62,$AF$205^A28,IF(A28='Données projet'!$A$62,'Données projet'!$B$62,AI27+AH28-AQ27)))</f>
        <v>181.99999999999997</v>
      </c>
      <c r="AJ28" s="14">
        <f>AI28*VLOOKUP('Données projet'!$B$10,Paramètres!$A$1:$I$89,3,0)*VLOOKUP('Données projet'!$B$10,Paramètres!$A$1:$I$89,5,0)</f>
        <v>158.99519999999998</v>
      </c>
      <c r="AK28" s="14">
        <f t="shared" si="35"/>
        <v>40.615796933386044</v>
      </c>
      <c r="AL28" s="22">
        <f t="shared" si="4"/>
        <v>347.65581965898065</v>
      </c>
      <c r="AM28" s="62">
        <f t="shared" si="5"/>
        <v>634.87804188120288</v>
      </c>
      <c r="AN28" s="62">
        <f ca="1">AVERAGE(OFFSET($AM$3,0,0,'Données projet'!$E$10+1,1))-AVERAGE(OFFSET($H$3,0,0,'Données projet'!$E$10+1,1))</f>
        <v>303.33040062722074</v>
      </c>
      <c r="AO28" s="62">
        <f t="shared" si="36"/>
        <v>425.30058672361548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52</v>
      </c>
      <c r="AR28" s="17">
        <f>IF(ISNA(VLOOKUP(A28,'Données projet'!$A$61:$I$81,5,0)),0%,VLOOKUP(A28,'Données projet'!$A$61:$I$81,5,0)*VLOOKUP('Données projet'!$B$10,Paramètres!$A$1:$I$89,7,0))</f>
        <v>8.6000000000000007E-2</v>
      </c>
      <c r="AS28" s="17">
        <f>IF(ISNA(VLOOKUP(A28,'Données projet'!$A$61:$I$81,6,0)),0%,VLOOKUP(A28,'Données projet'!$A$61:$I$81,6,0)*VLOOKUP('Données projet'!$B$10,Paramètres!$A$1:$I$89,7,0))</f>
        <v>0.34400000000000003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4.3187844661602552</v>
      </c>
      <c r="AV28" s="23">
        <f>EXP(-LN(2)/25)*AV27+(1-EXP(-LN(2)/25))/(LN(2)/25)*Calculateur!AQ28*Calculateur!AS28*VLOOKUP('Données projet'!$B$10,Paramètres!$A$1:$I$89,3,0)*0.475*44/12</f>
        <v>20.808000601621746</v>
      </c>
      <c r="AW28" s="23">
        <f>EXP(-LN(2)/2)*AW27+(1-EXP(-LN(2)/2))/(LN(2)/2)*AQ28*AT28*VLOOKUP('Données projet'!$B$10,Paramètres!$A$1:$I$89,3,0)*0.475*44/12</f>
        <v>6.7042161882810731</v>
      </c>
      <c r="AX28" s="23">
        <f t="shared" si="6"/>
        <v>31.831001256063075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6.5</v>
      </c>
      <c r="BD28" s="13">
        <f>IF('Données projet'!$A$88&gt;35,BD27+BC28-BL27,IF(A28&lt;'Données projet'!$A$88,$BA$205^A28,IF(A28='Données projet'!$A$88,'Données projet'!$B$88,BD27+BC28-BL27)))</f>
        <v>80.977091914581294</v>
      </c>
      <c r="BE28" s="14">
        <f>BD28*VLOOKUP('Données projet'!$B$11,Paramètres!$A$1:$I$89,3,0)*VLOOKUP('Données projet'!$B$11,Paramètres!$A$1:$I$89,5,0)</f>
        <v>37.897279016024044</v>
      </c>
      <c r="BF28" s="14">
        <f t="shared" si="37"/>
        <v>11.43958104552808</v>
      </c>
      <c r="BG28" s="22">
        <f t="shared" si="7"/>
        <v>85.928364607203278</v>
      </c>
      <c r="BH28" s="62">
        <f t="shared" si="8"/>
        <v>373.15058682942549</v>
      </c>
      <c r="BI28" s="62">
        <f ca="1">AVERAGE(OFFSET($BH$3,0,0,'Données projet'!$E$11+1,1))-AVERAGE(OFFSET($H$3,0,0,'Données projet'!$E$11+1,1))</f>
        <v>317.54276561627643</v>
      </c>
      <c r="BJ28" s="62">
        <f t="shared" si="38"/>
        <v>238.92443174298893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54</v>
      </c>
      <c r="BW28" s="13">
        <f>VLOOKUP(A28,'Données projet'!$A$113:$I$133,9,0)</f>
        <v>7.8</v>
      </c>
      <c r="BX28" s="13">
        <f t="array" ref="BX28">INDEX(BW:BW,MIN(IF(ISNUMBER(BW28:BW224),ROW(BW28:BW224),"")))</f>
        <v>7.8</v>
      </c>
      <c r="BY28" s="13">
        <f>IF('Données projet'!$A$114&gt;35,BY27+BX28-CG27,IF(A28&lt;'Données projet'!$A$114,$BV$205^A28,IF(A28='Données projet'!$A$114,'Données projet'!$B$114,BY27+BX28-CG27)))</f>
        <v>53.999999999999993</v>
      </c>
      <c r="BZ28" s="14">
        <f>BY28*VLOOKUP('Données projet'!$B$12,Paramètres!$A$1:$I$89,3,0)*VLOOKUP('Données projet'!$B$12,Paramètres!$A$1:$I$89,5,0)</f>
        <v>47.174399999999999</v>
      </c>
      <c r="CA28" s="14">
        <f t="shared" si="39"/>
        <v>13.881584044427933</v>
      </c>
      <c r="CB28" s="22">
        <f t="shared" si="10"/>
        <v>106.33917221071198</v>
      </c>
      <c r="CC28" s="62">
        <f t="shared" si="11"/>
        <v>393.56139443293421</v>
      </c>
      <c r="CD28" s="62">
        <f ca="1">AVERAGE(OFFSET($CC$3,0,0,'Données projet'!$E$12+1,1))-AVERAGE(OFFSET($H$3,0,0,'Données projet'!$E$12+1,1))</f>
        <v>195.30963433439501</v>
      </c>
      <c r="CE28" s="62">
        <f t="shared" si="40"/>
        <v>185.00219255324504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28.548000000000002</v>
      </c>
      <c r="CV28" s="14">
        <f t="shared" si="41"/>
        <v>8.9063291829603273</v>
      </c>
      <c r="CW28" s="22">
        <f t="shared" si="13"/>
        <v>65.232956660322571</v>
      </c>
      <c r="CX28" s="62">
        <f t="shared" si="14"/>
        <v>352.45517888254483</v>
      </c>
      <c r="CY28" s="62">
        <f ca="1">AVERAGE(OFFSET($CX$3,0,0,'Données projet'!$E$13+1,1))-AVERAGE(OFFSET($H$3,0,0,'Données projet'!$E$13+1,1))</f>
        <v>293.996396026019</v>
      </c>
      <c r="CZ28" s="62">
        <f t="shared" si="42"/>
        <v>152.23954167722536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562.57433784778345</v>
      </c>
      <c r="S29" s="62">
        <f ca="1">AVERAGE(OFFSET($R$3,0,0,'Données projet'!$E$9+1,1))-AVERAGE(OFFSET($H$3,0,0,'Données projet'!$E$9+1,1))</f>
        <v>195.80903373714432</v>
      </c>
      <c r="T29" s="62">
        <f t="shared" si="34"/>
        <v>388.30721786668977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9.4342449999667561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9.0323316957797637</v>
      </c>
      <c r="AC29" s="24">
        <f t="shared" si="3"/>
        <v>18.466576695746518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14.8</v>
      </c>
      <c r="AI29" s="14">
        <f>IF('Données projet'!$A$62&gt;35,AI28+AH29-AQ28,IF(A29&lt;'Données projet'!$A$62,$AF$205^A29,IF(A29='Données projet'!$A$62,'Données projet'!$B$62,AI28+AH29-AQ28)))</f>
        <v>144.79999999999998</v>
      </c>
      <c r="AJ29" s="14">
        <f>AI29*VLOOKUP('Données projet'!$B$10,Paramètres!$A$1:$I$89,3,0)*VLOOKUP('Données projet'!$B$10,Paramètres!$A$1:$I$89,5,0)</f>
        <v>126.49727999999999</v>
      </c>
      <c r="AK29" s="14">
        <f t="shared" si="35"/>
        <v>33.185701456959592</v>
      </c>
      <c r="AL29" s="22">
        <f t="shared" si="4"/>
        <v>278.11452603753787</v>
      </c>
      <c r="AM29" s="62">
        <f t="shared" si="5"/>
        <v>566.55897048198233</v>
      </c>
      <c r="AN29" s="62">
        <f ca="1">AVERAGE(OFFSET($AM$3,0,0,'Données projet'!$E$10+1,1))-AVERAGE(OFFSET($H$3,0,0,'Données projet'!$E$10+1,1))</f>
        <v>303.33040062722074</v>
      </c>
      <c r="AO29" s="62">
        <f t="shared" si="36"/>
        <v>425.30058672361548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4.2340957369772712</v>
      </c>
      <c r="AV29" s="23">
        <f>EXP(-LN(2)/25)*AV28+(1-EXP(-LN(2)/25))/(LN(2)/25)*Calculateur!AQ29*Calculateur!AS29*VLOOKUP('Données projet'!$B$10,Paramètres!$A$1:$I$89,3,0)*0.475*44/12</f>
        <v>20.239004730925206</v>
      </c>
      <c r="AW29" s="23">
        <f>EXP(-LN(2)/2)*AW28+(1-EXP(-LN(2)/2))/(LN(2)/2)*AQ29*AT29*VLOOKUP('Données projet'!$B$10,Paramètres!$A$1:$I$89,3,0)*0.475*44/12</f>
        <v>4.7405967292741744</v>
      </c>
      <c r="AX29" s="23">
        <f t="shared" si="6"/>
        <v>29.21369719717665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</v>
      </c>
      <c r="BD29" s="13">
        <f>IF('Données projet'!$A$88&gt;35,BD28+BC29-BL28,IF(A29&lt;'Données projet'!$A$88,$BA$205^A29,IF(A29='Données projet'!$A$88,'Données projet'!$B$88,BD28+BC29-BL28)))</f>
        <v>96.537636780206071</v>
      </c>
      <c r="BE29" s="14">
        <f>BD29*VLOOKUP('Données projet'!$B$11,Paramètres!$A$1:$I$89,3,0)*VLOOKUP('Données projet'!$B$11,Paramètres!$A$1:$I$89,5,0)</f>
        <v>45.179614013136444</v>
      </c>
      <c r="BF29" s="14">
        <f t="shared" si="37"/>
        <v>13.361624794271938</v>
      </c>
      <c r="BG29" s="22">
        <f t="shared" si="7"/>
        <v>101.95932425623626</v>
      </c>
      <c r="BH29" s="62">
        <f t="shared" si="8"/>
        <v>390.4037687006807</v>
      </c>
      <c r="BI29" s="62">
        <f ca="1">AVERAGE(OFFSET($BH$3,0,0,'Données projet'!$E$11+1,1))-AVERAGE(OFFSET($H$3,0,0,'Données projet'!$E$11+1,1))</f>
        <v>317.54276561627643</v>
      </c>
      <c r="BJ29" s="62">
        <f t="shared" si="38"/>
        <v>238.92443174298893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7.2</v>
      </c>
      <c r="BY29" s="13">
        <f>IF('Données projet'!$A$114&gt;35,BY28+BX29-CG28,IF(A29&lt;'Données projet'!$A$114,$BV$205^A29,IF(A29='Données projet'!$A$114,'Données projet'!$B$114,BY28+BX29-CG28)))</f>
        <v>47.199999999999996</v>
      </c>
      <c r="BZ29" s="14">
        <f>BY29*VLOOKUP('Données projet'!$B$12,Paramètres!$A$1:$I$89,3,0)*VLOOKUP('Données projet'!$B$12,Paramètres!$A$1:$I$89,5,0)</f>
        <v>41.233919999999998</v>
      </c>
      <c r="CA29" s="14">
        <f t="shared" si="39"/>
        <v>12.325116999638462</v>
      </c>
      <c r="CB29" s="22">
        <f t="shared" si="10"/>
        <v>93.28198944103697</v>
      </c>
      <c r="CC29" s="62">
        <f t="shared" si="11"/>
        <v>381.72643388548141</v>
      </c>
      <c r="CD29" s="62">
        <f ca="1">AVERAGE(OFFSET($CC$3,0,0,'Données projet'!$E$12+1,1))-AVERAGE(OFFSET($H$3,0,0,'Données projet'!$E$12+1,1))</f>
        <v>195.30963433439501</v>
      </c>
      <c r="CE29" s="62">
        <f t="shared" si="40"/>
        <v>185.00219255324504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33.115679999999998</v>
      </c>
      <c r="CV29" s="14">
        <f t="shared" si="41"/>
        <v>10.154389597618938</v>
      </c>
      <c r="CW29" s="22">
        <f t="shared" si="13"/>
        <v>75.36203788251963</v>
      </c>
      <c r="CX29" s="62">
        <f t="shared" si="14"/>
        <v>363.8064823269641</v>
      </c>
      <c r="CY29" s="62">
        <f ca="1">AVERAGE(OFFSET($CX$3,0,0,'Données projet'!$E$13+1,1))-AVERAGE(OFFSET($H$3,0,0,'Données projet'!$E$13+1,1))</f>
        <v>293.996396026019</v>
      </c>
      <c r="CZ29" s="62">
        <f t="shared" si="42"/>
        <v>152.23954167722536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583.2152592785352</v>
      </c>
      <c r="S30" s="62">
        <f ca="1">AVERAGE(OFFSET($R$3,0,0,'Données projet'!$E$9+1,1))-AVERAGE(OFFSET($H$3,0,0,'Données projet'!$E$9+1,1))</f>
        <v>195.80903373714432</v>
      </c>
      <c r="T30" s="62">
        <f t="shared" si="34"/>
        <v>388.30721786668977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9.2492452098386657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6.3868229920120596</v>
      </c>
      <c r="AC30" s="24">
        <f t="shared" si="3"/>
        <v>15.636068201850726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14.8</v>
      </c>
      <c r="AI30" s="14">
        <f>IF('Données projet'!$A$62&gt;35,AI29+AH30-AQ29,IF(A30&lt;'Données projet'!$A$62,$AF$205^A30,IF(A30='Données projet'!$A$62,'Données projet'!$B$62,AI29+AH30-AQ29)))</f>
        <v>159.6</v>
      </c>
      <c r="AJ30" s="14">
        <f>AI30*VLOOKUP('Données projet'!$B$10,Paramètres!$A$1:$I$89,3,0)*VLOOKUP('Données projet'!$B$10,Paramètres!$A$1:$I$89,5,0)</f>
        <v>139.42656000000002</v>
      </c>
      <c r="AK30" s="14">
        <f t="shared" si="35"/>
        <v>36.165607079455818</v>
      </c>
      <c r="AL30" s="22">
        <f t="shared" si="4"/>
        <v>305.82302433005219</v>
      </c>
      <c r="AM30" s="62">
        <f t="shared" si="5"/>
        <v>595.48969099671888</v>
      </c>
      <c r="AN30" s="62">
        <f ca="1">AVERAGE(OFFSET($AM$3,0,0,'Données projet'!$E$10+1,1))-AVERAGE(OFFSET($H$3,0,0,'Données projet'!$E$10+1,1))</f>
        <v>303.33040062722074</v>
      </c>
      <c r="AO30" s="62">
        <f t="shared" si="36"/>
        <v>425.30058672361548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4.1510677021185414</v>
      </c>
      <c r="AV30" s="23">
        <f>EXP(-LN(2)/25)*AV29+(1-EXP(-LN(2)/25))/(LN(2)/25)*Calculateur!AQ30*Calculateur!AS30*VLOOKUP('Données projet'!$B$10,Paramètres!$A$1:$I$89,3,0)*0.475*44/12</f>
        <v>19.685568082235054</v>
      </c>
      <c r="AW30" s="23">
        <f>EXP(-LN(2)/2)*AW29+(1-EXP(-LN(2)/2))/(LN(2)/2)*AQ30*AT30*VLOOKUP('Données projet'!$B$10,Paramètres!$A$1:$I$89,3,0)*0.475*44/12</f>
        <v>3.3521080941405366</v>
      </c>
      <c r="AX30" s="23">
        <f t="shared" si="6"/>
        <v>27.188743878494133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</v>
      </c>
      <c r="BD30" s="13">
        <f>IF('Données projet'!$A$88&gt;35,BD29+BC30-BL29,IF(A30&lt;'Données projet'!$A$88,$BA$205^A30,IF(A30='Données projet'!$A$88,'Données projet'!$B$88,BD29+BC30-BL29)))</f>
        <v>115.08829342671002</v>
      </c>
      <c r="BE30" s="14">
        <f>BD30*VLOOKUP('Données projet'!$B$11,Paramètres!$A$1:$I$89,3,0)*VLOOKUP('Données projet'!$B$11,Paramètres!$A$1:$I$89,5,0)</f>
        <v>53.861321323700288</v>
      </c>
      <c r="BF30" s="14">
        <f t="shared" si="37"/>
        <v>15.606604510459258</v>
      </c>
      <c r="BG30" s="22">
        <f t="shared" si="7"/>
        <v>120.98997082782786</v>
      </c>
      <c r="BH30" s="62">
        <f t="shared" si="8"/>
        <v>410.65663749449453</v>
      </c>
      <c r="BI30" s="62">
        <f ca="1">AVERAGE(OFFSET($BH$3,0,0,'Données projet'!$E$11+1,1))-AVERAGE(OFFSET($H$3,0,0,'Données projet'!$E$11+1,1))</f>
        <v>317.54276561627643</v>
      </c>
      <c r="BJ30" s="62">
        <f t="shared" si="38"/>
        <v>238.92443174298893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7.2</v>
      </c>
      <c r="BY30" s="13">
        <f>IF('Données projet'!$A$114&gt;35,BY29+BX30-CG29,IF(A30&lt;'Données projet'!$A$114,$BV$205^A30,IF(A30='Données projet'!$A$114,'Données projet'!$B$114,BY29+BX30-CG29)))</f>
        <v>54.4</v>
      </c>
      <c r="BZ30" s="14">
        <f>BY30*VLOOKUP('Données projet'!$B$12,Paramètres!$A$1:$I$89,3,0)*VLOOKUP('Données projet'!$B$12,Paramètres!$A$1:$I$89,5,0)</f>
        <v>47.523840000000007</v>
      </c>
      <c r="CA30" s="14">
        <f t="shared" si="39"/>
        <v>13.972402520519896</v>
      </c>
      <c r="CB30" s="22">
        <f t="shared" si="10"/>
        <v>107.10595572323882</v>
      </c>
      <c r="CC30" s="62">
        <f t="shared" si="11"/>
        <v>396.77262238990551</v>
      </c>
      <c r="CD30" s="62">
        <f ca="1">AVERAGE(OFFSET($CC$3,0,0,'Données projet'!$E$12+1,1))-AVERAGE(OFFSET($H$3,0,0,'Données projet'!$E$12+1,1))</f>
        <v>195.30963433439501</v>
      </c>
      <c r="CE30" s="62">
        <f t="shared" si="40"/>
        <v>185.00219255324504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37.683359999999993</v>
      </c>
      <c r="CV30" s="14">
        <f t="shared" si="41"/>
        <v>11.382505490682499</v>
      </c>
      <c r="CW30" s="22">
        <f t="shared" si="13"/>
        <v>85.456382396271991</v>
      </c>
      <c r="CX30" s="62">
        <f t="shared" si="14"/>
        <v>375.12304906293866</v>
      </c>
      <c r="CY30" s="62">
        <f ca="1">AVERAGE(OFFSET($CX$3,0,0,'Données projet'!$E$13+1,1))-AVERAGE(OFFSET($H$3,0,0,'Données projet'!$E$13+1,1))</f>
        <v>293.996396026019</v>
      </c>
      <c r="CZ30" s="62">
        <f t="shared" si="42"/>
        <v>152.23954167722536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603.82751655516552</v>
      </c>
      <c r="S31" s="62">
        <f ca="1">AVERAGE(OFFSET($R$3,0,0,'Données projet'!$E$9+1,1))-AVERAGE(OFFSET($H$3,0,0,'Données projet'!$E$9+1,1))</f>
        <v>195.80903373714432</v>
      </c>
      <c r="T31" s="62">
        <f t="shared" si="34"/>
        <v>388.30721786668977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9.0678731527562579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4.5161658478898827</v>
      </c>
      <c r="AC31" s="24">
        <f t="shared" si="3"/>
        <v>13.58403900064614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14.8</v>
      </c>
      <c r="AI31" s="14">
        <f>IF('Données projet'!$A$62&gt;35,AI30+AH31-AQ30,IF(A31&lt;'Données projet'!$A$62,$AF$205^A31,IF(A31='Données projet'!$A$62,'Données projet'!$B$62,AI30+AH31-AQ30)))</f>
        <v>174.4</v>
      </c>
      <c r="AJ31" s="14">
        <f>AI31*VLOOKUP('Données projet'!$B$10,Paramètres!$A$1:$I$89,3,0)*VLOOKUP('Données projet'!$B$10,Paramètres!$A$1:$I$89,5,0)</f>
        <v>152.35584000000003</v>
      </c>
      <c r="AK31" s="14">
        <f t="shared" si="35"/>
        <v>39.11347218476763</v>
      </c>
      <c r="AL31" s="22">
        <f t="shared" si="4"/>
        <v>333.47571872180367</v>
      </c>
      <c r="AM31" s="62">
        <f t="shared" si="5"/>
        <v>624.36460761069247</v>
      </c>
      <c r="AN31" s="62">
        <f ca="1">AVERAGE(OFFSET($AM$3,0,0,'Données projet'!$E$10+1,1))-AVERAGE(OFFSET($H$3,0,0,'Données projet'!$E$10+1,1))</f>
        <v>303.33040062722074</v>
      </c>
      <c r="AO31" s="62">
        <f t="shared" si="36"/>
        <v>425.30058672361548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4.0696677963812906</v>
      </c>
      <c r="AV31" s="23">
        <f>EXP(-LN(2)/25)*AV30+(1-EXP(-LN(2)/25))/(LN(2)/25)*Calculateur!AQ31*Calculateur!AS31*VLOOKUP('Données projet'!$B$10,Paramètres!$A$1:$I$89,3,0)*0.475*44/12</f>
        <v>19.147265187807303</v>
      </c>
      <c r="AW31" s="23">
        <f>EXP(-LN(2)/2)*AW30+(1-EXP(-LN(2)/2))/(LN(2)/2)*AQ31*AT31*VLOOKUP('Données projet'!$B$10,Paramètres!$A$1:$I$89,3,0)*0.475*44/12</f>
        <v>2.3702983646370872</v>
      </c>
      <c r="AX31" s="23">
        <f t="shared" si="6"/>
        <v>25.587231348825682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</v>
      </c>
      <c r="BD31" s="13">
        <f>IF('Données projet'!$A$88&gt;35,BD30+BC31-BL30,IF(A31&lt;'Données projet'!$A$88,$BA$205^A31,IF(A31='Données projet'!$A$88,'Données projet'!$B$88,BD30+BC31-BL30)))</f>
        <v>137.20364124956808</v>
      </c>
      <c r="BE31" s="14">
        <f>BD31*VLOOKUP('Données projet'!$B$11,Paramètres!$A$1:$I$89,3,0)*VLOOKUP('Données projet'!$B$11,Paramètres!$A$1:$I$89,5,0)</f>
        <v>64.211304104797861</v>
      </c>
      <c r="BF31" s="14">
        <f t="shared" si="37"/>
        <v>18.228778916940001</v>
      </c>
      <c r="BG31" s="22">
        <f t="shared" si="7"/>
        <v>143.58314459619342</v>
      </c>
      <c r="BH31" s="62">
        <f t="shared" si="8"/>
        <v>434.47203348508231</v>
      </c>
      <c r="BI31" s="62">
        <f ca="1">AVERAGE(OFFSET($BH$3,0,0,'Données projet'!$E$11+1,1))-AVERAGE(OFFSET($H$3,0,0,'Données projet'!$E$11+1,1))</f>
        <v>317.54276561627643</v>
      </c>
      <c r="BJ31" s="62">
        <f t="shared" si="38"/>
        <v>238.92443174298893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7.2</v>
      </c>
      <c r="BY31" s="13">
        <f>IF('Données projet'!$A$114&gt;35,BY30+BX31-CG30,IF(A31&lt;'Données projet'!$A$114,$BV$205^A31,IF(A31='Données projet'!$A$114,'Données projet'!$B$114,BY30+BX31-CG30)))</f>
        <v>61.6</v>
      </c>
      <c r="BZ31" s="14">
        <f>BY31*VLOOKUP('Données projet'!$B$12,Paramètres!$A$1:$I$89,3,0)*VLOOKUP('Données projet'!$B$12,Paramètres!$A$1:$I$89,5,0)</f>
        <v>53.813760000000002</v>
      </c>
      <c r="CA31" s="14">
        <f t="shared" si="39"/>
        <v>15.594426863248383</v>
      </c>
      <c r="CB31" s="22">
        <f t="shared" si="10"/>
        <v>120.88592545349094</v>
      </c>
      <c r="CC31" s="62">
        <f t="shared" si="11"/>
        <v>411.77481434237978</v>
      </c>
      <c r="CD31" s="62">
        <f ca="1">AVERAGE(OFFSET($CC$3,0,0,'Données projet'!$E$12+1,1))-AVERAGE(OFFSET($H$3,0,0,'Données projet'!$E$12+1,1))</f>
        <v>195.30963433439501</v>
      </c>
      <c r="CE31" s="62">
        <f t="shared" si="40"/>
        <v>185.00219255324504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42.251039999999989</v>
      </c>
      <c r="CV31" s="14">
        <f t="shared" si="41"/>
        <v>12.593370905616945</v>
      </c>
      <c r="CW31" s="22">
        <f t="shared" si="13"/>
        <v>95.520682327282813</v>
      </c>
      <c r="CX31" s="62">
        <f t="shared" si="14"/>
        <v>386.40957121617168</v>
      </c>
      <c r="CY31" s="62">
        <f ca="1">AVERAGE(OFFSET($CX$3,0,0,'Données projet'!$E$13+1,1))-AVERAGE(OFFSET($H$3,0,0,'Données projet'!$E$13+1,1))</f>
        <v>293.996396026019</v>
      </c>
      <c r="CZ31" s="62">
        <f t="shared" si="42"/>
        <v>152.23954167722536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624.4131349675331</v>
      </c>
      <c r="S32" s="62">
        <f ca="1">AVERAGE(OFFSET($R$3,0,0,'Données projet'!$E$9+1,1))-AVERAGE(OFFSET($H$3,0,0,'Données projet'!$E$9+1,1))</f>
        <v>195.80903373714432</v>
      </c>
      <c r="T32" s="62">
        <f t="shared" si="34"/>
        <v>388.30721786668977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8.890057691087204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3.1934114960060302</v>
      </c>
      <c r="AC32" s="24">
        <f t="shared" si="3"/>
        <v>12.083469187093234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14.8</v>
      </c>
      <c r="AI32" s="14">
        <f>IF('Données projet'!$A$62&gt;35,AI31+AH32-AQ31,IF(A32&lt;'Données projet'!$A$62,$AF$205^A32,IF(A32='Données projet'!$A$62,'Données projet'!$B$62,AI31+AH32-AQ31)))</f>
        <v>189.20000000000002</v>
      </c>
      <c r="AJ32" s="14">
        <f>AI32*VLOOKUP('Données projet'!$B$10,Paramètres!$A$1:$I$89,3,0)*VLOOKUP('Données projet'!$B$10,Paramètres!$A$1:$I$89,5,0)</f>
        <v>165.28512000000003</v>
      </c>
      <c r="AK32" s="14">
        <f t="shared" si="35"/>
        <v>42.032324946671778</v>
      </c>
      <c r="AL32" s="22">
        <f t="shared" si="4"/>
        <v>361.07788328212001</v>
      </c>
      <c r="AM32" s="62">
        <f t="shared" si="5"/>
        <v>653.18899439323116</v>
      </c>
      <c r="AN32" s="62">
        <f ca="1">AVERAGE(OFFSET($AM$3,0,0,'Données projet'!$E$10+1,1))-AVERAGE(OFFSET($H$3,0,0,'Données projet'!$E$10+1,1))</f>
        <v>303.33040062722074</v>
      </c>
      <c r="AO32" s="62">
        <f t="shared" si="36"/>
        <v>425.30058672361548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3.9898640931465073</v>
      </c>
      <c r="AV32" s="23">
        <f>EXP(-LN(2)/25)*AV31+(1-EXP(-LN(2)/25))/(LN(2)/25)*Calculateur!AQ32*Calculateur!AS32*VLOOKUP('Données projet'!$B$10,Paramètres!$A$1:$I$89,3,0)*0.475*44/12</f>
        <v>18.623682214335798</v>
      </c>
      <c r="AW32" s="23">
        <f>EXP(-LN(2)/2)*AW31+(1-EXP(-LN(2)/2))/(LN(2)/2)*AQ32*AT32*VLOOKUP('Données projet'!$B$10,Paramètres!$A$1:$I$89,3,0)*0.475*44/12</f>
        <v>1.6760540470702683</v>
      </c>
      <c r="AX32" s="23">
        <f t="shared" si="6"/>
        <v>24.289600354552576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</v>
      </c>
      <c r="BD32" s="13">
        <f>IF('Données projet'!$A$88&gt;35,BD31+BC32-BL31,IF(A32&lt;'Données projet'!$A$88,$BA$205^A32,IF(A32='Données projet'!$A$88,'Données projet'!$B$88,BD31+BC32-BL31)))</f>
        <v>163.5686707278193</v>
      </c>
      <c r="BE32" s="14">
        <f>BD32*VLOOKUP('Données projet'!$B$11,Paramètres!$A$1:$I$89,3,0)*VLOOKUP('Données projet'!$B$11,Paramètres!$A$1:$I$89,5,0)</f>
        <v>76.550137900619433</v>
      </c>
      <c r="BF32" s="14">
        <f t="shared" si="37"/>
        <v>21.291523122789648</v>
      </c>
      <c r="BG32" s="22">
        <f t="shared" si="7"/>
        <v>170.40755961577079</v>
      </c>
      <c r="BH32" s="62">
        <f t="shared" si="8"/>
        <v>462.51867072688196</v>
      </c>
      <c r="BI32" s="62">
        <f ca="1">AVERAGE(OFFSET($BH$3,0,0,'Données projet'!$E$11+1,1))-AVERAGE(OFFSET($H$3,0,0,'Données projet'!$E$11+1,1))</f>
        <v>317.54276561627643</v>
      </c>
      <c r="BJ32" s="62">
        <f t="shared" si="38"/>
        <v>238.92443174298893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7.2</v>
      </c>
      <c r="BY32" s="13">
        <f>IF('Données projet'!$A$114&gt;35,BY31+BX32-CG31,IF(A32&lt;'Données projet'!$A$114,$BV$205^A32,IF(A32='Données projet'!$A$114,'Données projet'!$B$114,BY31+BX32-CG31)))</f>
        <v>68.8</v>
      </c>
      <c r="BZ32" s="14">
        <f>BY32*VLOOKUP('Données projet'!$B$12,Paramètres!$A$1:$I$89,3,0)*VLOOKUP('Données projet'!$B$12,Paramètres!$A$1:$I$89,5,0)</f>
        <v>60.103679999999997</v>
      </c>
      <c r="CA32" s="14">
        <f t="shared" si="39"/>
        <v>17.194479934863121</v>
      </c>
      <c r="CB32" s="22">
        <f t="shared" si="10"/>
        <v>134.62762855321992</v>
      </c>
      <c r="CC32" s="62">
        <f t="shared" si="11"/>
        <v>426.73873966433109</v>
      </c>
      <c r="CD32" s="62">
        <f ca="1">AVERAGE(OFFSET($CC$3,0,0,'Données projet'!$E$12+1,1))-AVERAGE(OFFSET($H$3,0,0,'Données projet'!$E$12+1,1))</f>
        <v>195.30963433439501</v>
      </c>
      <c r="CE32" s="62">
        <f t="shared" si="40"/>
        <v>185.00219255324504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46.818719999999992</v>
      </c>
      <c r="CV32" s="14">
        <f t="shared" si="41"/>
        <v>13.789063354733791</v>
      </c>
      <c r="CW32" s="22">
        <f t="shared" si="13"/>
        <v>105.55855600949467</v>
      </c>
      <c r="CX32" s="62">
        <f t="shared" si="14"/>
        <v>397.66966712060582</v>
      </c>
      <c r="CY32" s="62">
        <f ca="1">AVERAGE(OFFSET($CX$3,0,0,'Données projet'!$E$13+1,1))-AVERAGE(OFFSET($H$3,0,0,'Données projet'!$E$13+1,1))</f>
        <v>293.996396026019</v>
      </c>
      <c r="CZ32" s="62">
        <f t="shared" si="42"/>
        <v>152.23954167722536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195.80903373714432</v>
      </c>
      <c r="T33" s="62">
        <f t="shared" si="34"/>
        <v>388.30721786668977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8.7157290821647582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2.2580829239449414</v>
      </c>
      <c r="AC33" s="24">
        <f t="shared" si="3"/>
        <v>10.9738120061097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204</v>
      </c>
      <c r="AG33" s="13">
        <f>VLOOKUP(A33,'Données projet'!$A$61:$I$81,9,0)</f>
        <v>14.8</v>
      </c>
      <c r="AH33" s="13">
        <f t="array" ref="AH33">INDEX(AG:AG,MIN(IF(ISNUMBER(AG33:AG229),ROW(AG33:AG229),"")))</f>
        <v>14.8</v>
      </c>
      <c r="AI33" s="14">
        <f>IF('Données projet'!$A$62&gt;35,AI32+AH33-AQ32,IF(A33&lt;'Données projet'!$A$62,$AF$205^A33,IF(A33='Données projet'!$A$62,'Données projet'!$B$62,AI32+AH33-AQ32)))</f>
        <v>204.00000000000003</v>
      </c>
      <c r="AJ33" s="14">
        <f>AI33*VLOOKUP('Données projet'!$B$10,Paramètres!$A$1:$I$89,3,0)*VLOOKUP('Données projet'!$B$10,Paramètres!$A$1:$I$89,5,0)</f>
        <v>178.21440000000004</v>
      </c>
      <c r="AK33" s="14">
        <f t="shared" si="35"/>
        <v>44.924692855664368</v>
      </c>
      <c r="AL33" s="22">
        <f t="shared" si="4"/>
        <v>388.63392005694885</v>
      </c>
      <c r="AM33" s="62">
        <f t="shared" si="5"/>
        <v>681.96725339028217</v>
      </c>
      <c r="AN33" s="62">
        <f ca="1">AVERAGE(OFFSET($AM$3,0,0,'Données projet'!$E$10+1,1))-AVERAGE(OFFSET($H$3,0,0,'Données projet'!$E$10+1,1))</f>
        <v>303.33040062722074</v>
      </c>
      <c r="AO33" s="62">
        <f t="shared" si="36"/>
        <v>425.30058672361548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51</v>
      </c>
      <c r="AR33" s="17">
        <f>IF(ISNA(VLOOKUP(A33,'Données projet'!$A$61:$I$81,5,0)),0%,VLOOKUP(A33,'Données projet'!$A$61:$I$81,5,0)*VLOOKUP('Données projet'!$B$10,Paramètres!$A$1:$I$89,7,0))</f>
        <v>0.17200000000000001</v>
      </c>
      <c r="AS33" s="17">
        <f>IF(ISNA(VLOOKUP(A33,'Données projet'!$A$61:$I$81,6,0)),0%,VLOOKUP(A33,'Données projet'!$A$61:$I$81,6,0)*VLOOKUP('Données projet'!$B$10,Paramètres!$A$1:$I$89,7,0))</f>
        <v>0.25800000000000001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12.383087129324897</v>
      </c>
      <c r="AV33" s="23">
        <f>EXP(-LN(2)/25)*AV32+(1-EXP(-LN(2)/25))/(LN(2)/25)*Calculateur!AQ33*Calculateur!AS33*VLOOKUP('Données projet'!$B$10,Paramètres!$A$1:$I$89,3,0)*0.475*44/12</f>
        <v>30.771576341308986</v>
      </c>
      <c r="AW33" s="23">
        <f>EXP(-LN(2)/2)*AW32+(1-EXP(-LN(2)/2))/(LN(2)/2)*AQ33*AT33*VLOOKUP('Données projet'!$B$10,Paramètres!$A$1:$I$89,3,0)*0.475*44/12</f>
        <v>1.1851491823185436</v>
      </c>
      <c r="AX33" s="23">
        <f t="shared" si="6"/>
        <v>44.339812652952432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195</v>
      </c>
      <c r="BB33" s="13">
        <f>VLOOKUP(A33,'Données projet'!$A$87:$I$107,9,0)</f>
        <v>6.5</v>
      </c>
      <c r="BC33" s="13">
        <f t="array" ref="BC33">INDEX(BB:BB,MIN(IF(ISNUMBER(BB33:BB229),ROW(BB33:BB229),"")))</f>
        <v>6.5</v>
      </c>
      <c r="BD33" s="13">
        <f>IF('Données projet'!$A$88&gt;35,BD32+BC33-BL32,IF(A33&lt;'Données projet'!$A$88,$BA$205^A33,IF(A33='Données projet'!$A$88,'Données projet'!$B$88,BD32+BC33-BL32)))</f>
        <v>195</v>
      </c>
      <c r="BE33" s="14">
        <f>BD33*VLOOKUP('Données projet'!$B$11,Paramètres!$A$1:$I$89,3,0)*VLOOKUP('Données projet'!$B$11,Paramètres!$A$1:$I$89,5,0)</f>
        <v>91.26</v>
      </c>
      <c r="BF33" s="14">
        <f t="shared" si="37"/>
        <v>24.868860330902777</v>
      </c>
      <c r="BG33" s="22">
        <f t="shared" si="7"/>
        <v>202.25776507632233</v>
      </c>
      <c r="BH33" s="62">
        <f t="shared" si="8"/>
        <v>495.59109840965561</v>
      </c>
      <c r="BI33" s="62">
        <f ca="1">AVERAGE(OFFSET($BH$3,0,0,'Données projet'!$E$11+1,1))-AVERAGE(OFFSET($H$3,0,0,'Données projet'!$E$11+1,1))</f>
        <v>317.54276561627643</v>
      </c>
      <c r="BJ33" s="62">
        <f t="shared" si="38"/>
        <v>238.92443174298893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76</v>
      </c>
      <c r="BW33" s="13">
        <f>VLOOKUP(A33,'Données projet'!$A$113:$I$133,9,0)</f>
        <v>7.2</v>
      </c>
      <c r="BX33" s="13">
        <f t="array" ref="BX33">INDEX(BW:BW,MIN(IF(ISNUMBER(BW33:BW229),ROW(BW33:BW229),"")))</f>
        <v>7.2</v>
      </c>
      <c r="BY33" s="13">
        <f>IF('Données projet'!$A$114&gt;35,BY32+BX33-CG32,IF(A33&lt;'Données projet'!$A$114,$BV$205^A33,IF(A33='Données projet'!$A$114,'Données projet'!$B$114,BY32+BX33-CG32)))</f>
        <v>76</v>
      </c>
      <c r="BZ33" s="14">
        <f>BY33*VLOOKUP('Données projet'!$B$12,Paramètres!$A$1:$I$89,3,0)*VLOOKUP('Données projet'!$B$12,Paramètres!$A$1:$I$89,5,0)</f>
        <v>66.393600000000006</v>
      </c>
      <c r="CA33" s="14">
        <f t="shared" si="39"/>
        <v>18.775122997078544</v>
      </c>
      <c r="CB33" s="22">
        <f t="shared" si="10"/>
        <v>148.33552588657844</v>
      </c>
      <c r="CC33" s="62">
        <f t="shared" si="11"/>
        <v>441.66885921991172</v>
      </c>
      <c r="CD33" s="62">
        <f ca="1">AVERAGE(OFFSET($CC$3,0,0,'Données projet'!$E$12+1,1))-AVERAGE(OFFSET($H$3,0,0,'Données projet'!$E$12+1,1))</f>
        <v>195.30963433439501</v>
      </c>
      <c r="CE33" s="62">
        <f t="shared" si="40"/>
        <v>185.00219255324504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14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51.386399999999988</v>
      </c>
      <c r="CV33" s="14">
        <f t="shared" si="41"/>
        <v>14.971231585009825</v>
      </c>
      <c r="CW33" s="22">
        <f t="shared" si="13"/>
        <v>115.57287501055875</v>
      </c>
      <c r="CX33" s="62">
        <f t="shared" si="14"/>
        <v>408.90620834389205</v>
      </c>
      <c r="CY33" s="62">
        <f ca="1">AVERAGE(OFFSET($CX$3,0,0,'Données projet'!$E$13+1,1))-AVERAGE(OFFSET($H$3,0,0,'Données projet'!$E$13+1,1))</f>
        <v>293.996396026019</v>
      </c>
      <c r="CZ33" s="62">
        <f t="shared" si="42"/>
        <v>152.23954167722536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195.80903373714432</v>
      </c>
      <c r="T34" s="62">
        <f t="shared" si="34"/>
        <v>388.30721786668977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8.5448189509333297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1.5967057480030151</v>
      </c>
      <c r="AC34" s="24">
        <f t="shared" si="3"/>
        <v>10.141524698936344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13.6</v>
      </c>
      <c r="AI34" s="14">
        <f>IF('Données projet'!$A$62&gt;35,AI33+AH34-AQ33,IF(A34&lt;'Données projet'!$A$62,$AF$205^A34,IF(A34='Données projet'!$A$62,'Données projet'!$B$62,AI33+AH34-AQ33)))</f>
        <v>166.60000000000002</v>
      </c>
      <c r="AJ34" s="14">
        <f>AI34*VLOOKUP('Données projet'!$B$10,Paramètres!$A$1:$I$89,3,0)*VLOOKUP('Données projet'!$B$10,Paramètres!$A$1:$I$89,5,0)</f>
        <v>145.54176000000004</v>
      </c>
      <c r="AK34" s="14">
        <f t="shared" si="35"/>
        <v>37.563662342876064</v>
      </c>
      <c r="AL34" s="22">
        <f t="shared" si="4"/>
        <v>318.90861058050916</v>
      </c>
      <c r="AM34" s="62">
        <f t="shared" si="5"/>
        <v>612.24194391384253</v>
      </c>
      <c r="AN34" s="62">
        <f ca="1">AVERAGE(OFFSET($AM$3,0,0,'Données projet'!$E$10+1,1))-AVERAGE(OFFSET($H$3,0,0,'Données projet'!$E$10+1,1))</f>
        <v>303.33040062722074</v>
      </c>
      <c r="AO34" s="62">
        <f t="shared" si="36"/>
        <v>425.30058672361548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12.140262343656195</v>
      </c>
      <c r="AV34" s="23">
        <f>EXP(-LN(2)/25)*AV33+(1-EXP(-LN(2)/25))/(LN(2)/25)*Calculateur!AQ34*Calculateur!AS34*VLOOKUP('Données projet'!$B$10,Paramètres!$A$1:$I$89,3,0)*0.475*44/12</f>
        <v>29.930125968049023</v>
      </c>
      <c r="AW34" s="23">
        <f>EXP(-LN(2)/2)*AW33+(1-EXP(-LN(2)/2))/(LN(2)/2)*AQ34*AT34*VLOOKUP('Données projet'!$B$10,Paramètres!$A$1:$I$89,3,0)*0.475*44/12</f>
        <v>0.83802702353513414</v>
      </c>
      <c r="AX34" s="23">
        <f t="shared" si="6"/>
        <v>42.908415335240349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17</v>
      </c>
      <c r="BD34" s="13">
        <f>IF('Données projet'!$A$88&gt;35,BD33+BC34-BL33,IF(A34&lt;'Données projet'!$A$88,$BA$205^A34,IF(A34='Données projet'!$A$88,'Données projet'!$B$88,BD33+BC34-BL33)))</f>
        <v>212</v>
      </c>
      <c r="BE34" s="14">
        <f>BD34*VLOOKUP('Données projet'!$B$11,Paramètres!$A$1:$I$89,3,0)*VLOOKUP('Données projet'!$B$11,Paramètres!$A$1:$I$89,5,0)</f>
        <v>99.215999999999994</v>
      </c>
      <c r="BF34" s="14">
        <f t="shared" si="37"/>
        <v>26.775134885576414</v>
      </c>
      <c r="BG34" s="22">
        <f t="shared" si="7"/>
        <v>219.43455992571219</v>
      </c>
      <c r="BH34" s="62">
        <f t="shared" si="8"/>
        <v>512.76789325904554</v>
      </c>
      <c r="BI34" s="62">
        <f ca="1">AVERAGE(OFFSET($BH$3,0,0,'Données projet'!$E$11+1,1))-AVERAGE(OFFSET($H$3,0,0,'Données projet'!$E$11+1,1))</f>
        <v>317.54276561627643</v>
      </c>
      <c r="BJ34" s="62">
        <f t="shared" si="38"/>
        <v>238.92443174298893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6.6</v>
      </c>
      <c r="BY34" s="13">
        <f>IF('Données projet'!$A$114&gt;35,BY33+BX34-CG33,IF(A34&lt;'Données projet'!$A$114,$BV$205^A34,IF(A34='Données projet'!$A$114,'Données projet'!$B$114,BY33+BX34-CG33)))</f>
        <v>68.599999999999994</v>
      </c>
      <c r="BZ34" s="14">
        <f>BY34*VLOOKUP('Données projet'!$B$12,Paramètres!$A$1:$I$89,3,0)*VLOOKUP('Données projet'!$B$12,Paramètres!$A$1:$I$89,5,0)</f>
        <v>59.928960000000011</v>
      </c>
      <c r="CA34" s="14">
        <f t="shared" si="39"/>
        <v>17.150306633391633</v>
      </c>
      <c r="CB34" s="22">
        <f t="shared" si="10"/>
        <v>134.24638938649042</v>
      </c>
      <c r="CC34" s="62">
        <f t="shared" si="11"/>
        <v>427.57972271982374</v>
      </c>
      <c r="CD34" s="62">
        <f ca="1">AVERAGE(OFFSET($CC$3,0,0,'Données projet'!$E$12+1,1))-AVERAGE(OFFSET($H$3,0,0,'Données projet'!$E$12+1,1))</f>
        <v>195.30963433439501</v>
      </c>
      <c r="CE34" s="62">
        <f t="shared" si="40"/>
        <v>185.00219255324504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</v>
      </c>
      <c r="CT34" s="13">
        <f>IF('Données projet'!$A$140&gt;35,CT33+CS34-DB33,IF(A34&lt;'Données projet'!$A$140,$CQ$205^A34,IF(A34='Données projet'!$A$140,'Données projet'!$B$140,CT33+CS34-DB33)))</f>
        <v>58.999999999999986</v>
      </c>
      <c r="CU34" s="18">
        <f>CT34*VLOOKUP('Données projet'!$B$13,Paramètres!$A$1:$I$89,3,0)*VLOOKUP('Données projet'!$B$13,Paramètres!$A$1:$I$89,5,0)</f>
        <v>56.144399999999983</v>
      </c>
      <c r="CV34" s="14">
        <f t="shared" si="41"/>
        <v>16.189716344887636</v>
      </c>
      <c r="CW34" s="22">
        <f t="shared" si="13"/>
        <v>125.98191930067928</v>
      </c>
      <c r="CX34" s="62">
        <f t="shared" si="14"/>
        <v>419.31525263401261</v>
      </c>
      <c r="CY34" s="62">
        <f ca="1">AVERAGE(OFFSET($CX$3,0,0,'Données projet'!$E$13+1,1))-AVERAGE(OFFSET($H$3,0,0,'Données projet'!$E$13+1,1))</f>
        <v>293.996396026019</v>
      </c>
      <c r="CZ34" s="62">
        <f t="shared" si="42"/>
        <v>152.23954167722536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195.80903373714432</v>
      </c>
      <c r="T35" s="62">
        <f t="shared" si="34"/>
        <v>388.30721786668977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8.3772602631304629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1.1290414619724707</v>
      </c>
      <c r="AC35" s="24">
        <f t="shared" si="3"/>
        <v>9.5063017251029329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13.6</v>
      </c>
      <c r="AI35" s="14">
        <f>IF('Données projet'!$A$62&gt;35,AI34+AH35-AQ34,IF(A35&lt;'Données projet'!$A$62,$AF$205^A35,IF(A35='Données projet'!$A$62,'Données projet'!$B$62,AI34+AH35-AQ34)))</f>
        <v>180.20000000000002</v>
      </c>
      <c r="AJ35" s="14">
        <f>AI35*VLOOKUP('Données projet'!$B$10,Paramètres!$A$1:$I$89,3,0)*VLOOKUP('Données projet'!$B$10,Paramètres!$A$1:$I$89,5,0)</f>
        <v>157.42272000000003</v>
      </c>
      <c r="AK35" s="14">
        <f t="shared" si="35"/>
        <v>40.260654441499831</v>
      </c>
      <c r="AL35" s="22">
        <f t="shared" si="4"/>
        <v>344.29854381894557</v>
      </c>
      <c r="AM35" s="62">
        <f t="shared" si="5"/>
        <v>637.63187715227889</v>
      </c>
      <c r="AN35" s="62">
        <f ca="1">AVERAGE(OFFSET($AM$3,0,0,'Données projet'!$E$10+1,1))-AVERAGE(OFFSET($H$3,0,0,'Données projet'!$E$10+1,1))</f>
        <v>303.33040062722074</v>
      </c>
      <c r="AO35" s="62">
        <f t="shared" si="36"/>
        <v>425.30058672361548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11.90219920392596</v>
      </c>
      <c r="AV35" s="23">
        <f>EXP(-LN(2)/25)*AV34+(1-EXP(-LN(2)/25))/(LN(2)/25)*Calculateur!AQ35*Calculateur!AS35*VLOOKUP('Données projet'!$B$10,Paramètres!$A$1:$I$89,3,0)*0.475*44/12</f>
        <v>29.111685099495805</v>
      </c>
      <c r="AW35" s="23">
        <f>EXP(-LN(2)/2)*AW34+(1-EXP(-LN(2)/2))/(LN(2)/2)*AQ35*AT35*VLOOKUP('Données projet'!$B$10,Paramètres!$A$1:$I$89,3,0)*0.475*44/12</f>
        <v>0.5925745911592718</v>
      </c>
      <c r="AX35" s="23">
        <f t="shared" si="6"/>
        <v>41.606458894581031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17</v>
      </c>
      <c r="BD35" s="13">
        <f>IF('Données projet'!$A$88&gt;35,BD34+BC35-BL34,IF(A35&lt;'Données projet'!$A$88,$BA$205^A35,IF(A35='Données projet'!$A$88,'Données projet'!$B$88,BD34+BC35-BL34)))</f>
        <v>229</v>
      </c>
      <c r="BE35" s="14">
        <f>BD35*VLOOKUP('Données projet'!$B$11,Paramètres!$A$1:$I$89,3,0)*VLOOKUP('Données projet'!$B$11,Paramètres!$A$1:$I$89,5,0)</f>
        <v>107.172</v>
      </c>
      <c r="BF35" s="14">
        <f t="shared" si="37"/>
        <v>28.663679082578788</v>
      </c>
      <c r="BG35" s="22">
        <f t="shared" si="7"/>
        <v>236.58047440215805</v>
      </c>
      <c r="BH35" s="62">
        <f t="shared" si="8"/>
        <v>529.91380773549133</v>
      </c>
      <c r="BI35" s="62">
        <f ca="1">AVERAGE(OFFSET($BH$3,0,0,'Données projet'!$E$11+1,1))-AVERAGE(OFFSET($H$3,0,0,'Données projet'!$E$11+1,1))</f>
        <v>317.54276561627643</v>
      </c>
      <c r="BJ35" s="62">
        <f t="shared" si="38"/>
        <v>238.92443174298893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6.6</v>
      </c>
      <c r="BY35" s="13">
        <f>IF('Données projet'!$A$114&gt;35,BY34+BX35-CG34,IF(A35&lt;'Données projet'!$A$114,$BV$205^A35,IF(A35='Données projet'!$A$114,'Données projet'!$B$114,BY34+BX35-CG34)))</f>
        <v>75.199999999999989</v>
      </c>
      <c r="BZ35" s="14">
        <f>BY35*VLOOKUP('Données projet'!$B$12,Paramètres!$A$1:$I$89,3,0)*VLOOKUP('Données projet'!$B$12,Paramètres!$A$1:$I$89,5,0)</f>
        <v>65.69471999999999</v>
      </c>
      <c r="CA35" s="14">
        <f t="shared" si="39"/>
        <v>18.60038718561951</v>
      </c>
      <c r="CB35" s="22">
        <f t="shared" si="10"/>
        <v>146.81397834828729</v>
      </c>
      <c r="CC35" s="62">
        <f t="shared" si="11"/>
        <v>440.14731168162064</v>
      </c>
      <c r="CD35" s="62">
        <f ca="1">AVERAGE(OFFSET($CC$3,0,0,'Données projet'!$E$12+1,1))-AVERAGE(OFFSET($H$3,0,0,'Données projet'!$E$12+1,1))</f>
        <v>195.30963433439501</v>
      </c>
      <c r="CE35" s="62">
        <f t="shared" si="40"/>
        <v>185.00219255324504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</v>
      </c>
      <c r="CT35" s="13">
        <f>IF('Données projet'!$A$140&gt;35,CT34+CS35-DB34,IF(A35&lt;'Données projet'!$A$140,$CQ$205^A35,IF(A35='Données projet'!$A$140,'Données projet'!$B$140,CT34+CS35-DB34)))</f>
        <v>63.999999999999986</v>
      </c>
      <c r="CU35" s="18">
        <f>CT35*VLOOKUP('Données projet'!$B$13,Paramètres!$A$1:$I$89,3,0)*VLOOKUP('Données projet'!$B$13,Paramètres!$A$1:$I$89,5,0)</f>
        <v>60.902399999999993</v>
      </c>
      <c r="CV35" s="14">
        <f t="shared" si="41"/>
        <v>17.396225443744882</v>
      </c>
      <c r="CW35" s="22">
        <f t="shared" si="13"/>
        <v>136.37010598118897</v>
      </c>
      <c r="CX35" s="62">
        <f t="shared" si="14"/>
        <v>429.70343931452226</v>
      </c>
      <c r="CY35" s="62">
        <f ca="1">AVERAGE(OFFSET($CX$3,0,0,'Données projet'!$E$13+1,1))-AVERAGE(OFFSET($H$3,0,0,'Données projet'!$E$13+1,1))</f>
        <v>293.996396026019</v>
      </c>
      <c r="CZ35" s="62">
        <f t="shared" si="42"/>
        <v>152.23954167722536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195.80903373714432</v>
      </c>
      <c r="T36" s="62">
        <f t="shared" si="34"/>
        <v>388.30721786668977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8.212987298994701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0.79835287400150756</v>
      </c>
      <c r="AC36" s="24">
        <f t="shared" si="3"/>
        <v>9.0113401729962082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13.6</v>
      </c>
      <c r="AI36" s="14">
        <f>IF('Données projet'!$A$62&gt;35,AI35+AH36-AQ35,IF(A36&lt;'Données projet'!$A$62,$AF$205^A36,IF(A36='Données projet'!$A$62,'Données projet'!$B$62,AI35+AH36-AQ35)))</f>
        <v>193.8</v>
      </c>
      <c r="AJ36" s="14">
        <f>AI36*VLOOKUP('Données projet'!$B$10,Paramètres!$A$1:$I$89,3,0)*VLOOKUP('Données projet'!$B$10,Paramètres!$A$1:$I$89,5,0)</f>
        <v>169.30368000000004</v>
      </c>
      <c r="AK36" s="14">
        <f t="shared" si="35"/>
        <v>42.934033834973256</v>
      </c>
      <c r="AL36" s="22">
        <f t="shared" si="4"/>
        <v>369.64735159591186</v>
      </c>
      <c r="AM36" s="62">
        <f t="shared" si="5"/>
        <v>662.98068492924517</v>
      </c>
      <c r="AN36" s="62">
        <f ca="1">AVERAGE(OFFSET($AM$3,0,0,'Données projet'!$E$10+1,1))-AVERAGE(OFFSET($H$3,0,0,'Données projet'!$E$10+1,1))</f>
        <v>303.33040062722074</v>
      </c>
      <c r="AO36" s="62">
        <f t="shared" si="36"/>
        <v>425.30058672361548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11.668804337161658</v>
      </c>
      <c r="AV36" s="23">
        <f>EXP(-LN(2)/25)*AV35+(1-EXP(-LN(2)/25))/(LN(2)/25)*Calculateur!AQ36*Calculateur!AS36*VLOOKUP('Données projet'!$B$10,Paramètres!$A$1:$I$89,3,0)*0.475*44/12</f>
        <v>28.315624539533108</v>
      </c>
      <c r="AW36" s="23">
        <f>EXP(-LN(2)/2)*AW35+(1-EXP(-LN(2)/2))/(LN(2)/2)*AQ36*AT36*VLOOKUP('Données projet'!$B$10,Paramètres!$A$1:$I$89,3,0)*0.475*44/12</f>
        <v>0.41901351176756707</v>
      </c>
      <c r="AX36" s="23">
        <f t="shared" si="6"/>
        <v>40.403442388462331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17</v>
      </c>
      <c r="BD36" s="13">
        <f>IF('Données projet'!$A$88&gt;35,BD35+BC36-BL35,IF(A36&lt;'Données projet'!$A$88,$BA$205^A36,IF(A36='Données projet'!$A$88,'Données projet'!$B$88,BD35+BC36-BL35)))</f>
        <v>246</v>
      </c>
      <c r="BE36" s="14">
        <f>BD36*VLOOKUP('Données projet'!$B$11,Paramètres!$A$1:$I$89,3,0)*VLOOKUP('Données projet'!$B$11,Paramètres!$A$1:$I$89,5,0)</f>
        <v>115.128</v>
      </c>
      <c r="BF36" s="14">
        <f t="shared" si="37"/>
        <v>30.53595882135</v>
      </c>
      <c r="BG36" s="22">
        <f t="shared" si="7"/>
        <v>253.69806161385125</v>
      </c>
      <c r="BH36" s="62">
        <f t="shared" si="8"/>
        <v>547.03139494718459</v>
      </c>
      <c r="BI36" s="62">
        <f ca="1">AVERAGE(OFFSET($BH$3,0,0,'Données projet'!$E$11+1,1))-AVERAGE(OFFSET($H$3,0,0,'Données projet'!$E$11+1,1))</f>
        <v>317.54276561627643</v>
      </c>
      <c r="BJ36" s="62">
        <f t="shared" si="38"/>
        <v>238.92443174298893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6.6</v>
      </c>
      <c r="BY36" s="13">
        <f>IF('Données projet'!$A$114&gt;35,BY35+BX36-CG35,IF(A36&lt;'Données projet'!$A$114,$BV$205^A36,IF(A36='Données projet'!$A$114,'Données projet'!$B$114,BY35+BX36-CG35)))</f>
        <v>81.799999999999983</v>
      </c>
      <c r="BZ36" s="14">
        <f>BY36*VLOOKUP('Données projet'!$B$12,Paramètres!$A$1:$I$89,3,0)*VLOOKUP('Données projet'!$B$12,Paramètres!$A$1:$I$89,5,0)</f>
        <v>71.46047999999999</v>
      </c>
      <c r="CA36" s="14">
        <f t="shared" si="39"/>
        <v>20.035709203981977</v>
      </c>
      <c r="CB36" s="22">
        <f t="shared" si="10"/>
        <v>159.35586286360191</v>
      </c>
      <c r="CC36" s="62">
        <f t="shared" si="11"/>
        <v>452.6891961969352</v>
      </c>
      <c r="CD36" s="62">
        <f ca="1">AVERAGE(OFFSET($CC$3,0,0,'Données projet'!$E$12+1,1))-AVERAGE(OFFSET($H$3,0,0,'Données projet'!$E$12+1,1))</f>
        <v>195.30963433439501</v>
      </c>
      <c r="CE36" s="62">
        <f t="shared" si="40"/>
        <v>185.00219255324504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</v>
      </c>
      <c r="CT36" s="13">
        <f>IF('Données projet'!$A$140&gt;35,CT35+CS36-DB35,IF(A36&lt;'Données projet'!$A$140,$CQ$205^A36,IF(A36='Données projet'!$A$140,'Données projet'!$B$140,CT35+CS36-DB35)))</f>
        <v>68.999999999999986</v>
      </c>
      <c r="CU36" s="18">
        <f>CT36*VLOOKUP('Données projet'!$B$13,Paramètres!$A$1:$I$89,3,0)*VLOOKUP('Données projet'!$B$13,Paramètres!$A$1:$I$89,5,0)</f>
        <v>65.660399999999981</v>
      </c>
      <c r="CV36" s="14">
        <f t="shared" si="41"/>
        <v>18.591800852927584</v>
      </c>
      <c r="CW36" s="22">
        <f t="shared" si="13"/>
        <v>146.73924981884883</v>
      </c>
      <c r="CX36" s="62">
        <f t="shared" si="14"/>
        <v>440.07258315218212</v>
      </c>
      <c r="CY36" s="62">
        <f ca="1">AVERAGE(OFFSET($CX$3,0,0,'Données projet'!$E$13+1,1))-AVERAGE(OFFSET($H$3,0,0,'Données projet'!$E$13+1,1))</f>
        <v>293.996396026019</v>
      </c>
      <c r="CZ36" s="62">
        <f t="shared" si="42"/>
        <v>152.23954167722536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195.80903373714432</v>
      </c>
      <c r="T37" s="62">
        <f t="shared" si="34"/>
        <v>388.30721786668977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0.18000000000000002</v>
      </c>
      <c r="X37" s="17">
        <f>IF(ISNA(VLOOKUP(A37,'Données projet'!$A$35:$I$55,6,0)),0%,VLOOKUP(A37,'Données projet'!$A$35:$I$55,6,0)*VLOOKUP('Données projet'!$B$9,Paramètres!$A$1:$I$89,7,0))</f>
        <v>0.18000000000000002</v>
      </c>
      <c r="Y37" s="17">
        <f>IF(ISNA(VLOOKUP(A37,'Données projet'!$A$35:$I$55,7,0)),0%,VLOOKUP(A37,'Données projet'!$A$35:$I$55,7,0))</f>
        <v>0.2</v>
      </c>
      <c r="Z37" s="23">
        <f>EXP(-LN(2)/35)*Z36+(1-EXP(-LN(2)/35))/(LN(2)/35)*V37*W37*VLOOKUP('Données projet'!$B$9,Paramètres!$A$1:$I$89,3,0)*0.475*44/12</f>
        <v>54.45913997213048</v>
      </c>
      <c r="AA37" s="23">
        <f>EXP(-LN(2)/25)*AA36+(1-EXP(-LN(2)/25))/(LN(2)/25)*Calculateur!V37*Calculateur!X37*VLOOKUP('Données projet'!$B$9,Paramètres!$A$1:$I$89,3,0)*0.475*44/12</f>
        <v>46.224481498605449</v>
      </c>
      <c r="AB37" s="23">
        <f>EXP(-LN(2)/2)*AB36+(1-EXP(-LN(2)/2))/(LN(2)/2)*V37*Y37*VLOOKUP('Données projet'!$B$9,Paramètres!$A$1:$I$89,3,0)*0.475*44/12</f>
        <v>44.574390135839977</v>
      </c>
      <c r="AC37" s="24">
        <f t="shared" si="3"/>
        <v>145.25801160657591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13.6</v>
      </c>
      <c r="AI37" s="14">
        <f>IF('Données projet'!$A$62&gt;35,AI36+AH37-AQ36,IF(A37&lt;'Données projet'!$A$62,$AF$205^A37,IF(A37='Données projet'!$A$62,'Données projet'!$B$62,AI36+AH37-AQ36)))</f>
        <v>207.4</v>
      </c>
      <c r="AJ37" s="14">
        <f>AI37*VLOOKUP('Données projet'!$B$10,Paramètres!$A$1:$I$89,3,0)*VLOOKUP('Données projet'!$B$10,Paramètres!$A$1:$I$89,5,0)</f>
        <v>181.18464000000003</v>
      </c>
      <c r="AK37" s="14">
        <f t="shared" si="35"/>
        <v>45.585646034700325</v>
      </c>
      <c r="AL37" s="22">
        <f t="shared" si="4"/>
        <v>394.95824817710309</v>
      </c>
      <c r="AM37" s="62">
        <f t="shared" si="5"/>
        <v>688.29158151043634</v>
      </c>
      <c r="AN37" s="62">
        <f ca="1">AVERAGE(OFFSET($AM$3,0,0,'Données projet'!$E$10+1,1))-AVERAGE(OFFSET($H$3,0,0,'Données projet'!$E$10+1,1))</f>
        <v>303.33040062722074</v>
      </c>
      <c r="AO37" s="62">
        <f t="shared" si="36"/>
        <v>425.30058672361548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11.439986201377792</v>
      </c>
      <c r="AV37" s="23">
        <f>EXP(-LN(2)/25)*AV36+(1-EXP(-LN(2)/25))/(LN(2)/25)*Calculateur!AQ37*Calculateur!AS37*VLOOKUP('Données projet'!$B$10,Paramètres!$A$1:$I$89,3,0)*0.475*44/12</f>
        <v>27.541332297445596</v>
      </c>
      <c r="AW37" s="23">
        <f>EXP(-LN(2)/2)*AW36+(1-EXP(-LN(2)/2))/(LN(2)/2)*AQ37*AT37*VLOOKUP('Données projet'!$B$10,Paramètres!$A$1:$I$89,3,0)*0.475*44/12</f>
        <v>0.2962872955796359</v>
      </c>
      <c r="AX37" s="23">
        <f t="shared" si="6"/>
        <v>39.277605794403023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17</v>
      </c>
      <c r="BD37" s="13">
        <f>IF('Données projet'!$A$88&gt;35,BD36+BC37-BL36,IF(A37&lt;'Données projet'!$A$88,$BA$205^A37,IF(A37='Données projet'!$A$88,'Données projet'!$B$88,BD36+BC37-BL36)))</f>
        <v>263</v>
      </c>
      <c r="BE37" s="14">
        <f>BD37*VLOOKUP('Données projet'!$B$11,Paramètres!$A$1:$I$89,3,0)*VLOOKUP('Données projet'!$B$11,Paramètres!$A$1:$I$89,5,0)</f>
        <v>123.08399999999999</v>
      </c>
      <c r="BF37" s="14">
        <f t="shared" si="37"/>
        <v>32.393225926509828</v>
      </c>
      <c r="BG37" s="22">
        <f t="shared" si="7"/>
        <v>270.78950182200458</v>
      </c>
      <c r="BH37" s="62">
        <f t="shared" si="8"/>
        <v>564.12283515533795</v>
      </c>
      <c r="BI37" s="62">
        <f ca="1">AVERAGE(OFFSET($BH$3,0,0,'Données projet'!$E$11+1,1))-AVERAGE(OFFSET($H$3,0,0,'Données projet'!$E$11+1,1))</f>
        <v>317.54276561627643</v>
      </c>
      <c r="BJ37" s="62">
        <f t="shared" si="38"/>
        <v>238.92443174298893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6.6</v>
      </c>
      <c r="BY37" s="13">
        <f>IF('Données projet'!$A$114&gt;35,BY36+BX37-CG36,IF(A37&lt;'Données projet'!$A$114,$BV$205^A37,IF(A37='Données projet'!$A$114,'Données projet'!$B$114,BY36+BX37-CG36)))</f>
        <v>88.399999999999977</v>
      </c>
      <c r="BZ37" s="14">
        <f>BY37*VLOOKUP('Données projet'!$B$12,Paramètres!$A$1:$I$89,3,0)*VLOOKUP('Données projet'!$B$12,Paramètres!$A$1:$I$89,5,0)</f>
        <v>77.22623999999999</v>
      </c>
      <c r="CA37" s="14">
        <f t="shared" si="39"/>
        <v>21.457598855530147</v>
      </c>
      <c r="CB37" s="22">
        <f t="shared" si="10"/>
        <v>171.87435267338165</v>
      </c>
      <c r="CC37" s="62">
        <f t="shared" si="11"/>
        <v>465.20768600671499</v>
      </c>
      <c r="CD37" s="62">
        <f ca="1">AVERAGE(OFFSET($CC$3,0,0,'Données projet'!$E$12+1,1))-AVERAGE(OFFSET($H$3,0,0,'Données projet'!$E$12+1,1))</f>
        <v>195.30963433439501</v>
      </c>
      <c r="CE37" s="62">
        <f t="shared" si="40"/>
        <v>185.00219255324504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</v>
      </c>
      <c r="CT37" s="13">
        <f>IF('Données projet'!$A$140&gt;35,CT36+CS37-DB36,IF(A37&lt;'Données projet'!$A$140,$CQ$205^A37,IF(A37='Données projet'!$A$140,'Données projet'!$B$140,CT36+CS37-DB36)))</f>
        <v>73.999999999999986</v>
      </c>
      <c r="CU37" s="18">
        <f>CT37*VLOOKUP('Données projet'!$B$13,Paramètres!$A$1:$I$89,3,0)*VLOOKUP('Données projet'!$B$13,Paramètres!$A$1:$I$89,5,0)</f>
        <v>70.418399999999991</v>
      </c>
      <c r="CV37" s="14">
        <f t="shared" si="41"/>
        <v>19.777324972922738</v>
      </c>
      <c r="CW37" s="22">
        <f t="shared" si="13"/>
        <v>157.09088766117375</v>
      </c>
      <c r="CX37" s="62">
        <f t="shared" si="14"/>
        <v>450.4242209945071</v>
      </c>
      <c r="CY37" s="62">
        <f ca="1">AVERAGE(OFFSET($CX$3,0,0,'Données projet'!$E$13+1,1))-AVERAGE(OFFSET($H$3,0,0,'Données projet'!$E$13+1,1))</f>
        <v>293.996396026019</v>
      </c>
      <c r="CZ37" s="62">
        <f t="shared" si="42"/>
        <v>152.23954167722536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195.80903373714432</v>
      </c>
      <c r="T38" s="62">
        <f t="shared" si="34"/>
        <v>388.30721786668977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53.391229454072494</v>
      </c>
      <c r="AA38" s="23">
        <f>EXP(-LN(2)/25)*AA37+(1-EXP(-LN(2)/25))/(LN(2)/25)*Calculateur!V38*Calculateur!X38*VLOOKUP('Données projet'!$B$9,Paramètres!$A$1:$I$89,3,0)*0.475*44/12</f>
        <v>44.960470621186246</v>
      </c>
      <c r="AB38" s="23">
        <f>EXP(-LN(2)/2)*AB37+(1-EXP(-LN(2)/2))/(LN(2)/2)*V38*Y38*VLOOKUP('Données projet'!$B$9,Paramètres!$A$1:$I$89,3,0)*0.475*44/12</f>
        <v>31.518853532307205</v>
      </c>
      <c r="AC38" s="24">
        <f t="shared" si="3"/>
        <v>129.87055360756597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221</v>
      </c>
      <c r="AG38" s="13">
        <f>VLOOKUP(A38,'Données projet'!$A$61:$I$81,9,0)</f>
        <v>13.6</v>
      </c>
      <c r="AH38" s="13">
        <f t="array" ref="AH38">INDEX(AG:AG,MIN(IF(ISNUMBER(AG38:AG234),ROW(AG38:AG234),"")))</f>
        <v>13.6</v>
      </c>
      <c r="AI38" s="14">
        <f>IF('Données projet'!$A$62&gt;35,AI37+AH38-AQ37,IF(A38&lt;'Données projet'!$A$62,$AF$205^A38,IF(A38='Données projet'!$A$62,'Données projet'!$B$62,AI37+AH38-AQ37)))</f>
        <v>221</v>
      </c>
      <c r="AJ38" s="14">
        <f>AI38*VLOOKUP('Données projet'!$B$10,Paramètres!$A$1:$I$89,3,0)*VLOOKUP('Données projet'!$B$10,Paramètres!$A$1:$I$89,5,0)</f>
        <v>193.06560000000002</v>
      </c>
      <c r="AK38" s="14">
        <f t="shared" si="35"/>
        <v>48.217080828790458</v>
      </c>
      <c r="AL38" s="22">
        <f t="shared" si="4"/>
        <v>420.23400244347675</v>
      </c>
      <c r="AM38" s="62">
        <f t="shared" si="5"/>
        <v>713.56733577681007</v>
      </c>
      <c r="AN38" s="62">
        <f ca="1">AVERAGE(OFFSET($AM$3,0,0,'Données projet'!$E$10+1,1))-AVERAGE(OFFSET($H$3,0,0,'Données projet'!$E$10+1,1))</f>
        <v>303.33040062722074</v>
      </c>
      <c r="AO38" s="62">
        <f t="shared" si="36"/>
        <v>425.30058672361548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49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11.215655049671366</v>
      </c>
      <c r="AV38" s="23">
        <f>EXP(-LN(2)/25)*AV37+(1-EXP(-LN(2)/25))/(LN(2)/25)*Calculateur!AQ38*Calculateur!AS38*VLOOKUP('Données projet'!$B$10,Paramètres!$A$1:$I$89,3,0)*0.475*44/12</f>
        <v>26.788213117436229</v>
      </c>
      <c r="AW38" s="23">
        <f>EXP(-LN(2)/2)*AW37+(1-EXP(-LN(2)/2))/(LN(2)/2)*AQ38*AT38*VLOOKUP('Données projet'!$B$10,Paramètres!$A$1:$I$89,3,0)*0.475*44/12</f>
        <v>0.20950675588378354</v>
      </c>
      <c r="AX38" s="23">
        <f t="shared" si="6"/>
        <v>38.213374922991385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280</v>
      </c>
      <c r="BB38" s="13">
        <f>VLOOKUP(A38,'Données projet'!$A$87:$I$107,9,0)</f>
        <v>17</v>
      </c>
      <c r="BC38" s="13">
        <f t="array" ref="BC38">INDEX(BB:BB,MIN(IF(ISNUMBER(BB38:BB234),ROW(BB38:BB234),"")))</f>
        <v>17</v>
      </c>
      <c r="BD38" s="13">
        <f>IF('Données projet'!$A$88&gt;35,BD37+BC38-BL37,IF(A38&lt;'Données projet'!$A$88,$BA$205^A38,IF(A38='Données projet'!$A$88,'Données projet'!$B$88,BD37+BC38-BL37)))</f>
        <v>280</v>
      </c>
      <c r="BE38" s="14">
        <f>BD38*VLOOKUP('Données projet'!$B$11,Paramètres!$A$1:$I$89,3,0)*VLOOKUP('Données projet'!$B$11,Paramètres!$A$1:$I$89,5,0)</f>
        <v>131.04</v>
      </c>
      <c r="BF38" s="14">
        <f t="shared" si="37"/>
        <v>34.236561238949918</v>
      </c>
      <c r="BG38" s="22">
        <f t="shared" si="7"/>
        <v>287.85667749117107</v>
      </c>
      <c r="BH38" s="62">
        <f t="shared" si="8"/>
        <v>581.19001082450438</v>
      </c>
      <c r="BI38" s="62">
        <f ca="1">AVERAGE(OFFSET($BH$3,0,0,'Données projet'!$E$11+1,1))-AVERAGE(OFFSET($H$3,0,0,'Données projet'!$E$11+1,1))</f>
        <v>317.54276561627643</v>
      </c>
      <c r="BJ38" s="62">
        <f t="shared" si="38"/>
        <v>238.92443174298893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95</v>
      </c>
      <c r="BW38" s="13">
        <f>VLOOKUP(A38,'Données projet'!$A$113:$I$133,9,0)</f>
        <v>6.6</v>
      </c>
      <c r="BX38" s="13">
        <f t="array" ref="BX38">INDEX(BW:BW,MIN(IF(ISNUMBER(BW38:BW234),ROW(BW38:BW234),"")))</f>
        <v>6.6</v>
      </c>
      <c r="BY38" s="13">
        <f>IF('Données projet'!$A$114&gt;35,BY37+BX38-CG37,IF(A38&lt;'Données projet'!$A$114,$BV$205^A38,IF(A38='Données projet'!$A$114,'Données projet'!$B$114,BY37+BX38-CG37)))</f>
        <v>94.999999999999972</v>
      </c>
      <c r="BZ38" s="14">
        <f>BY38*VLOOKUP('Données projet'!$B$12,Paramètres!$A$1:$I$89,3,0)*VLOOKUP('Données projet'!$B$12,Paramètres!$A$1:$I$89,5,0)</f>
        <v>82.99199999999999</v>
      </c>
      <c r="CA38" s="14">
        <f t="shared" si="39"/>
        <v>22.867173045817303</v>
      </c>
      <c r="CB38" s="22">
        <f t="shared" si="10"/>
        <v>184.37139305479846</v>
      </c>
      <c r="CC38" s="62">
        <f t="shared" si="11"/>
        <v>477.7047263881318</v>
      </c>
      <c r="CD38" s="62">
        <f ca="1">AVERAGE(OFFSET($CC$3,0,0,'Données projet'!$E$12+1,1))-AVERAGE(OFFSET($H$3,0,0,'Données projet'!$E$12+1,1))</f>
        <v>195.30963433439501</v>
      </c>
      <c r="CE38" s="62">
        <f t="shared" si="40"/>
        <v>185.00219255324504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14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79</v>
      </c>
      <c r="CR38" s="13">
        <f>VLOOKUP(A38,'Données projet'!$A$139:$I$159,9,0)</f>
        <v>5</v>
      </c>
      <c r="CS38" s="13">
        <f t="array" ref="CS38">INDEX(CR:CR,MIN(IF(ISNUMBER(CR38:CR234),ROW(CR38:CR234),"")))</f>
        <v>5</v>
      </c>
      <c r="CT38" s="13">
        <f>IF('Données projet'!$A$140&gt;35,CT37+CS38-DB37,IF(A38&lt;'Données projet'!$A$140,$CQ$205^A38,IF(A38='Données projet'!$A$140,'Données projet'!$B$140,CT37+CS38-DB37)))</f>
        <v>78.999999999999986</v>
      </c>
      <c r="CU38" s="18">
        <f>CT38*VLOOKUP('Données projet'!$B$13,Paramètres!$A$1:$I$89,3,0)*VLOOKUP('Données projet'!$B$13,Paramètres!$A$1:$I$89,5,0)</f>
        <v>75.176399999999987</v>
      </c>
      <c r="CV38" s="14">
        <f t="shared" si="41"/>
        <v>20.95355421300528</v>
      </c>
      <c r="CW38" s="22">
        <f t="shared" si="13"/>
        <v>167.42633692098417</v>
      </c>
      <c r="CX38" s="62">
        <f t="shared" si="14"/>
        <v>460.75967025431748</v>
      </c>
      <c r="CY38" s="62">
        <f ca="1">AVERAGE(OFFSET($CX$3,0,0,'Données projet'!$E$13+1,1))-AVERAGE(OFFSET($H$3,0,0,'Données projet'!$E$13+1,1))</f>
        <v>293.996396026019</v>
      </c>
      <c r="CZ38" s="62">
        <f t="shared" si="42"/>
        <v>152.23954167722536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13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195.80903373714432</v>
      </c>
      <c r="T39" s="62">
        <f t="shared" si="34"/>
        <v>388.30721786668977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52.344260009912531</v>
      </c>
      <c r="AA39" s="23">
        <f>EXP(-LN(2)/25)*AA38+(1-EXP(-LN(2)/25))/(LN(2)/25)*Calculateur!V39*Calculateur!X39*VLOOKUP('Données projet'!$B$9,Paramètres!$A$1:$I$89,3,0)*0.475*44/12</f>
        <v>43.73102418768152</v>
      </c>
      <c r="AB39" s="23">
        <f>EXP(-LN(2)/2)*AB38+(1-EXP(-LN(2)/2))/(LN(2)/2)*V39*Y39*VLOOKUP('Données projet'!$B$9,Paramètres!$A$1:$I$89,3,0)*0.475*44/12</f>
        <v>22.287195067919992</v>
      </c>
      <c r="AC39" s="24">
        <f t="shared" si="3"/>
        <v>118.36247926551404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12.2</v>
      </c>
      <c r="AI39" s="14">
        <f>IF('Données projet'!$A$62&gt;35,AI38+AH39-AQ38,IF(A39&lt;'Données projet'!$A$62,$AF$205^A39,IF(A39='Données projet'!$A$62,'Données projet'!$B$62,AI38+AH39-AQ38)))</f>
        <v>184.2</v>
      </c>
      <c r="AJ39" s="14">
        <f>AI39*VLOOKUP('Données projet'!$B$10,Paramètres!$A$1:$I$89,3,0)*VLOOKUP('Données projet'!$B$10,Paramètres!$A$1:$I$89,5,0)</f>
        <v>160.91712000000001</v>
      </c>
      <c r="AK39" s="14">
        <f t="shared" si="35"/>
        <v>41.049305520788089</v>
      </c>
      <c r="AL39" s="22">
        <f t="shared" si="4"/>
        <v>351.75819111537254</v>
      </c>
      <c r="AM39" s="62">
        <f t="shared" si="5"/>
        <v>645.09152444870585</v>
      </c>
      <c r="AN39" s="62">
        <f ca="1">AVERAGE(OFFSET($AM$3,0,0,'Données projet'!$E$10+1,1))-AVERAGE(OFFSET($H$3,0,0,'Données projet'!$E$10+1,1))</f>
        <v>303.33040062722074</v>
      </c>
      <c r="AO39" s="62">
        <f t="shared" si="36"/>
        <v>425.30058672361548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10.995722895021411</v>
      </c>
      <c r="AV39" s="23">
        <f>EXP(-LN(2)/25)*AV38+(1-EXP(-LN(2)/25))/(LN(2)/25)*Calculateur!AQ39*Calculateur!AS39*VLOOKUP('Données projet'!$B$10,Paramètres!$A$1:$I$89,3,0)*0.475*44/12</f>
        <v>26.055688021009033</v>
      </c>
      <c r="AW39" s="23">
        <f>EXP(-LN(2)/2)*AW38+(1-EXP(-LN(2)/2))/(LN(2)/2)*AQ39*AT39*VLOOKUP('Données projet'!$B$10,Paramètres!$A$1:$I$89,3,0)*0.475*44/12</f>
        <v>0.14814364778981795</v>
      </c>
      <c r="AX39" s="23">
        <f t="shared" si="6"/>
        <v>37.199554563820257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19.571428571428573</v>
      </c>
      <c r="BD39" s="13">
        <f>IF('Données projet'!$A$88&gt;35,BD38+BC39-BL38,IF(A39&lt;'Données projet'!$A$88,$BA$205^A39,IF(A39='Données projet'!$A$88,'Données projet'!$B$88,BD38+BC39-BL38)))</f>
        <v>299.57142857142856</v>
      </c>
      <c r="BE39" s="14">
        <f>BD39*VLOOKUP('Données projet'!$B$11,Paramètres!$A$1:$I$89,3,0)*VLOOKUP('Données projet'!$B$11,Paramètres!$A$1:$I$89,5,0)</f>
        <v>140.19942857142857</v>
      </c>
      <c r="BF39" s="14">
        <f t="shared" si="37"/>
        <v>36.342687994625102</v>
      </c>
      <c r="BG39" s="22">
        <f t="shared" si="7"/>
        <v>307.47751968587681</v>
      </c>
      <c r="BH39" s="62">
        <f t="shared" si="8"/>
        <v>600.81085301921007</v>
      </c>
      <c r="BI39" s="62">
        <f ca="1">AVERAGE(OFFSET($BH$3,0,0,'Données projet'!$E$11+1,1))-AVERAGE(OFFSET($H$3,0,0,'Données projet'!$E$11+1,1))</f>
        <v>317.54276561627643</v>
      </c>
      <c r="BJ39" s="62">
        <f t="shared" si="38"/>
        <v>238.92443174298893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5.8</v>
      </c>
      <c r="BY39" s="13">
        <f>IF('Données projet'!$A$114&gt;35,BY38+BX39-CG38,IF(A39&lt;'Données projet'!$A$114,$BV$205^A39,IF(A39='Données projet'!$A$114,'Données projet'!$B$114,BY38+BX39-CG38)))</f>
        <v>86.799999999999969</v>
      </c>
      <c r="BZ39" s="14">
        <f>BY39*VLOOKUP('Données projet'!$B$12,Paramètres!$A$1:$I$89,3,0)*VLOOKUP('Données projet'!$B$12,Paramètres!$A$1:$I$89,5,0)</f>
        <v>75.828479999999985</v>
      </c>
      <c r="CA39" s="14">
        <f t="shared" si="39"/>
        <v>21.114068675464956</v>
      </c>
      <c r="CB39" s="22">
        <f t="shared" si="10"/>
        <v>168.8416056097681</v>
      </c>
      <c r="CC39" s="62">
        <f t="shared" si="11"/>
        <v>462.17493894310144</v>
      </c>
      <c r="CD39" s="62">
        <f ca="1">AVERAGE(OFFSET($CC$3,0,0,'Données projet'!$E$12+1,1))-AVERAGE(OFFSET($H$3,0,0,'Données projet'!$E$12+1,1))</f>
        <v>195.30963433439501</v>
      </c>
      <c r="CE39" s="62">
        <f t="shared" si="40"/>
        <v>185.00219255324504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</v>
      </c>
      <c r="CT39" s="13">
        <f>IF('Données projet'!$A$140&gt;35,CT38+CS39-DB38,IF(A39&lt;'Données projet'!$A$140,$CQ$205^A39,IF(A39='Données projet'!$A$140,'Données projet'!$B$140,CT38+CS39-DB38)))</f>
        <v>71.399999999999991</v>
      </c>
      <c r="CU39" s="18">
        <f>CT39*VLOOKUP('Données projet'!$B$13,Paramètres!$A$1:$I$89,3,0)*VLOOKUP('Données projet'!$B$13,Paramètres!$A$1:$I$89,5,0)</f>
        <v>67.944239999999994</v>
      </c>
      <c r="CV39" s="14">
        <f t="shared" si="41"/>
        <v>19.162057636242221</v>
      </c>
      <c r="CW39" s="22">
        <f t="shared" si="13"/>
        <v>151.71013504978851</v>
      </c>
      <c r="CX39" s="62">
        <f t="shared" si="14"/>
        <v>445.04346838312182</v>
      </c>
      <c r="CY39" s="62">
        <f ca="1">AVERAGE(OFFSET($CX$3,0,0,'Données projet'!$E$13+1,1))-AVERAGE(OFFSET($H$3,0,0,'Données projet'!$E$13+1,1))</f>
        <v>293.996396026019</v>
      </c>
      <c r="CZ39" s="62">
        <f t="shared" si="42"/>
        <v>152.23954167722536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195.80903373714432</v>
      </c>
      <c r="T40" s="62">
        <f t="shared" si="34"/>
        <v>388.30721786668977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51.31782099796424</v>
      </c>
      <c r="AA40" s="23">
        <f>EXP(-LN(2)/25)*AA39+(1-EXP(-LN(2)/25))/(LN(2)/25)*Calculateur!V40*Calculateur!X40*VLOOKUP('Données projet'!$B$9,Paramètres!$A$1:$I$89,3,0)*0.475*44/12</f>
        <v>42.535197031554752</v>
      </c>
      <c r="AB40" s="23">
        <f>EXP(-LN(2)/2)*AB39+(1-EXP(-LN(2)/2))/(LN(2)/2)*V40*Y40*VLOOKUP('Données projet'!$B$9,Paramètres!$A$1:$I$89,3,0)*0.475*44/12</f>
        <v>15.759426766153604</v>
      </c>
      <c r="AC40" s="24">
        <f t="shared" si="3"/>
        <v>109.6124447956726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12.2</v>
      </c>
      <c r="AI40" s="14">
        <f>IF('Données projet'!$A$62&gt;35,AI39+AH40-AQ39,IF(A40&lt;'Données projet'!$A$62,$AF$205^A40,IF(A40='Données projet'!$A$62,'Données projet'!$B$62,AI39+AH40-AQ39)))</f>
        <v>196.39999999999998</v>
      </c>
      <c r="AJ40" s="14">
        <f>AI40*VLOOKUP('Données projet'!$B$10,Paramètres!$A$1:$I$89,3,0)*VLOOKUP('Données projet'!$B$10,Paramètres!$A$1:$I$89,5,0)</f>
        <v>171.57504</v>
      </c>
      <c r="AK40" s="14">
        <f t="shared" si="35"/>
        <v>43.44259058996105</v>
      </c>
      <c r="AL40" s="22">
        <f t="shared" si="4"/>
        <v>374.48903994418214</v>
      </c>
      <c r="AM40" s="62">
        <f t="shared" si="5"/>
        <v>667.82237327751545</v>
      </c>
      <c r="AN40" s="62">
        <f ca="1">AVERAGE(OFFSET($AM$3,0,0,'Données projet'!$E$10+1,1))-AVERAGE(OFFSET($H$3,0,0,'Données projet'!$E$10+1,1))</f>
        <v>303.33040062722074</v>
      </c>
      <c r="AO40" s="62">
        <f t="shared" si="36"/>
        <v>425.30058672361548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10.780103475778771</v>
      </c>
      <c r="AV40" s="23">
        <f>EXP(-LN(2)/25)*AV39+(1-EXP(-LN(2)/25))/(LN(2)/25)*Calculateur!AQ40*Calculateur!AS40*VLOOKUP('Données projet'!$B$10,Paramètres!$A$1:$I$89,3,0)*0.475*44/12</f>
        <v>25.343193861865458</v>
      </c>
      <c r="AW40" s="23">
        <f>EXP(-LN(2)/2)*AW39+(1-EXP(-LN(2)/2))/(LN(2)/2)*AQ40*AT40*VLOOKUP('Données projet'!$B$10,Paramètres!$A$1:$I$89,3,0)*0.475*44/12</f>
        <v>0.10475337794189177</v>
      </c>
      <c r="AX40" s="23">
        <f t="shared" si="6"/>
        <v>36.228050715586122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19.571428571428573</v>
      </c>
      <c r="BD40" s="13">
        <f>IF('Données projet'!$A$88&gt;35,BD39+BC40-BL39,IF(A40&lt;'Données projet'!$A$88,$BA$205^A40,IF(A40='Données projet'!$A$88,'Données projet'!$B$88,BD39+BC40-BL39)))</f>
        <v>319.14285714285711</v>
      </c>
      <c r="BE40" s="14">
        <f>BD40*VLOOKUP('Données projet'!$B$11,Paramètres!$A$1:$I$89,3,0)*VLOOKUP('Données projet'!$B$11,Paramètres!$A$1:$I$89,5,0)</f>
        <v>149.35885714285715</v>
      </c>
      <c r="BF40" s="14">
        <f t="shared" si="37"/>
        <v>38.432847302798578</v>
      </c>
      <c r="BG40" s="22">
        <f t="shared" si="7"/>
        <v>327.07055190951706</v>
      </c>
      <c r="BH40" s="62">
        <f t="shared" si="8"/>
        <v>620.40388524285038</v>
      </c>
      <c r="BI40" s="62">
        <f ca="1">AVERAGE(OFFSET($BH$3,0,0,'Données projet'!$E$11+1,1))-AVERAGE(OFFSET($H$3,0,0,'Données projet'!$E$11+1,1))</f>
        <v>317.54276561627643</v>
      </c>
      <c r="BJ40" s="62">
        <f t="shared" si="38"/>
        <v>238.92443174298893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5.8</v>
      </c>
      <c r="BY40" s="13">
        <f>IF('Données projet'!$A$114&gt;35,BY39+BX40-CG39,IF(A40&lt;'Données projet'!$A$114,$BV$205^A40,IF(A40='Données projet'!$A$114,'Données projet'!$B$114,BY39+BX40-CG39)))</f>
        <v>92.599999999999966</v>
      </c>
      <c r="BZ40" s="14">
        <f>BY40*VLOOKUP('Données projet'!$B$12,Paramètres!$A$1:$I$89,3,0)*VLOOKUP('Données projet'!$B$12,Paramètres!$A$1:$I$89,5,0)</f>
        <v>80.895359999999982</v>
      </c>
      <c r="CA40" s="14">
        <f t="shared" si="39"/>
        <v>22.355962294793134</v>
      </c>
      <c r="CB40" s="22">
        <f t="shared" si="10"/>
        <v>179.829386330098</v>
      </c>
      <c r="CC40" s="62">
        <f t="shared" si="11"/>
        <v>473.16271966343129</v>
      </c>
      <c r="CD40" s="62">
        <f ca="1">AVERAGE(OFFSET($CC$3,0,0,'Données projet'!$E$12+1,1))-AVERAGE(OFFSET($H$3,0,0,'Données projet'!$E$12+1,1))</f>
        <v>195.30963433439501</v>
      </c>
      <c r="CE40" s="62">
        <f t="shared" si="40"/>
        <v>185.00219255324504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</v>
      </c>
      <c r="CT40" s="13">
        <f>IF('Données projet'!$A$140&gt;35,CT39+CS40-DB39,IF(A40&lt;'Données projet'!$A$140,$CQ$205^A40,IF(A40='Données projet'!$A$140,'Données projet'!$B$140,CT39+CS40-DB39)))</f>
        <v>76.8</v>
      </c>
      <c r="CU40" s="18">
        <f>CT40*VLOOKUP('Données projet'!$B$13,Paramètres!$A$1:$I$89,3,0)*VLOOKUP('Données projet'!$B$13,Paramètres!$A$1:$I$89,5,0)</f>
        <v>73.082880000000003</v>
      </c>
      <c r="CV40" s="14">
        <f t="shared" si="41"/>
        <v>20.437114411232702</v>
      </c>
      <c r="CW40" s="22">
        <f t="shared" si="13"/>
        <v>162.88065693289695</v>
      </c>
      <c r="CX40" s="62">
        <f t="shared" si="14"/>
        <v>456.21399026623027</v>
      </c>
      <c r="CY40" s="62">
        <f ca="1">AVERAGE(OFFSET($CX$3,0,0,'Données projet'!$E$13+1,1))-AVERAGE(OFFSET($H$3,0,0,'Données projet'!$E$13+1,1))</f>
        <v>293.996396026019</v>
      </c>
      <c r="CZ40" s="62">
        <f t="shared" si="42"/>
        <v>152.23954167722536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195.80903373714432</v>
      </c>
      <c r="T41" s="62">
        <f t="shared" si="34"/>
        <v>388.30721786668977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50.311509828974273</v>
      </c>
      <c r="AA41" s="23">
        <f>EXP(-LN(2)/25)*AA40+(1-EXP(-LN(2)/25))/(LN(2)/25)*Calculateur!V41*Calculateur!X41*VLOOKUP('Données projet'!$B$9,Paramètres!$A$1:$I$89,3,0)*0.475*44/12</f>
        <v>41.372069831898088</v>
      </c>
      <c r="AB41" s="23">
        <f>EXP(-LN(2)/2)*AB40+(1-EXP(-LN(2)/2))/(LN(2)/2)*V41*Y41*VLOOKUP('Données projet'!$B$9,Paramètres!$A$1:$I$89,3,0)*0.475*44/12</f>
        <v>11.143597533959998</v>
      </c>
      <c r="AC41" s="24">
        <f t="shared" si="3"/>
        <v>102.82717719483236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12.2</v>
      </c>
      <c r="AI41" s="14">
        <f>IF('Données projet'!$A$62&gt;35,AI40+AH41-AQ40,IF(A41&lt;'Données projet'!$A$62,$AF$205^A41,IF(A41='Données projet'!$A$62,'Données projet'!$B$62,AI40+AH41-AQ40)))</f>
        <v>208.59999999999997</v>
      </c>
      <c r="AJ41" s="14">
        <f>AI41*VLOOKUP('Données projet'!$B$10,Paramètres!$A$1:$I$89,3,0)*VLOOKUP('Données projet'!$B$10,Paramètres!$A$1:$I$89,5,0)</f>
        <v>182.23295999999999</v>
      </c>
      <c r="AK41" s="14">
        <f t="shared" si="35"/>
        <v>45.818621592366291</v>
      </c>
      <c r="AL41" s="22">
        <f t="shared" si="4"/>
        <v>397.18983794003793</v>
      </c>
      <c r="AM41" s="62">
        <f t="shared" si="5"/>
        <v>690.52317127337119</v>
      </c>
      <c r="AN41" s="62">
        <f ca="1">AVERAGE(OFFSET($AM$3,0,0,'Données projet'!$E$10+1,1))-AVERAGE(OFFSET($H$3,0,0,'Données projet'!$E$10+1,1))</f>
        <v>303.33040062722074</v>
      </c>
      <c r="AO41" s="62">
        <f t="shared" si="36"/>
        <v>425.30058672361548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10.568712221832621</v>
      </c>
      <c r="AV41" s="23">
        <f>EXP(-LN(2)/25)*AV40+(1-EXP(-LN(2)/25))/(LN(2)/25)*Calculateur!AQ41*Calculateur!AS41*VLOOKUP('Données projet'!$B$10,Paramètres!$A$1:$I$89,3,0)*0.475*44/12</f>
        <v>24.650182892972104</v>
      </c>
      <c r="AW41" s="23">
        <f>EXP(-LN(2)/2)*AW40+(1-EXP(-LN(2)/2))/(LN(2)/2)*AQ41*AT41*VLOOKUP('Données projet'!$B$10,Paramètres!$A$1:$I$89,3,0)*0.475*44/12</f>
        <v>7.4071823894908975E-2</v>
      </c>
      <c r="AX41" s="23">
        <f t="shared" si="6"/>
        <v>35.292966938699635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19.571428571428573</v>
      </c>
      <c r="BD41" s="13">
        <f>IF('Données projet'!$A$88&gt;35,BD40+BC41-BL40,IF(A41&lt;'Données projet'!$A$88,$BA$205^A41,IF(A41='Données projet'!$A$88,'Données projet'!$B$88,BD40+BC41-BL40)))</f>
        <v>338.71428571428567</v>
      </c>
      <c r="BE41" s="14">
        <f>BD41*VLOOKUP('Données projet'!$B$11,Paramètres!$A$1:$I$89,3,0)*VLOOKUP('Données projet'!$B$11,Paramètres!$A$1:$I$89,5,0)</f>
        <v>158.5182857142857</v>
      </c>
      <c r="BF41" s="14">
        <f t="shared" si="37"/>
        <v>40.508129862224799</v>
      </c>
      <c r="BG41" s="22">
        <f t="shared" si="7"/>
        <v>346.63767379575575</v>
      </c>
      <c r="BH41" s="62">
        <f t="shared" si="8"/>
        <v>639.971007129089</v>
      </c>
      <c r="BI41" s="62">
        <f ca="1">AVERAGE(OFFSET($BH$3,0,0,'Données projet'!$E$11+1,1))-AVERAGE(OFFSET($H$3,0,0,'Données projet'!$E$11+1,1))</f>
        <v>317.54276561627643</v>
      </c>
      <c r="BJ41" s="62">
        <f t="shared" si="38"/>
        <v>238.92443174298893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5.8</v>
      </c>
      <c r="BY41" s="13">
        <f>IF('Données projet'!$A$114&gt;35,BY40+BX41-CG40,IF(A41&lt;'Données projet'!$A$114,$BV$205^A41,IF(A41='Données projet'!$A$114,'Données projet'!$B$114,BY40+BX41-CG40)))</f>
        <v>98.399999999999963</v>
      </c>
      <c r="BZ41" s="14">
        <f>BY41*VLOOKUP('Données projet'!$B$12,Paramètres!$A$1:$I$89,3,0)*VLOOKUP('Données projet'!$B$12,Paramètres!$A$1:$I$89,5,0)</f>
        <v>85.96223999999998</v>
      </c>
      <c r="CA41" s="14">
        <f t="shared" si="39"/>
        <v>23.588828321049387</v>
      </c>
      <c r="CB41" s="22">
        <f t="shared" si="10"/>
        <v>190.80144399249431</v>
      </c>
      <c r="CC41" s="62">
        <f t="shared" si="11"/>
        <v>484.1347773258276</v>
      </c>
      <c r="CD41" s="62">
        <f ca="1">AVERAGE(OFFSET($CC$3,0,0,'Données projet'!$E$12+1,1))-AVERAGE(OFFSET($H$3,0,0,'Données projet'!$E$12+1,1))</f>
        <v>195.30963433439501</v>
      </c>
      <c r="CE41" s="62">
        <f t="shared" si="40"/>
        <v>185.00219255324504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</v>
      </c>
      <c r="CT41" s="13">
        <f>IF('Données projet'!$A$140&gt;35,CT40+CS41-DB40,IF(A41&lt;'Données projet'!$A$140,$CQ$205^A41,IF(A41='Données projet'!$A$140,'Données projet'!$B$140,CT40+CS41-DB40)))</f>
        <v>82.2</v>
      </c>
      <c r="CU41" s="18">
        <f>CT41*VLOOKUP('Données projet'!$B$13,Paramètres!$A$1:$I$89,3,0)*VLOOKUP('Données projet'!$B$13,Paramètres!$A$1:$I$89,5,0)</f>
        <v>78.221520000000012</v>
      </c>
      <c r="CV41" s="14">
        <f t="shared" si="41"/>
        <v>21.701769187765223</v>
      </c>
      <c r="CW41" s="22">
        <f t="shared" si="13"/>
        <v>174.03306200202442</v>
      </c>
      <c r="CX41" s="62">
        <f t="shared" si="14"/>
        <v>467.36639533535777</v>
      </c>
      <c r="CY41" s="62">
        <f ca="1">AVERAGE(OFFSET($CX$3,0,0,'Données projet'!$E$13+1,1))-AVERAGE(OFFSET($H$3,0,0,'Données projet'!$E$13+1,1))</f>
        <v>293.996396026019</v>
      </c>
      <c r="CZ41" s="62">
        <f t="shared" si="42"/>
        <v>152.23954167722536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195.80903373714432</v>
      </c>
      <c r="T42" s="62">
        <f t="shared" si="34"/>
        <v>388.30721786668977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49.324931808218992</v>
      </c>
      <c r="AA42" s="23">
        <f>EXP(-LN(2)/25)*AA41+(1-EXP(-LN(2)/25))/(LN(2)/25)*Calculateur!V42*Calculateur!X42*VLOOKUP('Données projet'!$B$9,Paramètres!$A$1:$I$89,3,0)*0.475*44/12</f>
        <v>40.240748406682236</v>
      </c>
      <c r="AB42" s="23">
        <f>EXP(-LN(2)/2)*AB41+(1-EXP(-LN(2)/2))/(LN(2)/2)*V42*Y42*VLOOKUP('Données projet'!$B$9,Paramètres!$A$1:$I$89,3,0)*0.475*44/12</f>
        <v>7.8797133830768029</v>
      </c>
      <c r="AC42" s="24">
        <f t="shared" si="3"/>
        <v>97.445393597978025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12.2</v>
      </c>
      <c r="AI42" s="14">
        <f>IF('Données projet'!$A$62&gt;35,AI41+AH42-AQ41,IF(A42&lt;'Données projet'!$A$62,$AF$205^A42,IF(A42='Données projet'!$A$62,'Données projet'!$B$62,AI41+AH42-AQ41)))</f>
        <v>220.79999999999995</v>
      </c>
      <c r="AJ42" s="14">
        <f>AI42*VLOOKUP('Données projet'!$B$10,Paramètres!$A$1:$I$89,3,0)*VLOOKUP('Données projet'!$B$10,Paramètres!$A$1:$I$89,5,0)</f>
        <v>192.89087999999998</v>
      </c>
      <c r="AK42" s="14">
        <f t="shared" si="35"/>
        <v>48.178522586846704</v>
      </c>
      <c r="AL42" s="22">
        <f t="shared" si="4"/>
        <v>419.86254283875792</v>
      </c>
      <c r="AM42" s="62">
        <f t="shared" si="5"/>
        <v>713.19587617209118</v>
      </c>
      <c r="AN42" s="62">
        <f ca="1">AVERAGE(OFFSET($AM$3,0,0,'Données projet'!$E$10+1,1))-AVERAGE(OFFSET($H$3,0,0,'Données projet'!$E$10+1,1))</f>
        <v>303.33040062722074</v>
      </c>
      <c r="AO42" s="62">
        <f t="shared" si="36"/>
        <v>425.30058672361548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10.361466221440422</v>
      </c>
      <c r="AV42" s="23">
        <f>EXP(-LN(2)/25)*AV41+(1-EXP(-LN(2)/25))/(LN(2)/25)*Calculateur!AQ42*Calculateur!AS42*VLOOKUP('Données projet'!$B$10,Paramètres!$A$1:$I$89,3,0)*0.475*44/12</f>
        <v>23.976122345467001</v>
      </c>
      <c r="AW42" s="23">
        <f>EXP(-LN(2)/2)*AW41+(1-EXP(-LN(2)/2))/(LN(2)/2)*AQ42*AT42*VLOOKUP('Données projet'!$B$10,Paramètres!$A$1:$I$89,3,0)*0.475*44/12</f>
        <v>5.2376688970945884E-2</v>
      </c>
      <c r="AX42" s="23">
        <f t="shared" si="6"/>
        <v>34.389965255878366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19.571428571428573</v>
      </c>
      <c r="BD42" s="13">
        <f>IF('Données projet'!$A$88&gt;35,BD41+BC42-BL41,IF(A42&lt;'Données projet'!$A$88,$BA$205^A42,IF(A42='Données projet'!$A$88,'Données projet'!$B$88,BD41+BC42-BL41)))</f>
        <v>358.28571428571422</v>
      </c>
      <c r="BE42" s="14">
        <f>BD42*VLOOKUP('Données projet'!$B$11,Paramètres!$A$1:$I$89,3,0)*VLOOKUP('Données projet'!$B$11,Paramètres!$A$1:$I$89,5,0)</f>
        <v>167.67771428571425</v>
      </c>
      <c r="BF42" s="14">
        <f t="shared" si="37"/>
        <v>42.569493207492975</v>
      </c>
      <c r="BG42" s="22">
        <f t="shared" si="7"/>
        <v>366.18055305066923</v>
      </c>
      <c r="BH42" s="62">
        <f t="shared" si="8"/>
        <v>659.51388638400249</v>
      </c>
      <c r="BI42" s="62">
        <f ca="1">AVERAGE(OFFSET($BH$3,0,0,'Données projet'!$E$11+1,1))-AVERAGE(OFFSET($H$3,0,0,'Données projet'!$E$11+1,1))</f>
        <v>317.54276561627643</v>
      </c>
      <c r="BJ42" s="62">
        <f t="shared" si="38"/>
        <v>238.92443174298893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5.8</v>
      </c>
      <c r="BY42" s="13">
        <f>IF('Données projet'!$A$114&gt;35,BY41+BX42-CG41,IF(A42&lt;'Données projet'!$A$114,$BV$205^A42,IF(A42='Données projet'!$A$114,'Données projet'!$B$114,BY41+BX42-CG41)))</f>
        <v>104.19999999999996</v>
      </c>
      <c r="BZ42" s="14">
        <f>BY42*VLOOKUP('Données projet'!$B$12,Paramètres!$A$1:$I$89,3,0)*VLOOKUP('Données projet'!$B$12,Paramètres!$A$1:$I$89,5,0)</f>
        <v>91.029119999999978</v>
      </c>
      <c r="CA42" s="14">
        <f t="shared" si="39"/>
        <v>24.813259479575787</v>
      </c>
      <c r="CB42" s="22">
        <f t="shared" si="10"/>
        <v>201.75881092692779</v>
      </c>
      <c r="CC42" s="62">
        <f t="shared" si="11"/>
        <v>495.09214426026108</v>
      </c>
      <c r="CD42" s="62">
        <f ca="1">AVERAGE(OFFSET($CC$3,0,0,'Données projet'!$E$12+1,1))-AVERAGE(OFFSET($H$3,0,0,'Données projet'!$E$12+1,1))</f>
        <v>195.30963433439501</v>
      </c>
      <c r="CE42" s="62">
        <f t="shared" si="40"/>
        <v>185.00219255324504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</v>
      </c>
      <c r="CT42" s="13">
        <f>IF('Données projet'!$A$140&gt;35,CT41+CS42-DB41,IF(A42&lt;'Données projet'!$A$140,$CQ$205^A42,IF(A42='Données projet'!$A$140,'Données projet'!$B$140,CT41+CS42-DB41)))</f>
        <v>87.600000000000009</v>
      </c>
      <c r="CU42" s="18">
        <f>CT42*VLOOKUP('Données projet'!$B$13,Paramètres!$A$1:$I$89,3,0)*VLOOKUP('Données projet'!$B$13,Paramètres!$A$1:$I$89,5,0)</f>
        <v>83.360160000000008</v>
      </c>
      <c r="CV42" s="14">
        <f t="shared" si="41"/>
        <v>22.956783071137561</v>
      </c>
      <c r="CW42" s="22">
        <f t="shared" si="13"/>
        <v>185.16867584889792</v>
      </c>
      <c r="CX42" s="62">
        <f t="shared" si="14"/>
        <v>478.50200918223123</v>
      </c>
      <c r="CY42" s="62">
        <f ca="1">AVERAGE(OFFSET($CX$3,0,0,'Données projet'!$E$13+1,1))-AVERAGE(OFFSET($H$3,0,0,'Données projet'!$E$13+1,1))</f>
        <v>293.996396026019</v>
      </c>
      <c r="CZ42" s="62">
        <f t="shared" si="42"/>
        <v>152.23954167722536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195.80903373714432</v>
      </c>
      <c r="T43" s="62">
        <f t="shared" si="34"/>
        <v>388.30721786668977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48.357699980697546</v>
      </c>
      <c r="AA43" s="23">
        <f>EXP(-LN(2)/25)*AA42+(1-EXP(-LN(2)/25))/(LN(2)/25)*Calculateur!V43*Calculateur!X43*VLOOKUP('Données projet'!$B$9,Paramètres!$A$1:$I$89,3,0)*0.475*44/12</f>
        <v>39.140363025332526</v>
      </c>
      <c r="AB43" s="23">
        <f>EXP(-LN(2)/2)*AB42+(1-EXP(-LN(2)/2))/(LN(2)/2)*V43*Y43*VLOOKUP('Données projet'!$B$9,Paramètres!$A$1:$I$89,3,0)*0.475*44/12</f>
        <v>5.5717987669799998</v>
      </c>
      <c r="AC43" s="24">
        <f t="shared" si="3"/>
        <v>93.069861773010061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233</v>
      </c>
      <c r="AG43" s="13">
        <f>VLOOKUP(A43,'Données projet'!$A$61:$I$81,9,0)</f>
        <v>12.2</v>
      </c>
      <c r="AH43" s="13">
        <f t="array" ref="AH43">INDEX(AG:AG,MIN(IF(ISNUMBER(AG43:AG239),ROW(AG43:AG239),"")))</f>
        <v>12.2</v>
      </c>
      <c r="AI43" s="14">
        <f>IF('Données projet'!$A$62&gt;35,AI42+AH43-AQ42,IF(A43&lt;'Données projet'!$A$62,$AF$205^A43,IF(A43='Données projet'!$A$62,'Données projet'!$B$62,AI42+AH43-AQ42)))</f>
        <v>232.99999999999994</v>
      </c>
      <c r="AJ43" s="14">
        <f>AI43*VLOOKUP('Données projet'!$B$10,Paramètres!$A$1:$I$89,3,0)*VLOOKUP('Données projet'!$B$10,Paramètres!$A$1:$I$89,5,0)</f>
        <v>203.5488</v>
      </c>
      <c r="AK43" s="14">
        <f t="shared" si="35"/>
        <v>50.523286400023487</v>
      </c>
      <c r="AL43" s="22">
        <f t="shared" si="4"/>
        <v>442.50888381337427</v>
      </c>
      <c r="AM43" s="62">
        <f t="shared" si="5"/>
        <v>735.84221714670753</v>
      </c>
      <c r="AN43" s="62">
        <f ca="1">AVERAGE(OFFSET($AM$3,0,0,'Données projet'!$E$10+1,1))-AVERAGE(OFFSET($H$3,0,0,'Données projet'!$E$10+1,1))</f>
        <v>303.33040062722074</v>
      </c>
      <c r="AO43" s="62">
        <f t="shared" si="36"/>
        <v>425.30058672361548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45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10.158284188708334</v>
      </c>
      <c r="AV43" s="23">
        <f>EXP(-LN(2)/25)*AV42+(1-EXP(-LN(2)/25))/(LN(2)/25)*Calculateur!AQ43*Calculateur!AS43*VLOOKUP('Données projet'!$B$10,Paramètres!$A$1:$I$89,3,0)*0.475*44/12</f>
        <v>23.32049401908073</v>
      </c>
      <c r="AW43" s="23">
        <f>EXP(-LN(2)/2)*AW42+(1-EXP(-LN(2)/2))/(LN(2)/2)*AQ43*AT43*VLOOKUP('Données projet'!$B$10,Paramètres!$A$1:$I$89,3,0)*0.475*44/12</f>
        <v>3.7035911947454488E-2</v>
      </c>
      <c r="AX43" s="23">
        <f t="shared" si="6"/>
        <v>33.515814119736518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19.571428571428573</v>
      </c>
      <c r="BD43" s="13">
        <f>IF('Données projet'!$A$88&gt;35,BD42+BC43-BL42,IF(A43&lt;'Données projet'!$A$88,$BA$205^A43,IF(A43='Données projet'!$A$88,'Données projet'!$B$88,BD42+BC43-BL42)))</f>
        <v>377.85714285714278</v>
      </c>
      <c r="BE43" s="14">
        <f>BD43*VLOOKUP('Données projet'!$B$11,Paramètres!$A$1:$I$89,3,0)*VLOOKUP('Données projet'!$B$11,Paramètres!$A$1:$I$89,5,0)</f>
        <v>176.83714285714279</v>
      </c>
      <c r="BF43" s="14">
        <f t="shared" si="37"/>
        <v>44.617784353930041</v>
      </c>
      <c r="BG43" s="22">
        <f t="shared" si="7"/>
        <v>385.70066489261848</v>
      </c>
      <c r="BH43" s="62">
        <f t="shared" si="8"/>
        <v>679.03399822595179</v>
      </c>
      <c r="BI43" s="62">
        <f ca="1">AVERAGE(OFFSET($BH$3,0,0,'Données projet'!$E$11+1,1))-AVERAGE(OFFSET($H$3,0,0,'Données projet'!$E$11+1,1))</f>
        <v>317.54276561627643</v>
      </c>
      <c r="BJ43" s="62">
        <f t="shared" si="38"/>
        <v>238.92443174298893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110</v>
      </c>
      <c r="BW43" s="13">
        <f>VLOOKUP(A43,'Données projet'!$A$113:$I$133,9,0)</f>
        <v>5.8</v>
      </c>
      <c r="BX43" s="13">
        <f t="array" ref="BX43">INDEX(BW:BW,MIN(IF(ISNUMBER(BW43:BW239),ROW(BW43:BW239),"")))</f>
        <v>5.8</v>
      </c>
      <c r="BY43" s="13">
        <f>IF('Données projet'!$A$114&gt;35,BY42+BX43-CG42,IF(A43&lt;'Données projet'!$A$114,$BV$205^A43,IF(A43='Données projet'!$A$114,'Données projet'!$B$114,BY42+BX43-CG42)))</f>
        <v>109.99999999999996</v>
      </c>
      <c r="BZ43" s="14">
        <f>BY43*VLOOKUP('Données projet'!$B$12,Paramètres!$A$1:$I$89,3,0)*VLOOKUP('Données projet'!$B$12,Paramètres!$A$1:$I$89,5,0)</f>
        <v>96.095999999999975</v>
      </c>
      <c r="CA43" s="14">
        <f t="shared" si="39"/>
        <v>26.029778784173352</v>
      </c>
      <c r="CB43" s="22">
        <f t="shared" si="10"/>
        <v>212.70239804910184</v>
      </c>
      <c r="CC43" s="62">
        <f t="shared" si="11"/>
        <v>506.03573138243519</v>
      </c>
      <c r="CD43" s="62">
        <f ca="1">AVERAGE(OFFSET($CC$3,0,0,'Données projet'!$E$12+1,1))-AVERAGE(OFFSET($H$3,0,0,'Données projet'!$E$12+1,1))</f>
        <v>195.30963433439501</v>
      </c>
      <c r="CE43" s="62">
        <f t="shared" si="40"/>
        <v>185.00219255324504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93</v>
      </c>
      <c r="CR43" s="13">
        <f>VLOOKUP(A43,'Données projet'!$A$139:$I$159,9,0)</f>
        <v>5.4</v>
      </c>
      <c r="CS43" s="13">
        <f t="array" ref="CS43">INDEX(CR:CR,MIN(IF(ISNUMBER(CR43:CR239),ROW(CR43:CR239),"")))</f>
        <v>5.4</v>
      </c>
      <c r="CT43" s="13">
        <f>IF('Données projet'!$A$140&gt;35,CT42+CS43-DB42,IF(A43&lt;'Données projet'!$A$140,$CQ$205^A43,IF(A43='Données projet'!$A$140,'Données projet'!$B$140,CT42+CS43-DB42)))</f>
        <v>93.000000000000014</v>
      </c>
      <c r="CU43" s="18">
        <f>CT43*VLOOKUP('Données projet'!$B$13,Paramètres!$A$1:$I$89,3,0)*VLOOKUP('Données projet'!$B$13,Paramètres!$A$1:$I$89,5,0)</f>
        <v>88.498800000000003</v>
      </c>
      <c r="CV43" s="14">
        <f t="shared" si="41"/>
        <v>24.202818028970764</v>
      </c>
      <c r="CW43" s="22">
        <f t="shared" si="13"/>
        <v>196.28865140045741</v>
      </c>
      <c r="CX43" s="62">
        <f t="shared" si="14"/>
        <v>489.62198473379073</v>
      </c>
      <c r="CY43" s="62">
        <f ca="1">AVERAGE(OFFSET($CX$3,0,0,'Données projet'!$E$13+1,1))-AVERAGE(OFFSET($H$3,0,0,'Données projet'!$E$13+1,1))</f>
        <v>293.996396026019</v>
      </c>
      <c r="CZ43" s="62">
        <f t="shared" si="42"/>
        <v>152.23954167722536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14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195.80903373714432</v>
      </c>
      <c r="T44" s="62">
        <f t="shared" si="34"/>
        <v>388.30721786668977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47.40943497936064</v>
      </c>
      <c r="AA44" s="23">
        <f>EXP(-LN(2)/25)*AA43+(1-EXP(-LN(2)/25))/(LN(2)/25)*Calculateur!V44*Calculateur!X44*VLOOKUP('Données projet'!$B$9,Paramètres!$A$1:$I$89,3,0)*0.475*44/12</f>
        <v>38.070067740102573</v>
      </c>
      <c r="AB44" s="23">
        <f>EXP(-LN(2)/2)*AB43+(1-EXP(-LN(2)/2))/(LN(2)/2)*V44*Y44*VLOOKUP('Données projet'!$B$9,Paramètres!$A$1:$I$89,3,0)*0.475*44/12</f>
        <v>3.9398566915384023</v>
      </c>
      <c r="AC44" s="24">
        <f t="shared" si="3"/>
        <v>89.419359411001608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11.2</v>
      </c>
      <c r="AI44" s="14">
        <f>IF('Données projet'!$A$62&gt;35,AI43+AH44-AQ43,IF(A44&lt;'Données projet'!$A$62,$AF$205^A44,IF(A44='Données projet'!$A$62,'Données projet'!$B$62,AI43+AH44-AQ43)))</f>
        <v>199.19999999999993</v>
      </c>
      <c r="AJ44" s="14">
        <f>AI44*VLOOKUP('Données projet'!$B$10,Paramètres!$A$1:$I$89,3,0)*VLOOKUP('Données projet'!$B$10,Paramètres!$A$1:$I$89,5,0)</f>
        <v>174.02111999999997</v>
      </c>
      <c r="AK44" s="14">
        <f t="shared" si="35"/>
        <v>43.989391678613877</v>
      </c>
      <c r="AL44" s="22">
        <f t="shared" si="4"/>
        <v>379.70164117358576</v>
      </c>
      <c r="AM44" s="62">
        <f t="shared" si="5"/>
        <v>673.03497450691907</v>
      </c>
      <c r="AN44" s="62">
        <f ca="1">AVERAGE(OFFSET($AM$3,0,0,'Données projet'!$E$10+1,1))-AVERAGE(OFFSET($H$3,0,0,'Données projet'!$E$10+1,1))</f>
        <v>303.33040062722074</v>
      </c>
      <c r="AO44" s="62">
        <f t="shared" si="36"/>
        <v>425.30058672361548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9.95908643170932</v>
      </c>
      <c r="AV44" s="23">
        <f>EXP(-LN(2)/25)*AV43+(1-EXP(-LN(2)/25))/(LN(2)/25)*Calculateur!AQ44*Calculateur!AS44*VLOOKUP('Données projet'!$B$10,Paramètres!$A$1:$I$89,3,0)*0.475*44/12</f>
        <v>22.682793883757487</v>
      </c>
      <c r="AW44" s="23">
        <f>EXP(-LN(2)/2)*AW43+(1-EXP(-LN(2)/2))/(LN(2)/2)*AQ44*AT44*VLOOKUP('Données projet'!$B$10,Paramètres!$A$1:$I$89,3,0)*0.475*44/12</f>
        <v>2.6188344485472942E-2</v>
      </c>
      <c r="AX44" s="23">
        <f t="shared" si="6"/>
        <v>32.668068659952283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19.571428571428573</v>
      </c>
      <c r="BD44" s="13">
        <f>IF('Données projet'!$A$88&gt;35,BD43+BC44-BL43,IF(A44&lt;'Données projet'!$A$88,$BA$205^A44,IF(A44='Données projet'!$A$88,'Données projet'!$B$88,BD43+BC44-BL43)))</f>
        <v>397.42857142857133</v>
      </c>
      <c r="BE44" s="14">
        <f>BD44*VLOOKUP('Données projet'!$B$11,Paramètres!$A$1:$I$89,3,0)*VLOOKUP('Données projet'!$B$11,Paramètres!$A$1:$I$89,5,0)</f>
        <v>185.9965714285714</v>
      </c>
      <c r="BF44" s="14">
        <f t="shared" si="37"/>
        <v>46.653757617185917</v>
      </c>
      <c r="BG44" s="22">
        <f t="shared" si="7"/>
        <v>405.19932308802726</v>
      </c>
      <c r="BH44" s="62">
        <f t="shared" si="8"/>
        <v>698.53265642136057</v>
      </c>
      <c r="BI44" s="62">
        <f ca="1">AVERAGE(OFFSET($BH$3,0,0,'Données projet'!$E$11+1,1))-AVERAGE(OFFSET($H$3,0,0,'Données projet'!$E$11+1,1))</f>
        <v>317.54276561627643</v>
      </c>
      <c r="BJ44" s="62">
        <f t="shared" si="38"/>
        <v>238.92443174298893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4.8</v>
      </c>
      <c r="BY44" s="13">
        <f>IF('Données projet'!$A$114&gt;35,BY43+BX44-CG43,IF(A44&lt;'Données projet'!$A$114,$BV$205^A44,IF(A44='Données projet'!$A$114,'Données projet'!$B$114,BY43+BX44-CG43)))</f>
        <v>100.79999999999995</v>
      </c>
      <c r="BZ44" s="14">
        <f>BY44*VLOOKUP('Données projet'!$B$12,Paramètres!$A$1:$I$89,3,0)*VLOOKUP('Données projet'!$B$12,Paramètres!$A$1:$I$89,5,0)</f>
        <v>88.058879999999974</v>
      </c>
      <c r="CA44" s="14">
        <f t="shared" si="39"/>
        <v>24.096481170231179</v>
      </c>
      <c r="CB44" s="22">
        <f t="shared" si="10"/>
        <v>195.33725403815257</v>
      </c>
      <c r="CC44" s="62">
        <f t="shared" si="11"/>
        <v>488.67058737148591</v>
      </c>
      <c r="CD44" s="62">
        <f ca="1">AVERAGE(OFFSET($CC$3,0,0,'Données projet'!$E$12+1,1))-AVERAGE(OFFSET($H$3,0,0,'Données projet'!$E$12+1,1))</f>
        <v>195.30963433439501</v>
      </c>
      <c r="CE44" s="62">
        <f t="shared" si="40"/>
        <v>185.00219255324504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84.600000000000009</v>
      </c>
      <c r="CU44" s="18">
        <f>CT44*VLOOKUP('Données projet'!$B$13,Paramètres!$A$1:$I$89,3,0)*VLOOKUP('Données projet'!$B$13,Paramètres!$A$1:$I$89,5,0)</f>
        <v>80.50536000000001</v>
      </c>
      <c r="CV44" s="14">
        <f t="shared" si="41"/>
        <v>22.260701954394872</v>
      </c>
      <c r="CW44" s="22">
        <f t="shared" si="13"/>
        <v>178.98422457057109</v>
      </c>
      <c r="CX44" s="62">
        <f t="shared" si="14"/>
        <v>472.3175579039044</v>
      </c>
      <c r="CY44" s="62">
        <f ca="1">AVERAGE(OFFSET($CX$3,0,0,'Données projet'!$E$13+1,1))-AVERAGE(OFFSET($H$3,0,0,'Données projet'!$E$13+1,1))</f>
        <v>293.996396026019</v>
      </c>
      <c r="CZ44" s="62">
        <f t="shared" si="42"/>
        <v>152.23954167722536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195.80903373714432</v>
      </c>
      <c r="T45" s="62">
        <f t="shared" si="34"/>
        <v>388.30721786668977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46.479764876315407</v>
      </c>
      <c r="AA45" s="23">
        <f>EXP(-LN(2)/25)*AA44+(1-EXP(-LN(2)/25))/(LN(2)/25)*Calculateur!V45*Calculateur!X45*VLOOKUP('Données projet'!$B$9,Paramètres!$A$1:$I$89,3,0)*0.475*44/12</f>
        <v>37.029039735731615</v>
      </c>
      <c r="AB45" s="23">
        <f>EXP(-LN(2)/2)*AB44+(1-EXP(-LN(2)/2))/(LN(2)/2)*V45*Y45*VLOOKUP('Données projet'!$B$9,Paramètres!$A$1:$I$89,3,0)*0.475*44/12</f>
        <v>2.7858993834900003</v>
      </c>
      <c r="AC45" s="24">
        <f t="shared" si="3"/>
        <v>86.29470399553702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11.2</v>
      </c>
      <c r="AI45" s="14">
        <f>IF('Données projet'!$A$62&gt;35,AI44+AH45-AQ44,IF(A45&lt;'Données projet'!$A$62,$AF$205^A45,IF(A45='Données projet'!$A$62,'Données projet'!$B$62,AI44+AH45-AQ44)))</f>
        <v>210.39999999999992</v>
      </c>
      <c r="AJ45" s="14">
        <f>AI45*VLOOKUP('Données projet'!$B$10,Paramètres!$A$1:$I$89,3,0)*VLOOKUP('Données projet'!$B$10,Paramètres!$A$1:$I$89,5,0)</f>
        <v>183.80543999999995</v>
      </c>
      <c r="AK45" s="14">
        <f t="shared" si="35"/>
        <v>46.167792832806036</v>
      </c>
      <c r="AL45" s="22">
        <f t="shared" si="4"/>
        <v>400.53671385047045</v>
      </c>
      <c r="AM45" s="62">
        <f t="shared" si="5"/>
        <v>693.87004718380376</v>
      </c>
      <c r="AN45" s="62">
        <f ca="1">AVERAGE(OFFSET($AM$3,0,0,'Données projet'!$E$10+1,1))-AVERAGE(OFFSET($H$3,0,0,'Données projet'!$E$10+1,1))</f>
        <v>303.33040062722074</v>
      </c>
      <c r="AO45" s="62">
        <f t="shared" si="36"/>
        <v>425.30058672361548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9.7637948212264227</v>
      </c>
      <c r="AV45" s="23">
        <f>EXP(-LN(2)/25)*AV44+(1-EXP(-LN(2)/25))/(LN(2)/25)*Calculateur!AQ45*Calculateur!AS45*VLOOKUP('Données projet'!$B$10,Paramètres!$A$1:$I$89,3,0)*0.475*44/12</f>
        <v>22.062531692169852</v>
      </c>
      <c r="AW45" s="23">
        <f>EXP(-LN(2)/2)*AW44+(1-EXP(-LN(2)/2))/(LN(2)/2)*AQ45*AT45*VLOOKUP('Données projet'!$B$10,Paramètres!$A$1:$I$89,3,0)*0.475*44/12</f>
        <v>1.8517955973727244E-2</v>
      </c>
      <c r="AX45" s="23">
        <f t="shared" si="6"/>
        <v>31.844844469370003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417</v>
      </c>
      <c r="BB45" s="13">
        <f>VLOOKUP(A45,'Données projet'!$A$87:$I$107,9,0)</f>
        <v>19.571428571428573</v>
      </c>
      <c r="BC45" s="13">
        <f t="array" ref="BC45">INDEX(BB:BB,MIN(IF(ISNUMBER(BB45:BB241),ROW(BB45:BB241),"")))</f>
        <v>19.571428571428573</v>
      </c>
      <c r="BD45" s="13">
        <f>IF('Données projet'!$A$88&gt;35,BD44+BC45-BL44,IF(A45&lt;'Données projet'!$A$88,$BA$205^A45,IF(A45='Données projet'!$A$88,'Données projet'!$B$88,BD44+BC45-BL44)))</f>
        <v>416.99999999999989</v>
      </c>
      <c r="BE45" s="14">
        <f>BD45*VLOOKUP('Données projet'!$B$11,Paramètres!$A$1:$I$89,3,0)*VLOOKUP('Données projet'!$B$11,Paramètres!$A$1:$I$89,5,0)</f>
        <v>195.15599999999995</v>
      </c>
      <c r="BF45" s="14">
        <f t="shared" si="37"/>
        <v>48.678088823054175</v>
      </c>
      <c r="BG45" s="22">
        <f t="shared" si="7"/>
        <v>424.67770470015256</v>
      </c>
      <c r="BH45" s="62">
        <f t="shared" si="8"/>
        <v>718.01103803348587</v>
      </c>
      <c r="BI45" s="62">
        <f ca="1">AVERAGE(OFFSET($BH$3,0,0,'Données projet'!$E$11+1,1))-AVERAGE(OFFSET($H$3,0,0,'Données projet'!$E$11+1,1))</f>
        <v>317.54276561627643</v>
      </c>
      <c r="BJ45" s="62">
        <f t="shared" si="38"/>
        <v>238.92443174298893</v>
      </c>
      <c r="BK45" s="16">
        <f>IF(ISNA(VLOOKUP(A45,'Données projet'!$A$87:$I$107,3,0)),0,VLOOKUP(A45,'Données projet'!$A$87:$I$107,3,0))</f>
        <v>3</v>
      </c>
      <c r="BL45" s="16">
        <f>IF(ISNA(VLOOKUP(A45,'Données projet'!$A$87:$I$107,4,0)),0,VLOOKUP(A45,'Données projet'!$A$87:$I$107,4,0))</f>
        <v>182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4.8</v>
      </c>
      <c r="BY45" s="13">
        <f>IF('Données projet'!$A$114&gt;35,BY44+BX45-CG44,IF(A45&lt;'Données projet'!$A$114,$BV$205^A45,IF(A45='Données projet'!$A$114,'Données projet'!$B$114,BY44+BX45-CG44)))</f>
        <v>105.59999999999995</v>
      </c>
      <c r="BZ45" s="14">
        <f>BY45*VLOOKUP('Données projet'!$B$12,Paramètres!$A$1:$I$89,3,0)*VLOOKUP('Données projet'!$B$12,Paramètres!$A$1:$I$89,5,0)</f>
        <v>92.252159999999975</v>
      </c>
      <c r="CA45" s="14">
        <f t="shared" si="39"/>
        <v>25.107607958259965</v>
      </c>
      <c r="CB45" s="22">
        <f t="shared" si="10"/>
        <v>204.40159586063604</v>
      </c>
      <c r="CC45" s="62">
        <f t="shared" si="11"/>
        <v>497.73492919396938</v>
      </c>
      <c r="CD45" s="62">
        <f ca="1">AVERAGE(OFFSET($CC$3,0,0,'Données projet'!$E$12+1,1))-AVERAGE(OFFSET($H$3,0,0,'Données projet'!$E$12+1,1))</f>
        <v>195.30963433439501</v>
      </c>
      <c r="CE45" s="62">
        <f t="shared" si="40"/>
        <v>185.00219255324504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90.2</v>
      </c>
      <c r="CU45" s="18">
        <f>CT45*VLOOKUP('Données projet'!$B$13,Paramètres!$A$1:$I$89,3,0)*VLOOKUP('Données projet'!$B$13,Paramètres!$A$1:$I$89,5,0)</f>
        <v>85.834320000000005</v>
      </c>
      <c r="CV45" s="14">
        <f t="shared" si="41"/>
        <v>23.557809132261784</v>
      </c>
      <c r="CW45" s="22">
        <f t="shared" si="13"/>
        <v>190.52462490535595</v>
      </c>
      <c r="CX45" s="62">
        <f t="shared" si="14"/>
        <v>483.85795823868926</v>
      </c>
      <c r="CY45" s="62">
        <f ca="1">AVERAGE(OFFSET($CX$3,0,0,'Données projet'!$E$13+1,1))-AVERAGE(OFFSET($H$3,0,0,'Données projet'!$E$13+1,1))</f>
        <v>293.996396026019</v>
      </c>
      <c r="CZ45" s="62">
        <f t="shared" si="42"/>
        <v>152.23954167722536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195.80903373714432</v>
      </c>
      <c r="T46" s="62">
        <f t="shared" si="34"/>
        <v>388.30721786668977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45.568325036948117</v>
      </c>
      <c r="AA46" s="23">
        <f>EXP(-LN(2)/25)*AA45+(1-EXP(-LN(2)/25))/(LN(2)/25)*Calculateur!V46*Calculateur!X46*VLOOKUP('Données projet'!$B$9,Paramètres!$A$1:$I$89,3,0)*0.475*44/12</f>
        <v>36.016478696885464</v>
      </c>
      <c r="AB46" s="23">
        <f>EXP(-LN(2)/2)*AB45+(1-EXP(-LN(2)/2))/(LN(2)/2)*V46*Y46*VLOOKUP('Données projet'!$B$9,Paramètres!$A$1:$I$89,3,0)*0.475*44/12</f>
        <v>1.9699283457692014</v>
      </c>
      <c r="AC46" s="24">
        <f t="shared" si="3"/>
        <v>83.554732079602786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11.2</v>
      </c>
      <c r="AI46" s="14">
        <f>IF('Données projet'!$A$62&gt;35,AI45+AH46-AQ45,IF(A46&lt;'Données projet'!$A$62,$AF$205^A46,IF(A46='Données projet'!$A$62,'Données projet'!$B$62,AI45+AH46-AQ45)))</f>
        <v>221.59999999999991</v>
      </c>
      <c r="AJ46" s="14">
        <f>AI46*VLOOKUP('Données projet'!$B$10,Paramètres!$A$1:$I$89,3,0)*VLOOKUP('Données projet'!$B$10,Paramètres!$A$1:$I$89,5,0)</f>
        <v>193.58975999999996</v>
      </c>
      <c r="AK46" s="14">
        <f t="shared" si="35"/>
        <v>48.332731202087039</v>
      </c>
      <c r="AL46" s="22">
        <f t="shared" si="4"/>
        <v>421.34833884363485</v>
      </c>
      <c r="AM46" s="62">
        <f t="shared" si="5"/>
        <v>714.68167217696816</v>
      </c>
      <c r="AN46" s="62">
        <f ca="1">AVERAGE(OFFSET($AM$3,0,0,'Données projet'!$E$10+1,1))-AVERAGE(OFFSET($H$3,0,0,'Données projet'!$E$10+1,1))</f>
        <v>303.33040062722074</v>
      </c>
      <c r="AO46" s="62">
        <f t="shared" si="36"/>
        <v>425.30058672361548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9.5723327601089743</v>
      </c>
      <c r="AV46" s="23">
        <f>EXP(-LN(2)/25)*AV45+(1-EXP(-LN(2)/25))/(LN(2)/25)*Calculateur!AQ46*Calculateur!AS46*VLOOKUP('Données projet'!$B$10,Paramètres!$A$1:$I$89,3,0)*0.475*44/12</f>
        <v>21.459230602829351</v>
      </c>
      <c r="AW46" s="23">
        <f>EXP(-LN(2)/2)*AW45+(1-EXP(-LN(2)/2))/(LN(2)/2)*AQ46*AT46*VLOOKUP('Données projet'!$B$10,Paramètres!$A$1:$I$89,3,0)*0.475*44/12</f>
        <v>1.3094172242736471E-2</v>
      </c>
      <c r="AX46" s="23">
        <f t="shared" si="6"/>
        <v>31.044657535181063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>
        <f>VLOOKUP(A46,'Données projet'!$A$87:$I$107,2,0)</f>
        <v>256</v>
      </c>
      <c r="BB46" s="13">
        <f>VLOOKUP(A46,'Données projet'!$A$87:$I$107,9,0)</f>
        <v>21</v>
      </c>
      <c r="BC46" s="13">
        <f t="array" ref="BC46">INDEX(BB:BB,MIN(IF(ISNUMBER(BB46:BB242),ROW(BB46:BB242),"")))</f>
        <v>21</v>
      </c>
      <c r="BD46" s="13">
        <f>IF('Données projet'!$A$88&gt;35,BD45+BC46-BL45,IF(A46&lt;'Données projet'!$A$88,$BA$205^A46,IF(A46='Données projet'!$A$88,'Données projet'!$B$88,BD45+BC46-BL45)))</f>
        <v>255.99999999999989</v>
      </c>
      <c r="BE46" s="14">
        <f>BD46*VLOOKUP('Données projet'!$B$11,Paramètres!$A$1:$I$89,3,0)*VLOOKUP('Données projet'!$B$11,Paramètres!$A$1:$I$89,5,0)</f>
        <v>119.80799999999995</v>
      </c>
      <c r="BF46" s="14">
        <f t="shared" si="37"/>
        <v>31.630214274643535</v>
      </c>
      <c r="BG46" s="22">
        <f t="shared" si="7"/>
        <v>263.75488986167073</v>
      </c>
      <c r="BH46" s="62">
        <f t="shared" si="8"/>
        <v>557.08822319500405</v>
      </c>
      <c r="BI46" s="62">
        <f ca="1">AVERAGE(OFFSET($BH$3,0,0,'Données projet'!$E$11+1,1))-AVERAGE(OFFSET($H$3,0,0,'Données projet'!$E$11+1,1))</f>
        <v>317.54276561627643</v>
      </c>
      <c r="BJ46" s="62">
        <f t="shared" si="38"/>
        <v>238.92443174298893</v>
      </c>
      <c r="BK46" s="16">
        <f>IF(ISNA(VLOOKUP(A46,'Données projet'!$A$87:$I$107,3,0)),0,VLOOKUP(A46,'Données projet'!$A$87:$I$107,3,0))</f>
        <v>4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4.8</v>
      </c>
      <c r="BY46" s="13">
        <f>IF('Données projet'!$A$114&gt;35,BY45+BX46-CG45,IF(A46&lt;'Données projet'!$A$114,$BV$205^A46,IF(A46='Données projet'!$A$114,'Données projet'!$B$114,BY45+BX46-CG45)))</f>
        <v>110.39999999999995</v>
      </c>
      <c r="BZ46" s="14">
        <f>BY46*VLOOKUP('Données projet'!$B$12,Paramètres!$A$1:$I$89,3,0)*VLOOKUP('Données projet'!$B$12,Paramètres!$A$1:$I$89,5,0)</f>
        <v>96.445439999999962</v>
      </c>
      <c r="CA46" s="14">
        <f t="shared" si="39"/>
        <v>26.113397153228323</v>
      </c>
      <c r="CB46" s="22">
        <f t="shared" si="10"/>
        <v>213.45664137520589</v>
      </c>
      <c r="CC46" s="62">
        <f t="shared" si="11"/>
        <v>506.78997470853921</v>
      </c>
      <c r="CD46" s="62">
        <f ca="1">AVERAGE(OFFSET($CC$3,0,0,'Données projet'!$E$12+1,1))-AVERAGE(OFFSET($H$3,0,0,'Données projet'!$E$12+1,1))</f>
        <v>195.30963433439501</v>
      </c>
      <c r="CE46" s="62">
        <f t="shared" si="40"/>
        <v>185.00219255324504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95.8</v>
      </c>
      <c r="CU46" s="18">
        <f>CT46*VLOOKUP('Données projet'!$B$13,Paramètres!$A$1:$I$89,3,0)*VLOOKUP('Données projet'!$B$13,Paramètres!$A$1:$I$89,5,0)</f>
        <v>91.16328</v>
      </c>
      <c r="CV46" s="14">
        <f t="shared" si="41"/>
        <v>24.84557007760694</v>
      </c>
      <c r="CW46" s="22">
        <f t="shared" si="13"/>
        <v>202.04874721849876</v>
      </c>
      <c r="CX46" s="62">
        <f t="shared" si="14"/>
        <v>495.38208055183208</v>
      </c>
      <c r="CY46" s="62">
        <f ca="1">AVERAGE(OFFSET($CX$3,0,0,'Données projet'!$E$13+1,1))-AVERAGE(OFFSET($H$3,0,0,'Données projet'!$E$13+1,1))</f>
        <v>293.996396026019</v>
      </c>
      <c r="CZ46" s="62">
        <f t="shared" si="42"/>
        <v>152.23954167722536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195.80903373714432</v>
      </c>
      <c r="T47" s="62">
        <f t="shared" si="34"/>
        <v>388.30721786668977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44.674757976907415</v>
      </c>
      <c r="AA47" s="23">
        <f>EXP(-LN(2)/25)*AA46+(1-EXP(-LN(2)/25))/(LN(2)/25)*Calculateur!V47*Calculateur!X47*VLOOKUP('Données projet'!$B$9,Paramètres!$A$1:$I$89,3,0)*0.475*44/12</f>
        <v>35.031606192894834</v>
      </c>
      <c r="AB47" s="23">
        <f>EXP(-LN(2)/2)*AB46+(1-EXP(-LN(2)/2))/(LN(2)/2)*V47*Y47*VLOOKUP('Données projet'!$B$9,Paramètres!$A$1:$I$89,3,0)*0.475*44/12</f>
        <v>1.3929496917450004</v>
      </c>
      <c r="AC47" s="24">
        <f t="shared" si="3"/>
        <v>81.099313861547245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11.2</v>
      </c>
      <c r="AI47" s="14">
        <f>IF('Données projet'!$A$62&gt;35,AI46+AH47-AQ46,IF(A47&lt;'Données projet'!$A$62,$AF$205^A47,IF(A47='Données projet'!$A$62,'Données projet'!$B$62,AI46+AH47-AQ46)))</f>
        <v>232.7999999999999</v>
      </c>
      <c r="AJ47" s="14">
        <f>AI47*VLOOKUP('Données projet'!$B$10,Paramètres!$A$1:$I$89,3,0)*VLOOKUP('Données projet'!$B$10,Paramètres!$A$1:$I$89,5,0)</f>
        <v>203.37407999999996</v>
      </c>
      <c r="AK47" s="14">
        <f t="shared" si="35"/>
        <v>50.484964849140574</v>
      </c>
      <c r="AL47" s="22">
        <f t="shared" si="4"/>
        <v>442.1378364455864</v>
      </c>
      <c r="AM47" s="62">
        <f t="shared" si="5"/>
        <v>735.47116977891972</v>
      </c>
      <c r="AN47" s="62">
        <f ca="1">AVERAGE(OFFSET($AM$3,0,0,'Données projet'!$E$10+1,1))-AVERAGE(OFFSET($H$3,0,0,'Données projet'!$E$10+1,1))</f>
        <v>303.33040062722074</v>
      </c>
      <c r="AO47" s="62">
        <f t="shared" si="36"/>
        <v>425.30058672361548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9.3846251532297131</v>
      </c>
      <c r="AV47" s="23">
        <f>EXP(-LN(2)/25)*AV46+(1-EXP(-LN(2)/25))/(LN(2)/25)*Calculateur!AQ47*Calculateur!AS47*VLOOKUP('Données projet'!$B$10,Paramètres!$A$1:$I$89,3,0)*0.475*44/12</f>
        <v>20.87242681350309</v>
      </c>
      <c r="AW47" s="23">
        <f>EXP(-LN(2)/2)*AW46+(1-EXP(-LN(2)/2))/(LN(2)/2)*AQ47*AT47*VLOOKUP('Données projet'!$B$10,Paramètres!$A$1:$I$89,3,0)*0.475*44/12</f>
        <v>9.2589779868636219E-3</v>
      </c>
      <c r="AX47" s="23">
        <f t="shared" si="6"/>
        <v>30.266310944719667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17.5</v>
      </c>
      <c r="BD47" s="13">
        <f>IF('Données projet'!$A$88&gt;35,BD46+BC47-BL46,IF(A47&lt;'Données projet'!$A$88,$BA$205^A47,IF(A47='Données projet'!$A$88,'Données projet'!$B$88,BD46+BC47-BL46)))</f>
        <v>273.49999999999989</v>
      </c>
      <c r="BE47" s="14">
        <f>BD47*VLOOKUP('Données projet'!$B$11,Paramètres!$A$1:$I$89,3,0)*VLOOKUP('Données projet'!$B$11,Paramètres!$A$1:$I$89,5,0)</f>
        <v>127.99799999999995</v>
      </c>
      <c r="BF47" s="14">
        <f t="shared" si="37"/>
        <v>33.533338894635314</v>
      </c>
      <c r="BG47" s="22">
        <f t="shared" si="7"/>
        <v>281.33374857482306</v>
      </c>
      <c r="BH47" s="62">
        <f t="shared" si="8"/>
        <v>574.66708190815643</v>
      </c>
      <c r="BI47" s="62">
        <f ca="1">AVERAGE(OFFSET($BH$3,0,0,'Données projet'!$E$11+1,1))-AVERAGE(OFFSET($H$3,0,0,'Données projet'!$E$11+1,1))</f>
        <v>317.54276561627643</v>
      </c>
      <c r="BJ47" s="62">
        <f t="shared" si="38"/>
        <v>238.92443174298893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4.8</v>
      </c>
      <c r="BY47" s="13">
        <f>IF('Données projet'!$A$114&gt;35,BY46+BX47-CG46,IF(A47&lt;'Données projet'!$A$114,$BV$205^A47,IF(A47='Données projet'!$A$114,'Données projet'!$B$114,BY46+BX47-CG46)))</f>
        <v>115.19999999999995</v>
      </c>
      <c r="BZ47" s="14">
        <f>BY47*VLOOKUP('Données projet'!$B$12,Paramètres!$A$1:$I$89,3,0)*VLOOKUP('Données projet'!$B$12,Paramètres!$A$1:$I$89,5,0)</f>
        <v>100.63871999999996</v>
      </c>
      <c r="CA47" s="14">
        <f t="shared" si="39"/>
        <v>27.114107349094599</v>
      </c>
      <c r="CB47" s="22">
        <f t="shared" si="10"/>
        <v>222.50284096633968</v>
      </c>
      <c r="CC47" s="62">
        <f t="shared" si="11"/>
        <v>515.83617429967296</v>
      </c>
      <c r="CD47" s="62">
        <f ca="1">AVERAGE(OFFSET($CC$3,0,0,'Données projet'!$E$12+1,1))-AVERAGE(OFFSET($H$3,0,0,'Données projet'!$E$12+1,1))</f>
        <v>195.30963433439501</v>
      </c>
      <c r="CE47" s="62">
        <f t="shared" si="40"/>
        <v>185.00219255324504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101.39999999999999</v>
      </c>
      <c r="CU47" s="18">
        <f>CT47*VLOOKUP('Données projet'!$B$13,Paramètres!$A$1:$I$89,3,0)*VLOOKUP('Données projet'!$B$13,Paramètres!$A$1:$I$89,5,0)</f>
        <v>96.492239999999995</v>
      </c>
      <c r="CV47" s="14">
        <f t="shared" si="41"/>
        <v>26.124593361596208</v>
      </c>
      <c r="CW47" s="22">
        <f t="shared" si="13"/>
        <v>213.55765143811337</v>
      </c>
      <c r="CX47" s="62">
        <f t="shared" si="14"/>
        <v>506.89098477144671</v>
      </c>
      <c r="CY47" s="62">
        <f ca="1">AVERAGE(OFFSET($CX$3,0,0,'Données projet'!$E$13+1,1))-AVERAGE(OFFSET($H$3,0,0,'Données projet'!$E$13+1,1))</f>
        <v>293.996396026019</v>
      </c>
      <c r="CZ47" s="62">
        <f t="shared" si="42"/>
        <v>152.23954167722536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195.80903373714432</v>
      </c>
      <c r="T48" s="62">
        <f t="shared" si="34"/>
        <v>388.30721786668977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43.798713221892022</v>
      </c>
      <c r="AA48" s="23">
        <f>EXP(-LN(2)/25)*AA47+(1-EXP(-LN(2)/25))/(LN(2)/25)*Calculateur!V48*Calculateur!X48*VLOOKUP('Données projet'!$B$9,Paramètres!$A$1:$I$89,3,0)*0.475*44/12</f>
        <v>34.073665079318019</v>
      </c>
      <c r="AB48" s="23">
        <f>EXP(-LN(2)/2)*AB47+(1-EXP(-LN(2)/2))/(LN(2)/2)*V48*Y48*VLOOKUP('Données projet'!$B$9,Paramètres!$A$1:$I$89,3,0)*0.475*44/12</f>
        <v>0.98496417288460092</v>
      </c>
      <c r="AC48" s="24">
        <f t="shared" si="3"/>
        <v>78.857342474094636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244</v>
      </c>
      <c r="AG48" s="13">
        <f>VLOOKUP(A48,'Données projet'!$A$61:$I$81,9,0)</f>
        <v>11.2</v>
      </c>
      <c r="AH48" s="13">
        <f t="array" ref="AH48">INDEX(AG:AG,MIN(IF(ISNUMBER(AG48:AG244),ROW(AG48:AG244),"")))</f>
        <v>11.2</v>
      </c>
      <c r="AI48" s="14">
        <f>IF('Données projet'!$A$62&gt;35,AI47+AH48-AQ47,IF(A48&lt;'Données projet'!$A$62,$AF$205^A48,IF(A48='Données projet'!$A$62,'Données projet'!$B$62,AI47+AH48-AQ47)))</f>
        <v>243.99999999999989</v>
      </c>
      <c r="AJ48" s="14">
        <f>AI48*VLOOKUP('Données projet'!$B$10,Paramètres!$A$1:$I$89,3,0)*VLOOKUP('Données projet'!$B$10,Paramètres!$A$1:$I$89,5,0)</f>
        <v>213.15839999999994</v>
      </c>
      <c r="AK48" s="14">
        <f t="shared" si="35"/>
        <v>52.62517477463237</v>
      </c>
      <c r="AL48" s="22">
        <f t="shared" si="4"/>
        <v>462.90639273248456</v>
      </c>
      <c r="AM48" s="62">
        <f t="shared" si="5"/>
        <v>756.23972606581788</v>
      </c>
      <c r="AN48" s="62">
        <f ca="1">AVERAGE(OFFSET($AM$3,0,0,'Données projet'!$E$10+1,1))-AVERAGE(OFFSET($H$3,0,0,'Données projet'!$E$10+1,1))</f>
        <v>303.33040062722074</v>
      </c>
      <c r="AO48" s="62">
        <f t="shared" si="36"/>
        <v>425.30058672361548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41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9.2005983780310192</v>
      </c>
      <c r="AV48" s="23">
        <f>EXP(-LN(2)/25)*AV47+(1-EXP(-LN(2)/25))/(LN(2)/25)*Calculateur!AQ48*Calculateur!AS48*VLOOKUP('Données projet'!$B$10,Paramètres!$A$1:$I$89,3,0)*0.475*44/12</f>
        <v>20.301669204654626</v>
      </c>
      <c r="AW48" s="23">
        <f>EXP(-LN(2)/2)*AW47+(1-EXP(-LN(2)/2))/(LN(2)/2)*AQ48*AT48*VLOOKUP('Données projet'!$B$10,Paramètres!$A$1:$I$89,3,0)*0.475*44/12</f>
        <v>6.5470861213682355E-3</v>
      </c>
      <c r="AX48" s="23">
        <f t="shared" si="6"/>
        <v>29.508814668807016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17.5</v>
      </c>
      <c r="BD48" s="13">
        <f>IF('Données projet'!$A$88&gt;35,BD47+BC48-BL47,IF(A48&lt;'Données projet'!$A$88,$BA$205^A48,IF(A48='Données projet'!$A$88,'Données projet'!$B$88,BD47+BC48-BL47)))</f>
        <v>290.99999999999989</v>
      </c>
      <c r="BE48" s="14">
        <f>BD48*VLOOKUP('Données projet'!$B$11,Paramètres!$A$1:$I$89,3,0)*VLOOKUP('Données projet'!$B$11,Paramètres!$A$1:$I$89,5,0)</f>
        <v>136.18799999999993</v>
      </c>
      <c r="BF48" s="14">
        <f t="shared" si="37"/>
        <v>35.422331714503152</v>
      </c>
      <c r="BG48" s="22">
        <f t="shared" si="7"/>
        <v>298.88799440275955</v>
      </c>
      <c r="BH48" s="62">
        <f t="shared" si="8"/>
        <v>592.22132773609292</v>
      </c>
      <c r="BI48" s="62">
        <f ca="1">AVERAGE(OFFSET($BH$3,0,0,'Données projet'!$E$11+1,1))-AVERAGE(OFFSET($H$3,0,0,'Données projet'!$E$11+1,1))</f>
        <v>317.54276561627643</v>
      </c>
      <c r="BJ48" s="62">
        <f t="shared" si="38"/>
        <v>238.92443174298893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120</v>
      </c>
      <c r="BW48" s="13">
        <f>VLOOKUP(A48,'Données projet'!$A$113:$I$133,9,0)</f>
        <v>4.8</v>
      </c>
      <c r="BX48" s="13">
        <f t="array" ref="BX48">INDEX(BW:BW,MIN(IF(ISNUMBER(BW48:BW244),ROW(BW48:BW244),"")))</f>
        <v>4.8</v>
      </c>
      <c r="BY48" s="13">
        <f>IF('Données projet'!$A$114&gt;35,BY47+BX48-CG47,IF(A48&lt;'Données projet'!$A$114,$BV$205^A48,IF(A48='Données projet'!$A$114,'Données projet'!$B$114,BY47+BX48-CG47)))</f>
        <v>119.99999999999994</v>
      </c>
      <c r="BZ48" s="14">
        <f>BY48*VLOOKUP('Données projet'!$B$12,Paramètres!$A$1:$I$89,3,0)*VLOOKUP('Données projet'!$B$12,Paramètres!$A$1:$I$89,5,0)</f>
        <v>104.83199999999997</v>
      </c>
      <c r="CA48" s="14">
        <f t="shared" si="39"/>
        <v>28.109974371137692</v>
      </c>
      <c r="CB48" s="22">
        <f t="shared" si="10"/>
        <v>231.54060536306474</v>
      </c>
      <c r="CC48" s="62">
        <f t="shared" si="11"/>
        <v>524.873938696398</v>
      </c>
      <c r="CD48" s="62">
        <f ca="1">AVERAGE(OFFSET($CC$3,0,0,'Données projet'!$E$12+1,1))-AVERAGE(OFFSET($H$3,0,0,'Données projet'!$E$12+1,1))</f>
        <v>195.30963433439501</v>
      </c>
      <c r="CE48" s="62">
        <f t="shared" si="40"/>
        <v>185.00219255324504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107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106.99999999999999</v>
      </c>
      <c r="CU48" s="18">
        <f>CT48*VLOOKUP('Données projet'!$B$13,Paramètres!$A$1:$I$89,3,0)*VLOOKUP('Données projet'!$B$13,Paramètres!$A$1:$I$89,5,0)</f>
        <v>101.82119999999999</v>
      </c>
      <c r="CV48" s="14">
        <f t="shared" si="41"/>
        <v>27.395416540066275</v>
      </c>
      <c r="CW48" s="22">
        <f t="shared" si="13"/>
        <v>225.05227380728206</v>
      </c>
      <c r="CX48" s="62">
        <f t="shared" si="14"/>
        <v>518.38560714061532</v>
      </c>
      <c r="CY48" s="62">
        <f ca="1">AVERAGE(OFFSET($CX$3,0,0,'Données projet'!$E$13+1,1))-AVERAGE(OFFSET($H$3,0,0,'Données projet'!$E$13+1,1))</f>
        <v>293.996396026019</v>
      </c>
      <c r="CZ48" s="62">
        <f t="shared" si="42"/>
        <v>152.23954167722536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14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195.80903373714432</v>
      </c>
      <c r="T49" s="62">
        <f t="shared" si="34"/>
        <v>388.30721786668977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42.939847170187939</v>
      </c>
      <c r="AA49" s="23">
        <f>EXP(-LN(2)/25)*AA48+(1-EXP(-LN(2)/25))/(LN(2)/25)*Calculateur!V49*Calculateur!X49*VLOOKUP('Données projet'!$B$9,Paramètres!$A$1:$I$89,3,0)*0.475*44/12</f>
        <v>33.141918915867898</v>
      </c>
      <c r="AB49" s="23">
        <f>EXP(-LN(2)/2)*AB48+(1-EXP(-LN(2)/2))/(LN(2)/2)*V49*Y49*VLOOKUP('Données projet'!$B$9,Paramètres!$A$1:$I$89,3,0)*0.475*44/12</f>
        <v>0.6964748458725003</v>
      </c>
      <c r="AC49" s="24">
        <f t="shared" si="3"/>
        <v>76.778240931928337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9.8000000000000007</v>
      </c>
      <c r="AI49" s="14">
        <f>IF('Données projet'!$A$62&gt;35,AI48+AH49-AQ48,IF(A49&lt;'Données projet'!$A$62,$AF$205^A49,IF(A49='Données projet'!$A$62,'Données projet'!$B$62,AI48+AH49-AQ48)))</f>
        <v>212.7999999999999</v>
      </c>
      <c r="AJ49" s="14">
        <f>AI49*VLOOKUP('Données projet'!$B$10,Paramètres!$A$1:$I$89,3,0)*VLOOKUP('Données projet'!$B$10,Paramètres!$A$1:$I$89,5,0)</f>
        <v>185.90207999999993</v>
      </c>
      <c r="AK49" s="14">
        <f t="shared" si="35"/>
        <v>46.632814435744606</v>
      </c>
      <c r="AL49" s="22">
        <f t="shared" si="4"/>
        <v>404.9982744755884</v>
      </c>
      <c r="AM49" s="62">
        <f t="shared" si="5"/>
        <v>698.33160780892172</v>
      </c>
      <c r="AN49" s="62">
        <f ca="1">AVERAGE(OFFSET($AM$3,0,0,'Données projet'!$E$10+1,1))-AVERAGE(OFFSET($H$3,0,0,'Données projet'!$E$10+1,1))</f>
        <v>303.33040062722074</v>
      </c>
      <c r="AO49" s="62">
        <f t="shared" si="36"/>
        <v>425.30058672361548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9.0201802556487216</v>
      </c>
      <c r="AV49" s="23">
        <f>EXP(-LN(2)/25)*AV48+(1-EXP(-LN(2)/25))/(LN(2)/25)*Calculateur!AQ49*Calculateur!AS49*VLOOKUP('Données projet'!$B$10,Paramètres!$A$1:$I$89,3,0)*0.475*44/12</f>
        <v>19.746518992634961</v>
      </c>
      <c r="AW49" s="23">
        <f>EXP(-LN(2)/2)*AW48+(1-EXP(-LN(2)/2))/(LN(2)/2)*AQ49*AT49*VLOOKUP('Données projet'!$B$10,Paramètres!$A$1:$I$89,3,0)*0.475*44/12</f>
        <v>4.629488993431811E-3</v>
      </c>
      <c r="AX49" s="23">
        <f t="shared" si="6"/>
        <v>28.771328737277113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17.5</v>
      </c>
      <c r="BD49" s="13">
        <f>IF('Données projet'!$A$88&gt;35,BD48+BC49-BL48,IF(A49&lt;'Données projet'!$A$88,$BA$205^A49,IF(A49='Données projet'!$A$88,'Données projet'!$B$88,BD48+BC49-BL48)))</f>
        <v>308.49999999999989</v>
      </c>
      <c r="BE49" s="14">
        <f>BD49*VLOOKUP('Données projet'!$B$11,Paramètres!$A$1:$I$89,3,0)*VLOOKUP('Données projet'!$B$11,Paramètres!$A$1:$I$89,5,0)</f>
        <v>144.37799999999996</v>
      </c>
      <c r="BF49" s="14">
        <f t="shared" si="37"/>
        <v>37.298139369272413</v>
      </c>
      <c r="BG49" s="22">
        <f t="shared" si="7"/>
        <v>316.41927606814937</v>
      </c>
      <c r="BH49" s="62">
        <f t="shared" si="8"/>
        <v>609.75260940148269</v>
      </c>
      <c r="BI49" s="62">
        <f ca="1">AVERAGE(OFFSET($BH$3,0,0,'Données projet'!$E$11+1,1))-AVERAGE(OFFSET($H$3,0,0,'Données projet'!$E$11+1,1))</f>
        <v>317.54276561627643</v>
      </c>
      <c r="BJ49" s="62">
        <f t="shared" si="38"/>
        <v>238.92443174298893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4.2</v>
      </c>
      <c r="BY49" s="13">
        <f>IF('Données projet'!$A$114&gt;35,BY48+BX49-CG48,IF(A49&lt;'Données projet'!$A$114,$BV$205^A49,IF(A49='Données projet'!$A$114,'Données projet'!$B$114,BY48+BX49-CG48)))</f>
        <v>110.19999999999995</v>
      </c>
      <c r="BZ49" s="14">
        <f>BY49*VLOOKUP('Données projet'!$B$12,Paramètres!$A$1:$I$89,3,0)*VLOOKUP('Données projet'!$B$12,Paramètres!$A$1:$I$89,5,0)</f>
        <v>96.270719999999969</v>
      </c>
      <c r="CA49" s="14">
        <f t="shared" si="39"/>
        <v>26.071592384845928</v>
      </c>
      <c r="CB49" s="22">
        <f t="shared" si="10"/>
        <v>213.07952740360659</v>
      </c>
      <c r="CC49" s="62">
        <f t="shared" si="11"/>
        <v>506.41286073693993</v>
      </c>
      <c r="CD49" s="62">
        <f ca="1">AVERAGE(OFFSET($CC$3,0,0,'Données projet'!$E$12+1,1))-AVERAGE(OFFSET($H$3,0,0,'Données projet'!$E$12+1,1))</f>
        <v>195.30963433439501</v>
      </c>
      <c r="CE49" s="62">
        <f t="shared" si="40"/>
        <v>185.00219255324504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98.59999999999998</v>
      </c>
      <c r="CU49" s="18">
        <f>CT49*VLOOKUP('Données projet'!$B$13,Paramètres!$A$1:$I$89,3,0)*VLOOKUP('Données projet'!$B$13,Paramètres!$A$1:$I$89,5,0)</f>
        <v>93.827759999999984</v>
      </c>
      <c r="CV49" s="14">
        <f t="shared" si="41"/>
        <v>25.486138814422123</v>
      </c>
      <c r="CW49" s="22">
        <f t="shared" si="13"/>
        <v>207.80504043511849</v>
      </c>
      <c r="CX49" s="62">
        <f t="shared" si="14"/>
        <v>501.1383737684518</v>
      </c>
      <c r="CY49" s="62">
        <f ca="1">AVERAGE(OFFSET($CX$3,0,0,'Données projet'!$E$13+1,1))-AVERAGE(OFFSET($H$3,0,0,'Données projet'!$E$13+1,1))</f>
        <v>293.996396026019</v>
      </c>
      <c r="CZ49" s="62">
        <f t="shared" si="42"/>
        <v>152.23954167722536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195.80903373714432</v>
      </c>
      <c r="T50" s="62">
        <f t="shared" si="34"/>
        <v>388.30721786668977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42.097822957901208</v>
      </c>
      <c r="AA50" s="23">
        <f>EXP(-LN(2)/25)*AA49+(1-EXP(-LN(2)/25))/(LN(2)/25)*Calculateur!V50*Calculateur!X50*VLOOKUP('Données projet'!$B$9,Paramètres!$A$1:$I$89,3,0)*0.475*44/12</f>
        <v>32.235651400255719</v>
      </c>
      <c r="AB50" s="23">
        <f>EXP(-LN(2)/2)*AB49+(1-EXP(-LN(2)/2))/(LN(2)/2)*V50*Y50*VLOOKUP('Données projet'!$B$9,Paramètres!$A$1:$I$89,3,0)*0.475*44/12</f>
        <v>0.49248208644230052</v>
      </c>
      <c r="AC50" s="24">
        <f t="shared" si="3"/>
        <v>74.825956444599228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9.8000000000000007</v>
      </c>
      <c r="AI50" s="14">
        <f>IF('Données projet'!$A$62&gt;35,AI49+AH50-AQ49,IF(A50&lt;'Données projet'!$A$62,$AF$205^A50,IF(A50='Données projet'!$A$62,'Données projet'!$B$62,AI49+AH50-AQ49)))</f>
        <v>222.59999999999991</v>
      </c>
      <c r="AJ50" s="14">
        <f>AI50*VLOOKUP('Données projet'!$B$10,Paramètres!$A$1:$I$89,3,0)*VLOOKUP('Données projet'!$B$10,Paramètres!$A$1:$I$89,5,0)</f>
        <v>194.46335999999994</v>
      </c>
      <c r="AK50" s="14">
        <f t="shared" si="35"/>
        <v>48.525400894162644</v>
      </c>
      <c r="AL50" s="22">
        <f t="shared" si="4"/>
        <v>423.20542522399978</v>
      </c>
      <c r="AM50" s="62">
        <f t="shared" si="5"/>
        <v>716.53875855733304</v>
      </c>
      <c r="AN50" s="62">
        <f ca="1">AVERAGE(OFFSET($AM$3,0,0,'Données projet'!$E$10+1,1))-AVERAGE(OFFSET($H$3,0,0,'Données projet'!$E$10+1,1))</f>
        <v>303.33040062722074</v>
      </c>
      <c r="AO50" s="62">
        <f t="shared" si="36"/>
        <v>425.30058672361548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8.8433000226021523</v>
      </c>
      <c r="AV50" s="23">
        <f>EXP(-LN(2)/25)*AV49+(1-EXP(-LN(2)/25))/(LN(2)/25)*Calculateur!AQ50*Calculateur!AS50*VLOOKUP('Données projet'!$B$10,Paramètres!$A$1:$I$89,3,0)*0.475*44/12</f>
        <v>19.206549392357054</v>
      </c>
      <c r="AW50" s="23">
        <f>EXP(-LN(2)/2)*AW49+(1-EXP(-LN(2)/2))/(LN(2)/2)*AQ50*AT50*VLOOKUP('Données projet'!$B$10,Paramètres!$A$1:$I$89,3,0)*0.475*44/12</f>
        <v>3.2735430606841177E-3</v>
      </c>
      <c r="AX50" s="23">
        <f t="shared" si="6"/>
        <v>28.053122958019888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17.5</v>
      </c>
      <c r="BD50" s="13">
        <f>IF('Données projet'!$A$88&gt;35,BD49+BC50-BL49,IF(A50&lt;'Données projet'!$A$88,$BA$205^A50,IF(A50='Données projet'!$A$88,'Données projet'!$B$88,BD49+BC50-BL49)))</f>
        <v>325.99999999999989</v>
      </c>
      <c r="BE50" s="14">
        <f>BD50*VLOOKUP('Données projet'!$B$11,Paramètres!$A$1:$I$89,3,0)*VLOOKUP('Données projet'!$B$11,Paramètres!$A$1:$I$89,5,0)</f>
        <v>152.56799999999996</v>
      </c>
      <c r="BF50" s="14">
        <f t="shared" si="37"/>
        <v>39.161595030150863</v>
      </c>
      <c r="BG50" s="22">
        <f t="shared" si="7"/>
        <v>333.92904467751265</v>
      </c>
      <c r="BH50" s="62">
        <f t="shared" si="8"/>
        <v>627.26237801084596</v>
      </c>
      <c r="BI50" s="62">
        <f ca="1">AVERAGE(OFFSET($BH$3,0,0,'Données projet'!$E$11+1,1))-AVERAGE(OFFSET($H$3,0,0,'Données projet'!$E$11+1,1))</f>
        <v>317.54276561627643</v>
      </c>
      <c r="BJ50" s="62">
        <f t="shared" si="38"/>
        <v>238.92443174298893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4.2</v>
      </c>
      <c r="BY50" s="13">
        <f>IF('Données projet'!$A$114&gt;35,BY49+BX50-CG49,IF(A50&lt;'Données projet'!$A$114,$BV$205^A50,IF(A50='Données projet'!$A$114,'Données projet'!$B$114,BY49+BX50-CG49)))</f>
        <v>114.39999999999995</v>
      </c>
      <c r="BZ50" s="14">
        <f>BY50*VLOOKUP('Données projet'!$B$12,Paramètres!$A$1:$I$89,3,0)*VLOOKUP('Données projet'!$B$12,Paramètres!$A$1:$I$89,5,0)</f>
        <v>99.939839999999975</v>
      </c>
      <c r="CA50" s="14">
        <f t="shared" si="39"/>
        <v>26.947664756006503</v>
      </c>
      <c r="CB50" s="22">
        <f t="shared" si="10"/>
        <v>220.99573745004457</v>
      </c>
      <c r="CC50" s="62">
        <f t="shared" si="11"/>
        <v>514.32907078337792</v>
      </c>
      <c r="CD50" s="62">
        <f ca="1">AVERAGE(OFFSET($CC$3,0,0,'Données projet'!$E$12+1,1))-AVERAGE(OFFSET($H$3,0,0,'Données projet'!$E$12+1,1))</f>
        <v>195.30963433439501</v>
      </c>
      <c r="CE50" s="62">
        <f t="shared" si="40"/>
        <v>185.00219255324504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104.19999999999997</v>
      </c>
      <c r="CU50" s="18">
        <f>CT50*VLOOKUP('Données projet'!$B$13,Paramètres!$A$1:$I$89,3,0)*VLOOKUP('Données projet'!$B$13,Paramètres!$A$1:$I$89,5,0)</f>
        <v>99.156719999999979</v>
      </c>
      <c r="CV50" s="14">
        <f t="shared" si="41"/>
        <v>26.7609988066732</v>
      </c>
      <c r="CW50" s="22">
        <f t="shared" si="13"/>
        <v>219.30669358828911</v>
      </c>
      <c r="CX50" s="62">
        <f t="shared" si="14"/>
        <v>512.64002692162239</v>
      </c>
      <c r="CY50" s="62">
        <f ca="1">AVERAGE(OFFSET($CX$3,0,0,'Données projet'!$E$13+1,1))-AVERAGE(OFFSET($H$3,0,0,'Données projet'!$E$13+1,1))</f>
        <v>293.996396026019</v>
      </c>
      <c r="CZ50" s="62">
        <f t="shared" si="42"/>
        <v>152.23954167722536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195.80903373714432</v>
      </c>
      <c r="T51" s="62">
        <f t="shared" si="34"/>
        <v>388.30721786668977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41.272310326833363</v>
      </c>
      <c r="AA51" s="23">
        <f>EXP(-LN(2)/25)*AA50+(1-EXP(-LN(2)/25))/(LN(2)/25)*Calculateur!V51*Calculateur!X51*VLOOKUP('Données projet'!$B$9,Paramètres!$A$1:$I$89,3,0)*0.475*44/12</f>
        <v>31.354165817516495</v>
      </c>
      <c r="AB51" s="23">
        <f>EXP(-LN(2)/2)*AB50+(1-EXP(-LN(2)/2))/(LN(2)/2)*V51*Y51*VLOOKUP('Données projet'!$B$9,Paramètres!$A$1:$I$89,3,0)*0.475*44/12</f>
        <v>0.34823742293625021</v>
      </c>
      <c r="AC51" s="24">
        <f t="shared" si="3"/>
        <v>72.974713567286102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9.8000000000000007</v>
      </c>
      <c r="AI51" s="14">
        <f>IF('Données projet'!$A$62&gt;35,AI50+AH51-AQ50,IF(A51&lt;'Données projet'!$A$62,$AF$205^A51,IF(A51='Données projet'!$A$62,'Données projet'!$B$62,AI50+AH51-AQ50)))</f>
        <v>232.39999999999992</v>
      </c>
      <c r="AJ51" s="14">
        <f>AI51*VLOOKUP('Données projet'!$B$10,Paramètres!$A$1:$I$89,3,0)*VLOOKUP('Données projet'!$B$10,Paramètres!$A$1:$I$89,5,0)</f>
        <v>203.02463999999998</v>
      </c>
      <c r="AK51" s="14">
        <f t="shared" si="35"/>
        <v>50.408310246654189</v>
      </c>
      <c r="AL51" s="22">
        <f t="shared" si="4"/>
        <v>441.39572167958931</v>
      </c>
      <c r="AM51" s="62">
        <f t="shared" si="5"/>
        <v>734.72905501292257</v>
      </c>
      <c r="AN51" s="62">
        <f ca="1">AVERAGE(OFFSET($AM$3,0,0,'Données projet'!$E$10+1,1))-AVERAGE(OFFSET($H$3,0,0,'Données projet'!$E$10+1,1))</f>
        <v>303.33040062722074</v>
      </c>
      <c r="AO51" s="62">
        <f t="shared" si="36"/>
        <v>425.30058672361548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8.6698883030393361</v>
      </c>
      <c r="AV51" s="23">
        <f>EXP(-LN(2)/25)*AV50+(1-EXP(-LN(2)/25))/(LN(2)/25)*Calculateur!AQ51*Calculateur!AS51*VLOOKUP('Données projet'!$B$10,Paramètres!$A$1:$I$89,3,0)*0.475*44/12</f>
        <v>18.681345289194514</v>
      </c>
      <c r="AW51" s="23">
        <f>EXP(-LN(2)/2)*AW50+(1-EXP(-LN(2)/2))/(LN(2)/2)*AQ51*AT51*VLOOKUP('Données projet'!$B$10,Paramètres!$A$1:$I$89,3,0)*0.475*44/12</f>
        <v>2.3147444967159055E-3</v>
      </c>
      <c r="AX51" s="23">
        <f t="shared" si="6"/>
        <v>27.353548336730565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17.5</v>
      </c>
      <c r="BD51" s="13">
        <f>IF('Données projet'!$A$88&gt;35,BD50+BC51-BL50,IF(A51&lt;'Données projet'!$A$88,$BA$205^A51,IF(A51='Données projet'!$A$88,'Données projet'!$B$88,BD50+BC51-BL50)))</f>
        <v>343.49999999999989</v>
      </c>
      <c r="BE51" s="14">
        <f>BD51*VLOOKUP('Données projet'!$B$11,Paramètres!$A$1:$I$89,3,0)*VLOOKUP('Données projet'!$B$11,Paramètres!$A$1:$I$89,5,0)</f>
        <v>160.75799999999995</v>
      </c>
      <c r="BF51" s="14">
        <f t="shared" si="37"/>
        <v>41.013437365421375</v>
      </c>
      <c r="BG51" s="22">
        <f t="shared" si="7"/>
        <v>351.41858674477544</v>
      </c>
      <c r="BH51" s="62">
        <f t="shared" si="8"/>
        <v>644.7519200781087</v>
      </c>
      <c r="BI51" s="62">
        <f ca="1">AVERAGE(OFFSET($BH$3,0,0,'Données projet'!$E$11+1,1))-AVERAGE(OFFSET($H$3,0,0,'Données projet'!$E$11+1,1))</f>
        <v>317.54276561627643</v>
      </c>
      <c r="BJ51" s="62">
        <f t="shared" si="38"/>
        <v>238.92443174298893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4.2</v>
      </c>
      <c r="BY51" s="13">
        <f>IF('Données projet'!$A$114&gt;35,BY50+BX51-CG50,IF(A51&lt;'Données projet'!$A$114,$BV$205^A51,IF(A51='Données projet'!$A$114,'Données projet'!$B$114,BY50+BX51-CG50)))</f>
        <v>118.59999999999995</v>
      </c>
      <c r="BZ51" s="14">
        <f>BY51*VLOOKUP('Données projet'!$B$12,Paramètres!$A$1:$I$89,3,0)*VLOOKUP('Données projet'!$B$12,Paramètres!$A$1:$I$89,5,0)</f>
        <v>103.60895999999998</v>
      </c>
      <c r="CA51" s="14">
        <f t="shared" si="39"/>
        <v>27.820000397643376</v>
      </c>
      <c r="CB51" s="22">
        <f t="shared" si="10"/>
        <v>228.90543935922884</v>
      </c>
      <c r="CC51" s="62">
        <f t="shared" si="11"/>
        <v>522.23877269256218</v>
      </c>
      <c r="CD51" s="62">
        <f ca="1">AVERAGE(OFFSET($CC$3,0,0,'Données projet'!$E$12+1,1))-AVERAGE(OFFSET($H$3,0,0,'Données projet'!$E$12+1,1))</f>
        <v>195.30963433439501</v>
      </c>
      <c r="CE51" s="62">
        <f t="shared" si="40"/>
        <v>185.00219255324504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109.79999999999997</v>
      </c>
      <c r="CU51" s="18">
        <f>CT51*VLOOKUP('Données projet'!$B$13,Paramètres!$A$1:$I$89,3,0)*VLOOKUP('Données projet'!$B$13,Paramètres!$A$1:$I$89,5,0)</f>
        <v>104.48567999999997</v>
      </c>
      <c r="CV51" s="14">
        <f t="shared" si="41"/>
        <v>28.027904556241349</v>
      </c>
      <c r="CW51" s="22">
        <f t="shared" si="13"/>
        <v>230.7944931021203</v>
      </c>
      <c r="CX51" s="62">
        <f t="shared" si="14"/>
        <v>524.12782643545358</v>
      </c>
      <c r="CY51" s="62">
        <f ca="1">AVERAGE(OFFSET($CX$3,0,0,'Données projet'!$E$13+1,1))-AVERAGE(OFFSET($H$3,0,0,'Données projet'!$E$13+1,1))</f>
        <v>293.996396026019</v>
      </c>
      <c r="CZ51" s="62">
        <f t="shared" si="42"/>
        <v>152.23954167722536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195.80903373714432</v>
      </c>
      <c r="T52" s="62">
        <f t="shared" si="34"/>
        <v>388.30721786668977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40.462985494947773</v>
      </c>
      <c r="AA52" s="23">
        <f>EXP(-LN(2)/25)*AA51+(1-EXP(-LN(2)/25))/(LN(2)/25)*Calculateur!V52*Calculateur!X52*VLOOKUP('Données projet'!$B$9,Paramètres!$A$1:$I$89,3,0)*0.475*44/12</f>
        <v>30.496784504392586</v>
      </c>
      <c r="AB52" s="23">
        <f>EXP(-LN(2)/2)*AB51+(1-EXP(-LN(2)/2))/(LN(2)/2)*V52*Y52*VLOOKUP('Données projet'!$B$9,Paramètres!$A$1:$I$89,3,0)*0.475*44/12</f>
        <v>0.24624104322115029</v>
      </c>
      <c r="AC52" s="24">
        <f t="shared" si="3"/>
        <v>71.206011042561499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9.8000000000000007</v>
      </c>
      <c r="AI52" s="14">
        <f>IF('Données projet'!$A$62&gt;35,AI51+AH52-AQ51,IF(A52&lt;'Données projet'!$A$62,$AF$205^A52,IF(A52='Données projet'!$A$62,'Données projet'!$B$62,AI51+AH52-AQ51)))</f>
        <v>242.19999999999993</v>
      </c>
      <c r="AJ52" s="14">
        <f>AI52*VLOOKUP('Données projet'!$B$10,Paramètres!$A$1:$I$89,3,0)*VLOOKUP('Données projet'!$B$10,Paramètres!$A$1:$I$89,5,0)</f>
        <v>211.58591999999996</v>
      </c>
      <c r="AK52" s="14">
        <f t="shared" si="35"/>
        <v>52.281997222074629</v>
      </c>
      <c r="AL52" s="22">
        <f t="shared" si="4"/>
        <v>459.56995582844655</v>
      </c>
      <c r="AM52" s="62">
        <f t="shared" si="5"/>
        <v>752.90328916177987</v>
      </c>
      <c r="AN52" s="62">
        <f ca="1">AVERAGE(OFFSET($AM$3,0,0,'Données projet'!$E$10+1,1))-AVERAGE(OFFSET($H$3,0,0,'Données projet'!$E$10+1,1))</f>
        <v>303.33040062722074</v>
      </c>
      <c r="AO52" s="62">
        <f t="shared" si="36"/>
        <v>425.30058672361548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8.4998770815264422</v>
      </c>
      <c r="AV52" s="23">
        <f>EXP(-LN(2)/25)*AV51+(1-EXP(-LN(2)/25))/(LN(2)/25)*Calculateur!AQ52*Calculateur!AS52*VLOOKUP('Données projet'!$B$10,Paramètres!$A$1:$I$89,3,0)*0.475*44/12</f>
        <v>18.17050291985224</v>
      </c>
      <c r="AW52" s="23">
        <f>EXP(-LN(2)/2)*AW51+(1-EXP(-LN(2)/2))/(LN(2)/2)*AQ52*AT52*VLOOKUP('Données projet'!$B$10,Paramètres!$A$1:$I$89,3,0)*0.475*44/12</f>
        <v>1.6367715303420589E-3</v>
      </c>
      <c r="AX52" s="23">
        <f t="shared" si="6"/>
        <v>26.672016772909025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361</v>
      </c>
      <c r="BB52" s="13">
        <f>VLOOKUP(A52,'Données projet'!$A$87:$I$107,9,0)</f>
        <v>17.5</v>
      </c>
      <c r="BC52" s="13">
        <f t="array" ref="BC52">INDEX(BB:BB,MIN(IF(ISNUMBER(BB52:BB248),ROW(BB52:BB248),"")))</f>
        <v>17.5</v>
      </c>
      <c r="BD52" s="13">
        <f>IF('Données projet'!$A$88&gt;35,BD51+BC52-BL51,IF(A52&lt;'Données projet'!$A$88,$BA$205^A52,IF(A52='Données projet'!$A$88,'Données projet'!$B$88,BD51+BC52-BL51)))</f>
        <v>360.99999999999989</v>
      </c>
      <c r="BE52" s="14">
        <f>BD52*VLOOKUP('Données projet'!$B$11,Paramètres!$A$1:$I$89,3,0)*VLOOKUP('Données projet'!$B$11,Paramètres!$A$1:$I$89,5,0)</f>
        <v>168.94799999999995</v>
      </c>
      <c r="BF52" s="14">
        <f t="shared" si="37"/>
        <v>42.854325527446242</v>
      </c>
      <c r="BG52" s="22">
        <f t="shared" si="7"/>
        <v>368.88905029363542</v>
      </c>
      <c r="BH52" s="62">
        <f t="shared" si="8"/>
        <v>662.22238362696874</v>
      </c>
      <c r="BI52" s="62">
        <f ca="1">AVERAGE(OFFSET($BH$3,0,0,'Données projet'!$E$11+1,1))-AVERAGE(OFFSET($H$3,0,0,'Données projet'!$E$11+1,1))</f>
        <v>317.54276561627643</v>
      </c>
      <c r="BJ52" s="62">
        <f t="shared" si="38"/>
        <v>238.92443174298893</v>
      </c>
      <c r="BK52" s="16">
        <f>IF(ISNA(VLOOKUP(A52,'Données projet'!$A$87:$I$107,3,0)),0,VLOOKUP(A52,'Données projet'!$A$87:$I$107,3,0))</f>
        <v>5</v>
      </c>
      <c r="BL52" s="16">
        <f>IF(ISNA(VLOOKUP(A52,'Données projet'!$A$87:$I$107,4,0)),0,VLOOKUP(A52,'Données projet'!$A$87:$I$107,4,0))</f>
        <v>100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4.2</v>
      </c>
      <c r="BY52" s="13">
        <f>IF('Données projet'!$A$114&gt;35,BY51+BX52-CG51,IF(A52&lt;'Données projet'!$A$114,$BV$205^A52,IF(A52='Données projet'!$A$114,'Données projet'!$B$114,BY51+BX52-CG51)))</f>
        <v>122.79999999999995</v>
      </c>
      <c r="BZ52" s="14">
        <f>BY52*VLOOKUP('Données projet'!$B$12,Paramètres!$A$1:$I$89,3,0)*VLOOKUP('Données projet'!$B$12,Paramètres!$A$1:$I$89,5,0)</f>
        <v>107.27807999999999</v>
      </c>
      <c r="CA52" s="14">
        <f t="shared" si="39"/>
        <v>28.688746800886673</v>
      </c>
      <c r="CB52" s="22">
        <f t="shared" si="10"/>
        <v>236.80889001154424</v>
      </c>
      <c r="CC52" s="62">
        <f t="shared" si="11"/>
        <v>530.14222334487749</v>
      </c>
      <c r="CD52" s="62">
        <f ca="1">AVERAGE(OFFSET($CC$3,0,0,'Données projet'!$E$12+1,1))-AVERAGE(OFFSET($H$3,0,0,'Données projet'!$E$12+1,1))</f>
        <v>195.30963433439501</v>
      </c>
      <c r="CE52" s="62">
        <f t="shared" si="40"/>
        <v>185.00219255324504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115.39999999999996</v>
      </c>
      <c r="CU52" s="18">
        <f>CT52*VLOOKUP('Données projet'!$B$13,Paramètres!$A$1:$I$89,3,0)*VLOOKUP('Données projet'!$B$13,Paramètres!$A$1:$I$89,5,0)</f>
        <v>109.81463999999997</v>
      </c>
      <c r="CV52" s="14">
        <f t="shared" si="41"/>
        <v>29.287308025077461</v>
      </c>
      <c r="CW52" s="22">
        <f t="shared" si="13"/>
        <v>242.26922614367652</v>
      </c>
      <c r="CX52" s="62">
        <f t="shared" si="14"/>
        <v>535.60255947700989</v>
      </c>
      <c r="CY52" s="62">
        <f ca="1">AVERAGE(OFFSET($CX$3,0,0,'Données projet'!$E$13+1,1))-AVERAGE(OFFSET($H$3,0,0,'Données projet'!$E$13+1,1))</f>
        <v>293.996396026019</v>
      </c>
      <c r="CZ52" s="62">
        <f t="shared" si="42"/>
        <v>152.23954167722536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195.80903373714432</v>
      </c>
      <c r="T53" s="62">
        <f t="shared" si="34"/>
        <v>388.30721786668977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39.669531029376053</v>
      </c>
      <c r="AA53" s="23">
        <f>EXP(-LN(2)/25)*AA52+(1-EXP(-LN(2)/25))/(LN(2)/25)*Calculateur!V53*Calculateur!X53*VLOOKUP('Données projet'!$B$9,Paramètres!$A$1:$I$89,3,0)*0.475*44/12</f>
        <v>29.662848328363776</v>
      </c>
      <c r="AB53" s="23">
        <f>EXP(-LN(2)/2)*AB52+(1-EXP(-LN(2)/2))/(LN(2)/2)*V53*Y53*VLOOKUP('Données projet'!$B$9,Paramètres!$A$1:$I$89,3,0)*0.475*44/12</f>
        <v>0.17411871146812513</v>
      </c>
      <c r="AC53" s="24">
        <f t="shared" si="3"/>
        <v>69.50649806920795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252</v>
      </c>
      <c r="AG53" s="13">
        <f>VLOOKUP(A53,'Données projet'!$A$61:$I$81,9,0)</f>
        <v>9.8000000000000007</v>
      </c>
      <c r="AH53" s="13">
        <f t="array" ref="AH53">INDEX(AG:AG,MIN(IF(ISNUMBER(AG53:AG249),ROW(AG53:AG249),"")))</f>
        <v>9.8000000000000007</v>
      </c>
      <c r="AI53" s="14">
        <f>IF('Données projet'!$A$62&gt;35,AI52+AH53-AQ52,IF(A53&lt;'Données projet'!$A$62,$AF$205^A53,IF(A53='Données projet'!$A$62,'Données projet'!$B$62,AI52+AH53-AQ52)))</f>
        <v>251.99999999999994</v>
      </c>
      <c r="AJ53" s="14">
        <f>AI53*VLOOKUP('Données projet'!$B$10,Paramètres!$A$1:$I$89,3,0)*VLOOKUP('Données projet'!$B$10,Paramètres!$A$1:$I$89,5,0)</f>
        <v>220.14719999999997</v>
      </c>
      <c r="AK53" s="14">
        <f t="shared" si="35"/>
        <v>54.146877667769637</v>
      </c>
      <c r="AL53" s="22">
        <f t="shared" si="4"/>
        <v>477.72885193803205</v>
      </c>
      <c r="AM53" s="62">
        <f t="shared" si="5"/>
        <v>771.06218527136537</v>
      </c>
      <c r="AN53" s="62">
        <f ca="1">AVERAGE(OFFSET($AM$3,0,0,'Données projet'!$E$10+1,1))-AVERAGE(OFFSET($H$3,0,0,'Données projet'!$E$10+1,1))</f>
        <v>303.33040062722074</v>
      </c>
      <c r="AO53" s="62">
        <f t="shared" si="36"/>
        <v>425.30058672361548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37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8.3331996763708105</v>
      </c>
      <c r="AV53" s="23">
        <f>EXP(-LN(2)/25)*AV52+(1-EXP(-LN(2)/25))/(LN(2)/25)*Calculateur!AQ53*Calculateur!AS53*VLOOKUP('Données projet'!$B$10,Paramètres!$A$1:$I$89,3,0)*0.475*44/12</f>
        <v>17.673629561963661</v>
      </c>
      <c r="AW53" s="23">
        <f>EXP(-LN(2)/2)*AW52+(1-EXP(-LN(2)/2))/(LN(2)/2)*AQ53*AT53*VLOOKUP('Données projet'!$B$10,Paramètres!$A$1:$I$89,3,0)*0.475*44/12</f>
        <v>1.1573722483579527E-3</v>
      </c>
      <c r="AX53" s="23">
        <f t="shared" si="6"/>
        <v>26.007986610582829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278</v>
      </c>
      <c r="BB53" s="13">
        <f>VLOOKUP(A53,'Données projet'!$A$87:$I$107,9,0)</f>
        <v>17</v>
      </c>
      <c r="BC53" s="13">
        <f t="array" ref="BC53">INDEX(BB:BB,MIN(IF(ISNUMBER(BB53:BB249),ROW(BB53:BB249),"")))</f>
        <v>17</v>
      </c>
      <c r="BD53" s="13">
        <f>IF('Données projet'!$A$88&gt;35,BD52+BC53-BL52,IF(A53&lt;'Données projet'!$A$88,$BA$205^A53,IF(A53='Données projet'!$A$88,'Données projet'!$B$88,BD52+BC53-BL52)))</f>
        <v>277.99999999999989</v>
      </c>
      <c r="BE53" s="14">
        <f>BD53*VLOOKUP('Données projet'!$B$11,Paramètres!$A$1:$I$89,3,0)*VLOOKUP('Données projet'!$B$11,Paramètres!$A$1:$I$89,5,0)</f>
        <v>130.10399999999996</v>
      </c>
      <c r="BF53" s="14">
        <f t="shared" si="37"/>
        <v>34.020389560268086</v>
      </c>
      <c r="BG53" s="22">
        <f t="shared" si="7"/>
        <v>285.84997848413349</v>
      </c>
      <c r="BH53" s="62">
        <f t="shared" si="8"/>
        <v>579.1833118174668</v>
      </c>
      <c r="BI53" s="62">
        <f ca="1">AVERAGE(OFFSET($BH$3,0,0,'Données projet'!$E$11+1,1))-AVERAGE(OFFSET($H$3,0,0,'Données projet'!$E$11+1,1))</f>
        <v>317.54276561627643</v>
      </c>
      <c r="BJ53" s="62">
        <f t="shared" si="38"/>
        <v>238.92443174298893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127</v>
      </c>
      <c r="BW53" s="13">
        <f>VLOOKUP(A53,'Données projet'!$A$113:$I$133,9,0)</f>
        <v>4.2</v>
      </c>
      <c r="BX53" s="13">
        <f t="array" ref="BX53">INDEX(BW:BW,MIN(IF(ISNUMBER(BW53:BW249),ROW(BW53:BW249),"")))</f>
        <v>4.2</v>
      </c>
      <c r="BY53" s="13">
        <f>IF('Données projet'!$A$114&gt;35,BY52+BX53-CG52,IF(A53&lt;'Données projet'!$A$114,$BV$205^A53,IF(A53='Données projet'!$A$114,'Données projet'!$B$114,BY52+BX53-CG52)))</f>
        <v>126.99999999999996</v>
      </c>
      <c r="BZ53" s="14">
        <f>BY53*VLOOKUP('Données projet'!$B$12,Paramètres!$A$1:$I$89,3,0)*VLOOKUP('Données projet'!$B$12,Paramètres!$A$1:$I$89,5,0)</f>
        <v>110.94719999999997</v>
      </c>
      <c r="CA53" s="14">
        <f t="shared" si="39"/>
        <v>29.554040795615606</v>
      </c>
      <c r="CB53" s="22">
        <f t="shared" si="10"/>
        <v>244.70632771903044</v>
      </c>
      <c r="CC53" s="62">
        <f t="shared" si="11"/>
        <v>538.03966105236373</v>
      </c>
      <c r="CD53" s="62">
        <f ca="1">AVERAGE(OFFSET($CC$3,0,0,'Données projet'!$E$12+1,1))-AVERAGE(OFFSET($H$3,0,0,'Données projet'!$E$12+1,1))</f>
        <v>195.30963433439501</v>
      </c>
      <c r="CE53" s="62">
        <f t="shared" si="40"/>
        <v>185.00219255324504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11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121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120.99999999999996</v>
      </c>
      <c r="CU53" s="18">
        <f>CT53*VLOOKUP('Données projet'!$B$13,Paramètres!$A$1:$I$89,3,0)*VLOOKUP('Données projet'!$B$13,Paramètres!$A$1:$I$89,5,0)</f>
        <v>115.14359999999996</v>
      </c>
      <c r="CV53" s="14">
        <f t="shared" si="41"/>
        <v>30.539614832250223</v>
      </c>
      <c r="CW53" s="22">
        <f t="shared" si="13"/>
        <v>253.7315991661691</v>
      </c>
      <c r="CX53" s="62">
        <f t="shared" si="14"/>
        <v>547.06493249950245</v>
      </c>
      <c r="CY53" s="62">
        <f ca="1">AVERAGE(OFFSET($CX$3,0,0,'Données projet'!$E$13+1,1))-AVERAGE(OFFSET($H$3,0,0,'Données projet'!$E$13+1,1))</f>
        <v>293.996396026019</v>
      </c>
      <c r="CZ53" s="62">
        <f t="shared" si="42"/>
        <v>152.23954167722536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14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195.80903373714432</v>
      </c>
      <c r="T54" s="62">
        <f t="shared" si="34"/>
        <v>388.30721786668977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38.89163572191476</v>
      </c>
      <c r="AA54" s="23">
        <f>EXP(-LN(2)/25)*AA53+(1-EXP(-LN(2)/25))/(LN(2)/25)*Calculateur!V54*Calculateur!X54*VLOOKUP('Données projet'!$B$9,Paramètres!$A$1:$I$89,3,0)*0.475*44/12</f>
        <v>28.851716180923269</v>
      </c>
      <c r="AB54" s="23">
        <f>EXP(-LN(2)/2)*AB53+(1-EXP(-LN(2)/2))/(LN(2)/2)*V54*Y54*VLOOKUP('Données projet'!$B$9,Paramètres!$A$1:$I$89,3,0)*0.475*44/12</f>
        <v>0.12312052161057517</v>
      </c>
      <c r="AC54" s="24">
        <f t="shared" si="3"/>
        <v>67.866472424448602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8.6</v>
      </c>
      <c r="AI54" s="14">
        <f>IF('Données projet'!$A$62&gt;35,AI53+AH54-AQ53,IF(A54&lt;'Données projet'!$A$62,$AF$205^A54,IF(A54='Données projet'!$A$62,'Données projet'!$B$62,AI53+AH54-AQ53)))</f>
        <v>223.59999999999997</v>
      </c>
      <c r="AJ54" s="14">
        <f>AI54*VLOOKUP('Données projet'!$B$10,Paramètres!$A$1:$I$89,3,0)*VLOOKUP('Données projet'!$B$10,Paramètres!$A$1:$I$89,5,0)</f>
        <v>195.33696</v>
      </c>
      <c r="AK54" s="14">
        <f t="shared" si="35"/>
        <v>48.717969863105488</v>
      </c>
      <c r="AL54" s="22">
        <f t="shared" si="4"/>
        <v>425.06233617824205</v>
      </c>
      <c r="AM54" s="62">
        <f t="shared" si="5"/>
        <v>718.39566951157531</v>
      </c>
      <c r="AN54" s="62">
        <f ca="1">AVERAGE(OFFSET($AM$3,0,0,'Données projet'!$E$10+1,1))-AVERAGE(OFFSET($H$3,0,0,'Données projet'!$E$10+1,1))</f>
        <v>303.33040062722074</v>
      </c>
      <c r="AO54" s="62">
        <f t="shared" si="36"/>
        <v>425.30058672361548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8.1697907134671013</v>
      </c>
      <c r="AV54" s="23">
        <f>EXP(-LN(2)/25)*AV53+(1-EXP(-LN(2)/25))/(LN(2)/25)*Calculateur!AQ54*Calculateur!AS54*VLOOKUP('Données projet'!$B$10,Paramètres!$A$1:$I$89,3,0)*0.475*44/12</f>
        <v>17.19034323217598</v>
      </c>
      <c r="AW54" s="23">
        <f>EXP(-LN(2)/2)*AW53+(1-EXP(-LN(2)/2))/(LN(2)/2)*AQ54*AT54*VLOOKUP('Données projet'!$B$10,Paramètres!$A$1:$I$89,3,0)*0.475*44/12</f>
        <v>8.1838576517102943E-4</v>
      </c>
      <c r="AX54" s="23">
        <f t="shared" si="6"/>
        <v>25.360952331408253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</v>
      </c>
      <c r="BD54" s="13">
        <f>IF('Données projet'!$A$88&gt;35,BD53+BC54-BL53,IF(A54&lt;'Données projet'!$A$88,$BA$205^A54,IF(A54='Données projet'!$A$88,'Données projet'!$B$88,BD53+BC54-BL53)))</f>
        <v>294.99999999999989</v>
      </c>
      <c r="BE54" s="14">
        <f>BD54*VLOOKUP('Données projet'!$B$11,Paramètres!$A$1:$I$89,3,0)*VLOOKUP('Données projet'!$B$11,Paramètres!$A$1:$I$89,5,0)</f>
        <v>138.05999999999995</v>
      </c>
      <c r="BF54" s="14">
        <f t="shared" si="37"/>
        <v>35.85221845159689</v>
      </c>
      <c r="BG54" s="22">
        <f t="shared" si="7"/>
        <v>302.89711380319778</v>
      </c>
      <c r="BH54" s="62">
        <f t="shared" si="8"/>
        <v>596.2304471365311</v>
      </c>
      <c r="BI54" s="62">
        <f ca="1">AVERAGE(OFFSET($BH$3,0,0,'Données projet'!$E$11+1,1))-AVERAGE(OFFSET($H$3,0,0,'Données projet'!$E$11+1,1))</f>
        <v>317.54276561627643</v>
      </c>
      <c r="BJ54" s="62">
        <f t="shared" si="38"/>
        <v>238.92443174298893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3.6</v>
      </c>
      <c r="BY54" s="13">
        <f>IF('Données projet'!$A$114&gt;35,BY53+BX54-CG53,IF(A54&lt;'Données projet'!$A$114,$BV$205^A54,IF(A54='Données projet'!$A$114,'Données projet'!$B$114,BY53+BX54-CG53)))</f>
        <v>119.59999999999997</v>
      </c>
      <c r="BZ54" s="14">
        <f>BY54*VLOOKUP('Données projet'!$B$12,Paramètres!$A$1:$I$89,3,0)*VLOOKUP('Données projet'!$B$12,Paramètres!$A$1:$I$89,5,0)</f>
        <v>104.48255999999998</v>
      </c>
      <c r="CA54" s="14">
        <f t="shared" si="39"/>
        <v>28.02716504477474</v>
      </c>
      <c r="CB54" s="22">
        <f t="shared" si="10"/>
        <v>230.78777111964928</v>
      </c>
      <c r="CC54" s="62">
        <f t="shared" si="11"/>
        <v>524.12110445298254</v>
      </c>
      <c r="CD54" s="62">
        <f ca="1">AVERAGE(OFFSET($CC$3,0,0,'Données projet'!$E$12+1,1))-AVERAGE(OFFSET($H$3,0,0,'Données projet'!$E$12+1,1))</f>
        <v>195.30963433439501</v>
      </c>
      <c r="CE54" s="62">
        <f t="shared" si="40"/>
        <v>185.00219255324504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112.59999999999995</v>
      </c>
      <c r="CU54" s="18">
        <f>CT54*VLOOKUP('Données projet'!$B$13,Paramètres!$A$1:$I$89,3,0)*VLOOKUP('Données projet'!$B$13,Paramètres!$A$1:$I$89,5,0)</f>
        <v>107.15015999999994</v>
      </c>
      <c r="CV54" s="14">
        <f t="shared" si="41"/>
        <v>28.658517723314318</v>
      </c>
      <c r="CW54" s="22">
        <f t="shared" si="13"/>
        <v>236.53344703477231</v>
      </c>
      <c r="CX54" s="62">
        <f t="shared" si="14"/>
        <v>529.86678036810565</v>
      </c>
      <c r="CY54" s="62">
        <f ca="1">AVERAGE(OFFSET($CX$3,0,0,'Données projet'!$E$13+1,1))-AVERAGE(OFFSET($H$3,0,0,'Données projet'!$E$13+1,1))</f>
        <v>293.996396026019</v>
      </c>
      <c r="CZ54" s="62">
        <f t="shared" si="42"/>
        <v>152.23954167722536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195.80903373714432</v>
      </c>
      <c r="T55" s="62">
        <f t="shared" si="34"/>
        <v>388.30721786668977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38.128994466963491</v>
      </c>
      <c r="AA55" s="23">
        <f>EXP(-LN(2)/25)*AA54+(1-EXP(-LN(2)/25))/(LN(2)/25)*Calculateur!V55*Calculateur!X55*VLOOKUP('Données projet'!$B$9,Paramètres!$A$1:$I$89,3,0)*0.475*44/12</f>
        <v>28.062764484710108</v>
      </c>
      <c r="AB55" s="23">
        <f>EXP(-LN(2)/2)*AB54+(1-EXP(-LN(2)/2))/(LN(2)/2)*V55*Y55*VLOOKUP('Données projet'!$B$9,Paramètres!$A$1:$I$89,3,0)*0.475*44/12</f>
        <v>8.705935573406258E-2</v>
      </c>
      <c r="AC55" s="24">
        <f t="shared" si="3"/>
        <v>66.278818307407647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8.6</v>
      </c>
      <c r="AI55" s="14">
        <f>IF('Données projet'!$A$62&gt;35,AI54+AH55-AQ54,IF(A55&lt;'Données projet'!$A$62,$AF$205^A55,IF(A55='Données projet'!$A$62,'Données projet'!$B$62,AI54+AH55-AQ54)))</f>
        <v>232.19999999999996</v>
      </c>
      <c r="AJ55" s="14">
        <f>AI55*VLOOKUP('Données projet'!$B$10,Paramètres!$A$1:$I$89,3,0)*VLOOKUP('Données projet'!$B$10,Paramètres!$A$1:$I$89,5,0)</f>
        <v>202.84991999999997</v>
      </c>
      <c r="AK55" s="14">
        <f t="shared" si="35"/>
        <v>50.369977187686075</v>
      </c>
      <c r="AL55" s="22">
        <f t="shared" si="4"/>
        <v>441.02465426855321</v>
      </c>
      <c r="AM55" s="62">
        <f t="shared" si="5"/>
        <v>734.35798760188652</v>
      </c>
      <c r="AN55" s="62">
        <f ca="1">AVERAGE(OFFSET($AM$3,0,0,'Données projet'!$E$10+1,1))-AVERAGE(OFFSET($H$3,0,0,'Données projet'!$E$10+1,1))</f>
        <v>303.33040062722074</v>
      </c>
      <c r="AO55" s="62">
        <f t="shared" si="36"/>
        <v>425.30058672361548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8.0095861006563087</v>
      </c>
      <c r="AV55" s="23">
        <f>EXP(-LN(2)/25)*AV54+(1-EXP(-LN(2)/25))/(LN(2)/25)*Calculateur!AQ55*Calculateur!AS55*VLOOKUP('Données projet'!$B$10,Paramètres!$A$1:$I$89,3,0)*0.475*44/12</f>
        <v>16.720272392491268</v>
      </c>
      <c r="AW55" s="23">
        <f>EXP(-LN(2)/2)*AW54+(1-EXP(-LN(2)/2))/(LN(2)/2)*AQ55*AT55*VLOOKUP('Données projet'!$B$10,Paramètres!$A$1:$I$89,3,0)*0.475*44/12</f>
        <v>5.7868612417897637E-4</v>
      </c>
      <c r="AX55" s="23">
        <f t="shared" si="6"/>
        <v>24.730437179271753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</v>
      </c>
      <c r="BD55" s="13">
        <f>IF('Données projet'!$A$88&gt;35,BD54+BC55-BL54,IF(A55&lt;'Données projet'!$A$88,$BA$205^A55,IF(A55='Données projet'!$A$88,'Données projet'!$B$88,BD54+BC55-BL54)))</f>
        <v>311.99999999999989</v>
      </c>
      <c r="BE55" s="14">
        <f>BD55*VLOOKUP('Données projet'!$B$11,Paramètres!$A$1:$I$89,3,0)*VLOOKUP('Données projet'!$B$11,Paramètres!$A$1:$I$89,5,0)</f>
        <v>146.01599999999993</v>
      </c>
      <c r="BF55" s="14">
        <f t="shared" si="37"/>
        <v>37.671793767891103</v>
      </c>
      <c r="BG55" s="22">
        <f t="shared" si="7"/>
        <v>319.92290747907685</v>
      </c>
      <c r="BH55" s="62">
        <f t="shared" si="8"/>
        <v>613.25624081241017</v>
      </c>
      <c r="BI55" s="62">
        <f ca="1">AVERAGE(OFFSET($BH$3,0,0,'Données projet'!$E$11+1,1))-AVERAGE(OFFSET($H$3,0,0,'Données projet'!$E$11+1,1))</f>
        <v>317.54276561627643</v>
      </c>
      <c r="BJ55" s="62">
        <f t="shared" si="38"/>
        <v>238.92443174298893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3.6</v>
      </c>
      <c r="BY55" s="13">
        <f>IF('Données projet'!$A$114&gt;35,BY54+BX55-CG54,IF(A55&lt;'Données projet'!$A$114,$BV$205^A55,IF(A55='Données projet'!$A$114,'Données projet'!$B$114,BY54+BX55-CG54)))</f>
        <v>123.19999999999996</v>
      </c>
      <c r="BZ55" s="14">
        <f>BY55*VLOOKUP('Données projet'!$B$12,Paramètres!$A$1:$I$89,3,0)*VLOOKUP('Données projet'!$B$12,Paramètres!$A$1:$I$89,5,0)</f>
        <v>107.62751999999999</v>
      </c>
      <c r="CA55" s="14">
        <f t="shared" si="39"/>
        <v>28.771302425776422</v>
      </c>
      <c r="CB55" s="22">
        <f t="shared" si="10"/>
        <v>237.56128239156058</v>
      </c>
      <c r="CC55" s="62">
        <f t="shared" si="11"/>
        <v>530.89461572489392</v>
      </c>
      <c r="CD55" s="62">
        <f ca="1">AVERAGE(OFFSET($CC$3,0,0,'Données projet'!$E$12+1,1))-AVERAGE(OFFSET($H$3,0,0,'Données projet'!$E$12+1,1))</f>
        <v>195.30963433439501</v>
      </c>
      <c r="CE55" s="62">
        <f t="shared" si="40"/>
        <v>185.00219255324504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118.19999999999995</v>
      </c>
      <c r="CU55" s="18">
        <f>CT55*VLOOKUP('Données projet'!$B$13,Paramètres!$A$1:$I$89,3,0)*VLOOKUP('Données projet'!$B$13,Paramètres!$A$1:$I$89,5,0)</f>
        <v>112.47911999999994</v>
      </c>
      <c r="CV55" s="14">
        <f t="shared" si="41"/>
        <v>29.914324778874605</v>
      </c>
      <c r="CW55" s="22">
        <f t="shared" si="13"/>
        <v>248.00191632320647</v>
      </c>
      <c r="CX55" s="62">
        <f t="shared" si="14"/>
        <v>541.33524965653976</v>
      </c>
      <c r="CY55" s="62">
        <f ca="1">AVERAGE(OFFSET($CX$3,0,0,'Données projet'!$E$13+1,1))-AVERAGE(OFFSET($H$3,0,0,'Données projet'!$E$13+1,1))</f>
        <v>293.996396026019</v>
      </c>
      <c r="CZ55" s="62">
        <f t="shared" si="42"/>
        <v>152.23954167722536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195.80903373714432</v>
      </c>
      <c r="T56" s="62">
        <f t="shared" si="34"/>
        <v>388.30721786668977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37.381308141856586</v>
      </c>
      <c r="AA56" s="23">
        <f>EXP(-LN(2)/25)*AA55+(1-EXP(-LN(2)/25))/(LN(2)/25)*Calculateur!V56*Calculateur!X56*VLOOKUP('Données projet'!$B$9,Paramètres!$A$1:$I$89,3,0)*0.475*44/12</f>
        <v>27.295386714119065</v>
      </c>
      <c r="AB56" s="23">
        <f>EXP(-LN(2)/2)*AB55+(1-EXP(-LN(2)/2))/(LN(2)/2)*V56*Y56*VLOOKUP('Données projet'!$B$9,Paramètres!$A$1:$I$89,3,0)*0.475*44/12</f>
        <v>6.1560260805287592E-2</v>
      </c>
      <c r="AC56" s="24">
        <f t="shared" si="3"/>
        <v>64.738255116780948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8.6</v>
      </c>
      <c r="AI56" s="14">
        <f>IF('Données projet'!$A$62&gt;35,AI55+AH56-AQ55,IF(A56&lt;'Données projet'!$A$62,$AF$205^A56,IF(A56='Données projet'!$A$62,'Données projet'!$B$62,AI55+AH56-AQ55)))</f>
        <v>240.79999999999995</v>
      </c>
      <c r="AJ56" s="14">
        <f>AI56*VLOOKUP('Données projet'!$B$10,Paramètres!$A$1:$I$89,3,0)*VLOOKUP('Données projet'!$B$10,Paramètres!$A$1:$I$89,5,0)</f>
        <v>210.36287999999999</v>
      </c>
      <c r="AK56" s="14">
        <f t="shared" si="35"/>
        <v>52.014876138342963</v>
      </c>
      <c r="AL56" s="22">
        <f t="shared" si="4"/>
        <v>456.97459194094722</v>
      </c>
      <c r="AM56" s="62">
        <f t="shared" si="5"/>
        <v>750.30792527428048</v>
      </c>
      <c r="AN56" s="62">
        <f ca="1">AVERAGE(OFFSET($AM$3,0,0,'Données projet'!$E$10+1,1))-AVERAGE(OFFSET($H$3,0,0,'Données projet'!$E$10+1,1))</f>
        <v>303.33040062722074</v>
      </c>
      <c r="AO56" s="62">
        <f t="shared" si="36"/>
        <v>425.30058672361548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7.8525230025875699</v>
      </c>
      <c r="AV56" s="23">
        <f>EXP(-LN(2)/25)*AV55+(1-EXP(-LN(2)/25))/(LN(2)/25)*Calculateur!AQ56*Calculateur!AS56*VLOOKUP('Données projet'!$B$10,Paramètres!$A$1:$I$89,3,0)*0.475*44/12</f>
        <v>16.263055664637683</v>
      </c>
      <c r="AW56" s="23">
        <f>EXP(-LN(2)/2)*AW55+(1-EXP(-LN(2)/2))/(LN(2)/2)*AQ56*AT56*VLOOKUP('Données projet'!$B$10,Paramètres!$A$1:$I$89,3,0)*0.475*44/12</f>
        <v>4.0919288258551472E-4</v>
      </c>
      <c r="AX56" s="23">
        <f t="shared" si="6"/>
        <v>24.11598786010784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</v>
      </c>
      <c r="BD56" s="13">
        <f>IF('Données projet'!$A$88&gt;35,BD55+BC56-BL55,IF(A56&lt;'Données projet'!$A$88,$BA$205^A56,IF(A56='Données projet'!$A$88,'Données projet'!$B$88,BD55+BC56-BL55)))</f>
        <v>328.99999999999989</v>
      </c>
      <c r="BE56" s="14">
        <f>BD56*VLOOKUP('Données projet'!$B$11,Paramètres!$A$1:$I$89,3,0)*VLOOKUP('Données projet'!$B$11,Paramètres!$A$1:$I$89,5,0)</f>
        <v>153.97199999999995</v>
      </c>
      <c r="BF56" s="14">
        <f t="shared" si="37"/>
        <v>39.479859284656378</v>
      </c>
      <c r="BG56" s="22">
        <f t="shared" si="7"/>
        <v>336.92865492077641</v>
      </c>
      <c r="BH56" s="62">
        <f t="shared" si="8"/>
        <v>630.26198825410972</v>
      </c>
      <c r="BI56" s="62">
        <f ca="1">AVERAGE(OFFSET($BH$3,0,0,'Données projet'!$E$11+1,1))-AVERAGE(OFFSET($H$3,0,0,'Données projet'!$E$11+1,1))</f>
        <v>317.54276561627643</v>
      </c>
      <c r="BJ56" s="62">
        <f t="shared" si="38"/>
        <v>238.92443174298893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3.6</v>
      </c>
      <c r="BY56" s="13">
        <f>IF('Données projet'!$A$114&gt;35,BY55+BX56-CG55,IF(A56&lt;'Données projet'!$A$114,$BV$205^A56,IF(A56='Données projet'!$A$114,'Données projet'!$B$114,BY55+BX56-CG55)))</f>
        <v>126.79999999999995</v>
      </c>
      <c r="BZ56" s="14">
        <f>BY56*VLOOKUP('Données projet'!$B$12,Paramètres!$A$1:$I$89,3,0)*VLOOKUP('Données projet'!$B$12,Paramètres!$A$1:$I$89,5,0)</f>
        <v>110.77247999999997</v>
      </c>
      <c r="CA56" s="14">
        <f t="shared" si="39"/>
        <v>29.512912692801613</v>
      </c>
      <c r="CB56" s="22">
        <f t="shared" si="10"/>
        <v>244.3303922732961</v>
      </c>
      <c r="CC56" s="62">
        <f t="shared" si="11"/>
        <v>537.66372560662944</v>
      </c>
      <c r="CD56" s="62">
        <f ca="1">AVERAGE(OFFSET($CC$3,0,0,'Données projet'!$E$12+1,1))-AVERAGE(OFFSET($H$3,0,0,'Données projet'!$E$12+1,1))</f>
        <v>195.30963433439501</v>
      </c>
      <c r="CE56" s="62">
        <f t="shared" si="40"/>
        <v>185.00219255324504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123.79999999999994</v>
      </c>
      <c r="CU56" s="18">
        <f>CT56*VLOOKUP('Données projet'!$B$13,Paramètres!$A$1:$I$89,3,0)*VLOOKUP('Données projet'!$B$13,Paramètres!$A$1:$I$89,5,0)</f>
        <v>117.80807999999993</v>
      </c>
      <c r="CV56" s="14">
        <f t="shared" si="41"/>
        <v>31.163222740883338</v>
      </c>
      <c r="CW56" s="22">
        <f t="shared" si="13"/>
        <v>259.45835227370497</v>
      </c>
      <c r="CX56" s="62">
        <f t="shared" si="14"/>
        <v>552.79168560703829</v>
      </c>
      <c r="CY56" s="62">
        <f ca="1">AVERAGE(OFFSET($CX$3,0,0,'Données projet'!$E$13+1,1))-AVERAGE(OFFSET($H$3,0,0,'Données projet'!$E$13+1,1))</f>
        <v>293.996396026019</v>
      </c>
      <c r="CZ56" s="62">
        <f t="shared" si="42"/>
        <v>152.23954167722536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195.80903373714432</v>
      </c>
      <c r="T57" s="62">
        <f t="shared" si="34"/>
        <v>388.30721786668977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36.648283489541399</v>
      </c>
      <c r="AA57" s="23">
        <f>EXP(-LN(2)/25)*AA56+(1-EXP(-LN(2)/25))/(LN(2)/25)*Calculateur!V57*Calculateur!X57*VLOOKUP('Données projet'!$B$9,Paramètres!$A$1:$I$89,3,0)*0.475*44/12</f>
        <v>26.548992929019477</v>
      </c>
      <c r="AB57" s="23">
        <f>EXP(-LN(2)/2)*AB56+(1-EXP(-LN(2)/2))/(LN(2)/2)*V57*Y57*VLOOKUP('Données projet'!$B$9,Paramètres!$A$1:$I$89,3,0)*0.475*44/12</f>
        <v>4.3529677867031297E-2</v>
      </c>
      <c r="AC57" s="24">
        <f t="shared" si="3"/>
        <v>63.240806096427903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8.6</v>
      </c>
      <c r="AI57" s="14">
        <f>IF('Données projet'!$A$62&gt;35,AI56+AH57-AQ56,IF(A57&lt;'Données projet'!$A$62,$AF$205^A57,IF(A57='Données projet'!$A$62,'Données projet'!$B$62,AI56+AH57-AQ56)))</f>
        <v>249.39999999999995</v>
      </c>
      <c r="AJ57" s="14">
        <f>AI57*VLOOKUP('Données projet'!$B$10,Paramètres!$A$1:$I$89,3,0)*VLOOKUP('Données projet'!$B$10,Paramètres!$A$1:$I$89,5,0)</f>
        <v>217.87583999999998</v>
      </c>
      <c r="AK57" s="14">
        <f t="shared" si="35"/>
        <v>53.652949670124926</v>
      </c>
      <c r="AL57" s="22">
        <f t="shared" si="4"/>
        <v>472.9126420088009</v>
      </c>
      <c r="AM57" s="62">
        <f t="shared" si="5"/>
        <v>766.24597534213422</v>
      </c>
      <c r="AN57" s="62">
        <f ca="1">AVERAGE(OFFSET($AM$3,0,0,'Données projet'!$E$10+1,1))-AVERAGE(OFFSET($H$3,0,0,'Données projet'!$E$10+1,1))</f>
        <v>303.33040062722074</v>
      </c>
      <c r="AO57" s="62">
        <f t="shared" si="36"/>
        <v>425.30058672361548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7.6985398160729286</v>
      </c>
      <c r="AV57" s="23">
        <f>EXP(-LN(2)/25)*AV56+(1-EXP(-LN(2)/25))/(LN(2)/25)*Calculateur!AQ57*Calculateur!AS57*VLOOKUP('Données projet'!$B$10,Paramètres!$A$1:$I$89,3,0)*0.475*44/12</f>
        <v>15.818341552251239</v>
      </c>
      <c r="AW57" s="23">
        <f>EXP(-LN(2)/2)*AW56+(1-EXP(-LN(2)/2))/(LN(2)/2)*AQ57*AT57*VLOOKUP('Données projet'!$B$10,Paramètres!$A$1:$I$89,3,0)*0.475*44/12</f>
        <v>2.8934306208948818E-4</v>
      </c>
      <c r="AX57" s="23">
        <f t="shared" si="6"/>
        <v>23.517170711386257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</v>
      </c>
      <c r="BD57" s="13">
        <f>IF('Données projet'!$A$88&gt;35,BD56+BC57-BL56,IF(A57&lt;'Données projet'!$A$88,$BA$205^A57,IF(A57='Données projet'!$A$88,'Données projet'!$B$88,BD56+BC57-BL56)))</f>
        <v>345.99999999999989</v>
      </c>
      <c r="BE57" s="14">
        <f>BD57*VLOOKUP('Données projet'!$B$11,Paramètres!$A$1:$I$89,3,0)*VLOOKUP('Données projet'!$B$11,Paramètres!$A$1:$I$89,5,0)</f>
        <v>161.92799999999994</v>
      </c>
      <c r="BF57" s="14">
        <f t="shared" si="37"/>
        <v>41.277077571585316</v>
      </c>
      <c r="BG57" s="22">
        <f t="shared" si="7"/>
        <v>353.91551010384433</v>
      </c>
      <c r="BH57" s="62">
        <f t="shared" si="8"/>
        <v>647.24884343717758</v>
      </c>
      <c r="BI57" s="62">
        <f ca="1">AVERAGE(OFFSET($BH$3,0,0,'Données projet'!$E$11+1,1))-AVERAGE(OFFSET($H$3,0,0,'Données projet'!$E$11+1,1))</f>
        <v>317.54276561627643</v>
      </c>
      <c r="BJ57" s="62">
        <f t="shared" si="38"/>
        <v>238.92443174298893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3.6</v>
      </c>
      <c r="BY57" s="13">
        <f>IF('Données projet'!$A$114&gt;35,BY56+BX57-CG56,IF(A57&lt;'Données projet'!$A$114,$BV$205^A57,IF(A57='Données projet'!$A$114,'Données projet'!$B$114,BY56+BX57-CG56)))</f>
        <v>130.39999999999995</v>
      </c>
      <c r="BZ57" s="14">
        <f>BY57*VLOOKUP('Données projet'!$B$12,Paramètres!$A$1:$I$89,3,0)*VLOOKUP('Données projet'!$B$12,Paramètres!$A$1:$I$89,5,0)</f>
        <v>113.91743999999996</v>
      </c>
      <c r="CA57" s="14">
        <f t="shared" si="39"/>
        <v>30.252075834566813</v>
      </c>
      <c r="CB57" s="22">
        <f t="shared" si="10"/>
        <v>251.0952400785371</v>
      </c>
      <c r="CC57" s="62">
        <f t="shared" si="11"/>
        <v>544.42857341187039</v>
      </c>
      <c r="CD57" s="62">
        <f ca="1">AVERAGE(OFFSET($CC$3,0,0,'Données projet'!$E$12+1,1))-AVERAGE(OFFSET($H$3,0,0,'Données projet'!$E$12+1,1))</f>
        <v>195.30963433439501</v>
      </c>
      <c r="CE57" s="62">
        <f t="shared" si="40"/>
        <v>185.00219255324504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129.39999999999995</v>
      </c>
      <c r="CU57" s="18">
        <f>CT57*VLOOKUP('Données projet'!$B$13,Paramètres!$A$1:$I$89,3,0)*VLOOKUP('Données projet'!$B$13,Paramètres!$A$1:$I$89,5,0)</f>
        <v>123.13703999999996</v>
      </c>
      <c r="CV57" s="14">
        <f t="shared" si="41"/>
        <v>32.40555984092714</v>
      </c>
      <c r="CW57" s="22">
        <f t="shared" si="13"/>
        <v>270.9033613896147</v>
      </c>
      <c r="CX57" s="62">
        <f t="shared" si="14"/>
        <v>564.23669472294796</v>
      </c>
      <c r="CY57" s="62">
        <f ca="1">AVERAGE(OFFSET($CX$3,0,0,'Données projet'!$E$13+1,1))-AVERAGE(OFFSET($H$3,0,0,'Données projet'!$E$13+1,1))</f>
        <v>293.996396026019</v>
      </c>
      <c r="CZ57" s="62">
        <f t="shared" si="42"/>
        <v>152.23954167722536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195.80903373714432</v>
      </c>
      <c r="T58" s="62">
        <f t="shared" si="34"/>
        <v>388.30721786668977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35.929633003557221</v>
      </c>
      <c r="AA58" s="23">
        <f>EXP(-LN(2)/25)*AA57+(1-EXP(-LN(2)/25))/(LN(2)/25)*Calculateur!V58*Calculateur!X58*VLOOKUP('Données projet'!$B$9,Paramètres!$A$1:$I$89,3,0)*0.475*44/12</f>
        <v>25.823009321224578</v>
      </c>
      <c r="AB58" s="23">
        <f>EXP(-LN(2)/2)*AB57+(1-EXP(-LN(2)/2))/(LN(2)/2)*V58*Y58*VLOOKUP('Données projet'!$B$9,Paramètres!$A$1:$I$89,3,0)*0.475*44/12</f>
        <v>3.0780130402643803E-2</v>
      </c>
      <c r="AC58" s="24">
        <f t="shared" si="3"/>
        <v>61.78342245518445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258</v>
      </c>
      <c r="AG58" s="13">
        <f>VLOOKUP(A58,'Données projet'!$A$61:$I$81,9,0)</f>
        <v>8.6</v>
      </c>
      <c r="AH58" s="13">
        <f t="array" ref="AH58">INDEX(AG:AG,MIN(IF(ISNUMBER(AG58:AG254),ROW(AG58:AG254),"")))</f>
        <v>8.6</v>
      </c>
      <c r="AI58" s="14">
        <f>IF('Données projet'!$A$62&gt;35,AI57+AH58-AQ57,IF(A58&lt;'Données projet'!$A$62,$AF$205^A58,IF(A58='Données projet'!$A$62,'Données projet'!$B$62,AI57+AH58-AQ57)))</f>
        <v>257.99999999999994</v>
      </c>
      <c r="AJ58" s="14">
        <f>AI58*VLOOKUP('Données projet'!$B$10,Paramètres!$A$1:$I$89,3,0)*VLOOKUP('Données projet'!$B$10,Paramètres!$A$1:$I$89,5,0)</f>
        <v>225.3888</v>
      </c>
      <c r="AK58" s="14">
        <f t="shared" si="35"/>
        <v>55.284460117161593</v>
      </c>
      <c r="AL58" s="22">
        <f t="shared" si="4"/>
        <v>488.83926137072308</v>
      </c>
      <c r="AM58" s="62">
        <f t="shared" si="5"/>
        <v>782.17259470405634</v>
      </c>
      <c r="AN58" s="62">
        <f ca="1">AVERAGE(OFFSET($AM$3,0,0,'Données projet'!$E$10+1,1))-AVERAGE(OFFSET($H$3,0,0,'Données projet'!$E$10+1,1))</f>
        <v>303.33040062722074</v>
      </c>
      <c r="AO58" s="62">
        <f t="shared" si="36"/>
        <v>425.30058672361548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258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7.5475761459253699</v>
      </c>
      <c r="AV58" s="23">
        <f>EXP(-LN(2)/25)*AV57+(1-EXP(-LN(2)/25))/(LN(2)/25)*Calculateur!AQ58*Calculateur!AS58*VLOOKUP('Données projet'!$B$10,Paramètres!$A$1:$I$89,3,0)*0.475*44/12</f>
        <v>15.3857881706545</v>
      </c>
      <c r="AW58" s="23">
        <f>EXP(-LN(2)/2)*AW57+(1-EXP(-LN(2)/2))/(LN(2)/2)*AQ58*AT58*VLOOKUP('Données projet'!$B$10,Paramètres!$A$1:$I$89,3,0)*0.475*44/12</f>
        <v>2.0459644129275736E-4</v>
      </c>
      <c r="AX58" s="23">
        <f t="shared" si="6"/>
        <v>22.933568913021162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</v>
      </c>
      <c r="BD58" s="13">
        <f>IF('Données projet'!$A$88&gt;35,BD57+BC58-BL57,IF(A58&lt;'Données projet'!$A$88,$BA$205^A58,IF(A58='Données projet'!$A$88,'Données projet'!$B$88,BD57+BC58-BL57)))</f>
        <v>362.99999999999989</v>
      </c>
      <c r="BE58" s="14">
        <f>BD58*VLOOKUP('Données projet'!$B$11,Paramètres!$A$1:$I$89,3,0)*VLOOKUP('Données projet'!$B$11,Paramètres!$A$1:$I$89,5,0)</f>
        <v>169.88399999999993</v>
      </c>
      <c r="BF58" s="14">
        <f t="shared" si="37"/>
        <v>43.064042412117296</v>
      </c>
      <c r="BG58" s="22">
        <f t="shared" si="7"/>
        <v>370.8845072011041</v>
      </c>
      <c r="BH58" s="62">
        <f t="shared" si="8"/>
        <v>664.21784053443741</v>
      </c>
      <c r="BI58" s="62">
        <f ca="1">AVERAGE(OFFSET($BH$3,0,0,'Données projet'!$E$11+1,1))-AVERAGE(OFFSET($H$3,0,0,'Données projet'!$E$11+1,1))</f>
        <v>317.54276561627643</v>
      </c>
      <c r="BJ58" s="62">
        <f t="shared" si="38"/>
        <v>238.92443174298893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134</v>
      </c>
      <c r="BW58" s="13">
        <f>VLOOKUP(A58,'Données projet'!$A$113:$I$133,9,0)</f>
        <v>3.6</v>
      </c>
      <c r="BX58" s="13">
        <f t="array" ref="BX58">INDEX(BW:BW,MIN(IF(ISNUMBER(BW58:BW254),ROW(BW58:BW254),"")))</f>
        <v>3.6</v>
      </c>
      <c r="BY58" s="13">
        <f>IF('Données projet'!$A$114&gt;35,BY57+BX58-CG57,IF(A58&lt;'Données projet'!$A$114,$BV$205^A58,IF(A58='Données projet'!$A$114,'Données projet'!$B$114,BY57+BX58-CG57)))</f>
        <v>133.99999999999994</v>
      </c>
      <c r="BZ58" s="14">
        <f>BY58*VLOOKUP('Données projet'!$B$12,Paramètres!$A$1:$I$89,3,0)*VLOOKUP('Données projet'!$B$12,Paramètres!$A$1:$I$89,5,0)</f>
        <v>117.06239999999997</v>
      </c>
      <c r="CA58" s="14">
        <f t="shared" si="39"/>
        <v>30.988867171899123</v>
      </c>
      <c r="CB58" s="22">
        <f t="shared" si="10"/>
        <v>257.85595699105755</v>
      </c>
      <c r="CC58" s="62">
        <f t="shared" si="11"/>
        <v>551.18929032439087</v>
      </c>
      <c r="CD58" s="62">
        <f ca="1">AVERAGE(OFFSET($CC$3,0,0,'Données projet'!$E$12+1,1))-AVERAGE(OFFSET($H$3,0,0,'Données projet'!$E$12+1,1))</f>
        <v>195.30963433439501</v>
      </c>
      <c r="CE58" s="62">
        <f t="shared" si="40"/>
        <v>185.00219255324504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9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135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134.99999999999994</v>
      </c>
      <c r="CU58" s="18">
        <f>CT58*VLOOKUP('Données projet'!$B$13,Paramètres!$A$1:$I$89,3,0)*VLOOKUP('Données projet'!$B$13,Paramètres!$A$1:$I$89,5,0)</f>
        <v>128.46599999999995</v>
      </c>
      <c r="CV58" s="14">
        <f t="shared" si="41"/>
        <v>33.64165246545825</v>
      </c>
      <c r="CW58" s="22">
        <f t="shared" si="13"/>
        <v>282.33749471067301</v>
      </c>
      <c r="CX58" s="62">
        <f t="shared" si="14"/>
        <v>575.67082804400638</v>
      </c>
      <c r="CY58" s="62">
        <f ca="1">AVERAGE(OFFSET($CX$3,0,0,'Données projet'!$E$13+1,1))-AVERAGE(OFFSET($H$3,0,0,'Données projet'!$E$13+1,1))</f>
        <v>293.996396026019</v>
      </c>
      <c r="CZ58" s="62">
        <f t="shared" si="42"/>
        <v>152.23954167722536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14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195.80903373714432</v>
      </c>
      <c r="T59" s="62">
        <f t="shared" si="34"/>
        <v>388.30721786668977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35.225074815269679</v>
      </c>
      <c r="AA59" s="23">
        <f>EXP(-LN(2)/25)*AA58+(1-EXP(-LN(2)/25))/(LN(2)/25)*Calculateur!V59*Calculateur!X59*VLOOKUP('Données projet'!$B$9,Paramètres!$A$1:$I$89,3,0)*0.475*44/12</f>
        <v>25.116877773362653</v>
      </c>
      <c r="AB59" s="23">
        <f>EXP(-LN(2)/2)*AB58+(1-EXP(-LN(2)/2))/(LN(2)/2)*V59*Y59*VLOOKUP('Données projet'!$B$9,Paramètres!$A$1:$I$89,3,0)*0.475*44/12</f>
        <v>2.1764838933515652E-2</v>
      </c>
      <c r="AC59" s="24">
        <f t="shared" si="3"/>
        <v>60.363717427565845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-4.9658410716801891E-14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303.33040062722074</v>
      </c>
      <c r="AO59" s="62">
        <f t="shared" si="36"/>
        <v>425.30058672361548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7.399572781270658</v>
      </c>
      <c r="AV59" s="23">
        <f>EXP(-LN(2)/25)*AV58+(1-EXP(-LN(2)/25))/(LN(2)/25)*Calculateur!AQ59*Calculateur!AS59*VLOOKUP('Données projet'!$B$10,Paramètres!$A$1:$I$89,3,0)*0.475*44/12</f>
        <v>14.965062984024518</v>
      </c>
      <c r="AW59" s="23">
        <f>EXP(-LN(2)/2)*AW58+(1-EXP(-LN(2)/2))/(LN(2)/2)*AQ59*AT59*VLOOKUP('Données projet'!$B$10,Paramètres!$A$1:$I$89,3,0)*0.475*44/12</f>
        <v>1.4467153104474409E-4</v>
      </c>
      <c r="AX59" s="23">
        <f t="shared" si="6"/>
        <v>22.364780436826223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380</v>
      </c>
      <c r="BB59" s="13">
        <f>VLOOKUP(A59,'Données projet'!$A$87:$I$107,9,0)</f>
        <v>17</v>
      </c>
      <c r="BC59" s="13">
        <f t="array" ref="BC59">INDEX(BB:BB,MIN(IF(ISNUMBER(BB59:BB255),ROW(BB59:BB255),"")))</f>
        <v>17</v>
      </c>
      <c r="BD59" s="13">
        <f>IF('Données projet'!$A$88&gt;35,BD58+BC59-BL58,IF(A59&lt;'Données projet'!$A$88,$BA$205^A59,IF(A59='Données projet'!$A$88,'Données projet'!$B$88,BD58+BC59-BL58)))</f>
        <v>379.99999999999989</v>
      </c>
      <c r="BE59" s="14">
        <f>BD59*VLOOKUP('Données projet'!$B$11,Paramètres!$A$1:$I$89,3,0)*VLOOKUP('Données projet'!$B$11,Paramètres!$A$1:$I$89,5,0)</f>
        <v>177.83999999999995</v>
      </c>
      <c r="BF59" s="14">
        <f t="shared" si="37"/>
        <v>44.841288830609102</v>
      </c>
      <c r="BG59" s="22">
        <f t="shared" si="7"/>
        <v>387.83657804664409</v>
      </c>
      <c r="BH59" s="62">
        <f t="shared" si="8"/>
        <v>681.16991137997741</v>
      </c>
      <c r="BI59" s="62">
        <f ca="1">AVERAGE(OFFSET($BH$3,0,0,'Données projet'!$E$11+1,1))-AVERAGE(OFFSET($H$3,0,0,'Données projet'!$E$11+1,1))</f>
        <v>317.54276561627643</v>
      </c>
      <c r="BJ59" s="62">
        <f t="shared" si="38"/>
        <v>238.92443174298893</v>
      </c>
      <c r="BK59" s="16">
        <f>IF(ISNA(VLOOKUP(A59,'Données projet'!$A$87:$I$107,3,0)),0,VLOOKUP(A59,'Données projet'!$A$87:$I$107,3,0))</f>
        <v>7</v>
      </c>
      <c r="BL59" s="16">
        <f>IF(ISNA(VLOOKUP(A59,'Données projet'!$A$87:$I$107,4,0)),0,VLOOKUP(A59,'Données projet'!$A$87:$I$107,4,0))</f>
        <v>79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3</v>
      </c>
      <c r="BY59" s="13">
        <f>IF('Données projet'!$A$114&gt;35,BY58+BX59-CG58,IF(A59&lt;'Données projet'!$A$114,$BV$205^A59,IF(A59='Données projet'!$A$114,'Données projet'!$B$114,BY58+BX59-CG58)))</f>
        <v>127.99999999999994</v>
      </c>
      <c r="BZ59" s="14">
        <f>BY59*VLOOKUP('Données projet'!$B$12,Paramètres!$A$1:$I$89,3,0)*VLOOKUP('Données projet'!$B$12,Paramètres!$A$1:$I$89,5,0)</f>
        <v>111.82079999999998</v>
      </c>
      <c r="CA59" s="14">
        <f t="shared" si="39"/>
        <v>29.759568497877257</v>
      </c>
      <c r="CB59" s="22">
        <f t="shared" si="10"/>
        <v>246.58580846713619</v>
      </c>
      <c r="CC59" s="62">
        <f t="shared" si="11"/>
        <v>539.91914180046956</v>
      </c>
      <c r="CD59" s="62">
        <f ca="1">AVERAGE(OFFSET($CC$3,0,0,'Données projet'!$E$12+1,1))-AVERAGE(OFFSET($H$3,0,0,'Données projet'!$E$12+1,1))</f>
        <v>195.30963433439501</v>
      </c>
      <c r="CE59" s="62">
        <f t="shared" si="40"/>
        <v>185.00219255324504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5.6</v>
      </c>
      <c r="CT59" s="13">
        <f>IF('Données projet'!$A$140&gt;35,CT58+CS59-DB58,IF(A59&lt;'Données projet'!$A$140,$CQ$205^A59,IF(A59='Données projet'!$A$140,'Données projet'!$B$140,CT58+CS59-DB58)))</f>
        <v>126.59999999999994</v>
      </c>
      <c r="CU59" s="18">
        <f>CT59*VLOOKUP('Données projet'!$B$13,Paramètres!$A$1:$I$89,3,0)*VLOOKUP('Données projet'!$B$13,Paramètres!$A$1:$I$89,5,0)</f>
        <v>120.47255999999993</v>
      </c>
      <c r="CV59" s="14">
        <f t="shared" si="41"/>
        <v>31.785190929970177</v>
      </c>
      <c r="CW59" s="22">
        <f t="shared" si="13"/>
        <v>265.18224953636462</v>
      </c>
      <c r="CX59" s="62">
        <f t="shared" si="14"/>
        <v>558.51558286969794</v>
      </c>
      <c r="CY59" s="62">
        <f ca="1">AVERAGE(OFFSET($CX$3,0,0,'Données projet'!$E$13+1,1))-AVERAGE(OFFSET($H$3,0,0,'Données projet'!$E$13+1,1))</f>
        <v>293.996396026019</v>
      </c>
      <c r="CZ59" s="62">
        <f t="shared" si="42"/>
        <v>152.23954167722536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195.80903373714432</v>
      </c>
      <c r="T60" s="62">
        <f t="shared" si="34"/>
        <v>388.30721786668977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34.534332583316392</v>
      </c>
      <c r="AA60" s="23">
        <f>EXP(-LN(2)/25)*AA59+(1-EXP(-LN(2)/25))/(LN(2)/25)*Calculateur!V60*Calculateur!X60*VLOOKUP('Données projet'!$B$9,Paramètres!$A$1:$I$89,3,0)*0.475*44/12</f>
        <v>24.430055429810853</v>
      </c>
      <c r="AB60" s="23">
        <f>EXP(-LN(2)/2)*AB59+(1-EXP(-LN(2)/2))/(LN(2)/2)*V60*Y60*VLOOKUP('Données projet'!$B$9,Paramètres!$A$1:$I$89,3,0)*0.475*44/12</f>
        <v>1.5390065201321903E-2</v>
      </c>
      <c r="AC60" s="24">
        <f t="shared" si="3"/>
        <v>58.979778078328572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-4.9658410716801891E-14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303.33040062722074</v>
      </c>
      <c r="AO60" s="62">
        <f t="shared" si="36"/>
        <v>425.30058672361548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7.2544716723236862</v>
      </c>
      <c r="AV60" s="23">
        <f>EXP(-LN(2)/25)*AV59+(1-EXP(-LN(2)/25))/(LN(2)/25)*Calculateur!AQ60*Calculateur!AS60*VLOOKUP('Données projet'!$B$10,Paramètres!$A$1:$I$89,3,0)*0.475*44/12</f>
        <v>14.55584254974791</v>
      </c>
      <c r="AW60" s="23">
        <f>EXP(-LN(2)/2)*AW59+(1-EXP(-LN(2)/2))/(LN(2)/2)*AQ60*AT60*VLOOKUP('Données projet'!$B$10,Paramètres!$A$1:$I$89,3,0)*0.475*44/12</f>
        <v>1.0229822064637868E-4</v>
      </c>
      <c r="AX60" s="23">
        <f t="shared" si="6"/>
        <v>21.810416520292243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316</v>
      </c>
      <c r="BB60" s="13">
        <f>VLOOKUP(A60,'Données projet'!$A$87:$I$107,9,0)</f>
        <v>15</v>
      </c>
      <c r="BC60" s="13">
        <f t="array" ref="BC60">INDEX(BB:BB,MIN(IF(ISNUMBER(BB60:BB256),ROW(BB60:BB256),"")))</f>
        <v>15</v>
      </c>
      <c r="BD60" s="13">
        <f>IF('Données projet'!$A$88&gt;35,BD59+BC60-BL59,IF(A60&lt;'Données projet'!$A$88,$BA$205^A60,IF(A60='Données projet'!$A$88,'Données projet'!$B$88,BD59+BC60-BL59)))</f>
        <v>315.99999999999989</v>
      </c>
      <c r="BE60" s="14">
        <f>BD60*VLOOKUP('Données projet'!$B$11,Paramètres!$A$1:$I$89,3,0)*VLOOKUP('Données projet'!$B$11,Paramètres!$A$1:$I$89,5,0)</f>
        <v>147.88799999999995</v>
      </c>
      <c r="BF60" s="14">
        <f t="shared" si="37"/>
        <v>38.098230660204834</v>
      </c>
      <c r="BG60" s="22">
        <f t="shared" si="7"/>
        <v>323.92601839985667</v>
      </c>
      <c r="BH60" s="62">
        <f t="shared" si="8"/>
        <v>617.25935173318999</v>
      </c>
      <c r="BI60" s="62">
        <f ca="1">AVERAGE(OFFSET($BH$3,0,0,'Données projet'!$E$11+1,1))-AVERAGE(OFFSET($H$3,0,0,'Données projet'!$E$11+1,1))</f>
        <v>317.54276561627643</v>
      </c>
      <c r="BJ60" s="62">
        <f t="shared" si="38"/>
        <v>238.92443174298893</v>
      </c>
      <c r="BK60" s="16">
        <f>IF(ISNA(VLOOKUP(A60,'Données projet'!$A$87:$I$107,3,0)),0,VLOOKUP(A60,'Données projet'!$A$87:$I$107,3,0))</f>
        <v>8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3</v>
      </c>
      <c r="BY60" s="13">
        <f>IF('Données projet'!$A$114&gt;35,BY59+BX60-CG59,IF(A60&lt;'Données projet'!$A$114,$BV$205^A60,IF(A60='Données projet'!$A$114,'Données projet'!$B$114,BY59+BX60-CG59)))</f>
        <v>130.99999999999994</v>
      </c>
      <c r="BZ60" s="14">
        <f>BY60*VLOOKUP('Données projet'!$B$12,Paramètres!$A$1:$I$89,3,0)*VLOOKUP('Données projet'!$B$12,Paramètres!$A$1:$I$89,5,0)</f>
        <v>114.44159999999997</v>
      </c>
      <c r="CA60" s="14">
        <f t="shared" si="39"/>
        <v>30.375037129843719</v>
      </c>
      <c r="CB60" s="22">
        <f t="shared" si="10"/>
        <v>252.22230966781112</v>
      </c>
      <c r="CC60" s="62">
        <f t="shared" si="11"/>
        <v>545.5556430011444</v>
      </c>
      <c r="CD60" s="62">
        <f ca="1">AVERAGE(OFFSET($CC$3,0,0,'Données projet'!$E$12+1,1))-AVERAGE(OFFSET($H$3,0,0,'Données projet'!$E$12+1,1))</f>
        <v>195.30963433439501</v>
      </c>
      <c r="CE60" s="62">
        <f t="shared" si="40"/>
        <v>185.00219255324504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5.6</v>
      </c>
      <c r="CT60" s="13">
        <f>IF('Données projet'!$A$140&gt;35,CT59+CS60-DB59,IF(A60&lt;'Données projet'!$A$140,$CQ$205^A60,IF(A60='Données projet'!$A$140,'Données projet'!$B$140,CT59+CS60-DB59)))</f>
        <v>132.19999999999993</v>
      </c>
      <c r="CU60" s="18">
        <f>CT60*VLOOKUP('Données projet'!$B$13,Paramètres!$A$1:$I$89,3,0)*VLOOKUP('Données projet'!$B$13,Paramètres!$A$1:$I$89,5,0)</f>
        <v>125.80151999999993</v>
      </c>
      <c r="CV60" s="14">
        <f t="shared" si="41"/>
        <v>33.024368065037834</v>
      </c>
      <c r="CW60" s="22">
        <f t="shared" si="13"/>
        <v>276.6217550466074</v>
      </c>
      <c r="CX60" s="62">
        <f t="shared" si="14"/>
        <v>569.95508837994066</v>
      </c>
      <c r="CY60" s="62">
        <f ca="1">AVERAGE(OFFSET($CX$3,0,0,'Données projet'!$E$13+1,1))-AVERAGE(OFFSET($H$3,0,0,'Données projet'!$E$13+1,1))</f>
        <v>293.996396026019</v>
      </c>
      <c r="CZ60" s="62">
        <f t="shared" si="42"/>
        <v>152.23954167722536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195.80903373714432</v>
      </c>
      <c r="T61" s="62">
        <f t="shared" si="34"/>
        <v>388.30721786668977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33.857135385220552</v>
      </c>
      <c r="AA61" s="23">
        <f>EXP(-LN(2)/25)*AA60+(1-EXP(-LN(2)/25))/(LN(2)/25)*Calculateur!V61*Calculateur!X61*VLOOKUP('Données projet'!$B$9,Paramètres!$A$1:$I$89,3,0)*0.475*44/12</f>
        <v>23.762014279361896</v>
      </c>
      <c r="AB61" s="23">
        <f>EXP(-LN(2)/2)*AB60+(1-EXP(-LN(2)/2))/(LN(2)/2)*V61*Y61*VLOOKUP('Données projet'!$B$9,Paramètres!$A$1:$I$89,3,0)*0.475*44/12</f>
        <v>1.0882419466757828E-2</v>
      </c>
      <c r="AC61" s="24">
        <f t="shared" si="3"/>
        <v>57.630032084049212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-4.9658410716801891E-14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303.33040062722074</v>
      </c>
      <c r="AO61" s="62">
        <f t="shared" si="36"/>
        <v>425.30058672361548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7.1122159076202269</v>
      </c>
      <c r="AV61" s="23">
        <f>EXP(-LN(2)/25)*AV60+(1-EXP(-LN(2)/25))/(LN(2)/25)*Calculateur!AQ61*Calculateur!AS61*VLOOKUP('Données projet'!$B$10,Paramètres!$A$1:$I$89,3,0)*0.475*44/12</f>
        <v>14.157812269766561</v>
      </c>
      <c r="AW61" s="23">
        <f>EXP(-LN(2)/2)*AW60+(1-EXP(-LN(2)/2))/(LN(2)/2)*AQ61*AT61*VLOOKUP('Données projet'!$B$10,Paramètres!$A$1:$I$89,3,0)*0.475*44/12</f>
        <v>7.2335765522372046E-5</v>
      </c>
      <c r="AX61" s="23">
        <f t="shared" si="6"/>
        <v>21.270100513152311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16.666666666666668</v>
      </c>
      <c r="BD61" s="13">
        <f>IF('Données projet'!$A$88&gt;35,BD60+BC61-BL60,IF(A61&lt;'Données projet'!$A$88,$BA$205^A61,IF(A61='Données projet'!$A$88,'Données projet'!$B$88,BD60+BC61-BL60)))</f>
        <v>332.66666666666657</v>
      </c>
      <c r="BE61" s="14">
        <f>BD61*VLOOKUP('Données projet'!$B$11,Paramètres!$A$1:$I$89,3,0)*VLOOKUP('Données projet'!$B$11,Paramètres!$A$1:$I$89,5,0)</f>
        <v>155.68799999999996</v>
      </c>
      <c r="BF61" s="14">
        <f t="shared" si="37"/>
        <v>39.868390761764985</v>
      </c>
      <c r="BG61" s="22">
        <f t="shared" si="7"/>
        <v>340.5940472434072</v>
      </c>
      <c r="BH61" s="62">
        <f t="shared" si="8"/>
        <v>633.92738057674046</v>
      </c>
      <c r="BI61" s="62">
        <f ca="1">AVERAGE(OFFSET($BH$3,0,0,'Données projet'!$E$11+1,1))-AVERAGE(OFFSET($H$3,0,0,'Données projet'!$E$11+1,1))</f>
        <v>317.54276561627643</v>
      </c>
      <c r="BJ61" s="62">
        <f t="shared" si="38"/>
        <v>238.92443174298893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3</v>
      </c>
      <c r="BY61" s="13">
        <f>IF('Données projet'!$A$114&gt;35,BY60+BX61-CG60,IF(A61&lt;'Données projet'!$A$114,$BV$205^A61,IF(A61='Données projet'!$A$114,'Données projet'!$B$114,BY60+BX61-CG60)))</f>
        <v>133.99999999999994</v>
      </c>
      <c r="BZ61" s="14">
        <f>BY61*VLOOKUP('Données projet'!$B$12,Paramètres!$A$1:$I$89,3,0)*VLOOKUP('Données projet'!$B$12,Paramètres!$A$1:$I$89,5,0)</f>
        <v>117.06239999999997</v>
      </c>
      <c r="CA61" s="14">
        <f t="shared" si="39"/>
        <v>30.988867171899123</v>
      </c>
      <c r="CB61" s="22">
        <f t="shared" si="10"/>
        <v>257.85595699105755</v>
      </c>
      <c r="CC61" s="62">
        <f t="shared" si="11"/>
        <v>551.18929032439087</v>
      </c>
      <c r="CD61" s="62">
        <f ca="1">AVERAGE(OFFSET($CC$3,0,0,'Données projet'!$E$12+1,1))-AVERAGE(OFFSET($H$3,0,0,'Données projet'!$E$12+1,1))</f>
        <v>195.30963433439501</v>
      </c>
      <c r="CE61" s="62">
        <f t="shared" si="40"/>
        <v>185.00219255324504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5.6</v>
      </c>
      <c r="CT61" s="13">
        <f>IF('Données projet'!$A$140&gt;35,CT60+CS61-DB60,IF(A61&lt;'Données projet'!$A$140,$CQ$205^A61,IF(A61='Données projet'!$A$140,'Données projet'!$B$140,CT60+CS61-DB60)))</f>
        <v>137.79999999999993</v>
      </c>
      <c r="CU61" s="18">
        <f>CT61*VLOOKUP('Données projet'!$B$13,Paramètres!$A$1:$I$89,3,0)*VLOOKUP('Données projet'!$B$13,Paramètres!$A$1:$I$89,5,0)</f>
        <v>131.13047999999992</v>
      </c>
      <c r="CV61" s="14">
        <f t="shared" si="41"/>
        <v>34.257448288813869</v>
      </c>
      <c r="CW61" s="22">
        <f t="shared" si="13"/>
        <v>288.05064176968398</v>
      </c>
      <c r="CX61" s="62">
        <f t="shared" si="14"/>
        <v>581.38397510301729</v>
      </c>
      <c r="CY61" s="62">
        <f ca="1">AVERAGE(OFFSET($CX$3,0,0,'Données projet'!$E$13+1,1))-AVERAGE(OFFSET($H$3,0,0,'Données projet'!$E$13+1,1))</f>
        <v>293.996396026019</v>
      </c>
      <c r="CZ61" s="62">
        <f t="shared" si="42"/>
        <v>152.23954167722536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195.80903373714432</v>
      </c>
      <c r="T62" s="62">
        <f t="shared" si="34"/>
        <v>388.30721786668977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33.19321761112986</v>
      </c>
      <c r="AA62" s="23">
        <f>EXP(-LN(2)/25)*AA61+(1-EXP(-LN(2)/25))/(LN(2)/25)*Calculateur!V62*Calculateur!X62*VLOOKUP('Données projet'!$B$9,Paramètres!$A$1:$I$89,3,0)*0.475*44/12</f>
        <v>23.112240749302721</v>
      </c>
      <c r="AB62" s="23">
        <f>EXP(-LN(2)/2)*AB61+(1-EXP(-LN(2)/2))/(LN(2)/2)*V62*Y62*VLOOKUP('Données projet'!$B$9,Paramètres!$A$1:$I$89,3,0)*0.475*44/12</f>
        <v>7.6950326006609534E-3</v>
      </c>
      <c r="AC62" s="24">
        <f t="shared" si="3"/>
        <v>56.31315339303324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-4.9658410716801891E-14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303.33040062722074</v>
      </c>
      <c r="AO62" s="62">
        <f t="shared" si="36"/>
        <v>425.30058672361548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6.9727496916951539</v>
      </c>
      <c r="AV62" s="23">
        <f>EXP(-LN(2)/25)*AV61+(1-EXP(-LN(2)/25))/(LN(2)/25)*Calculateur!AQ62*Calculateur!AS62*VLOOKUP('Données projet'!$B$10,Paramètres!$A$1:$I$89,3,0)*0.475*44/12</f>
        <v>13.770666148722805</v>
      </c>
      <c r="AW62" s="23">
        <f>EXP(-LN(2)/2)*AW61+(1-EXP(-LN(2)/2))/(LN(2)/2)*AQ62*AT62*VLOOKUP('Données projet'!$B$10,Paramètres!$A$1:$I$89,3,0)*0.475*44/12</f>
        <v>5.114911032318934E-5</v>
      </c>
      <c r="AX62" s="23">
        <f t="shared" si="6"/>
        <v>20.743466989528283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16.666666666666668</v>
      </c>
      <c r="BD62" s="13">
        <f>IF('Données projet'!$A$88&gt;35,BD61+BC62-BL61,IF(A62&lt;'Données projet'!$A$88,$BA$205^A62,IF(A62='Données projet'!$A$88,'Données projet'!$B$88,BD61+BC62-BL61)))</f>
        <v>349.33333333333326</v>
      </c>
      <c r="BE62" s="14">
        <f>BD62*VLOOKUP('Données projet'!$B$11,Paramètres!$A$1:$I$89,3,0)*VLOOKUP('Données projet'!$B$11,Paramètres!$A$1:$I$89,5,0)</f>
        <v>163.48799999999994</v>
      </c>
      <c r="BF62" s="14">
        <f t="shared" si="37"/>
        <v>41.628253379180116</v>
      </c>
      <c r="BG62" s="22">
        <f t="shared" si="7"/>
        <v>357.24414130207191</v>
      </c>
      <c r="BH62" s="62">
        <f t="shared" si="8"/>
        <v>650.57747463540522</v>
      </c>
      <c r="BI62" s="62">
        <f ca="1">AVERAGE(OFFSET($BH$3,0,0,'Données projet'!$E$11+1,1))-AVERAGE(OFFSET($H$3,0,0,'Données projet'!$E$11+1,1))</f>
        <v>317.54276561627643</v>
      </c>
      <c r="BJ62" s="62">
        <f t="shared" si="38"/>
        <v>238.92443174298893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3</v>
      </c>
      <c r="BY62" s="13">
        <f>IF('Données projet'!$A$114&gt;35,BY61+BX62-CG61,IF(A62&lt;'Données projet'!$A$114,$BV$205^A62,IF(A62='Données projet'!$A$114,'Données projet'!$B$114,BY61+BX62-CG61)))</f>
        <v>136.99999999999994</v>
      </c>
      <c r="BZ62" s="14">
        <f>BY62*VLOOKUP('Données projet'!$B$12,Paramètres!$A$1:$I$89,3,0)*VLOOKUP('Données projet'!$B$12,Paramètres!$A$1:$I$89,5,0)</f>
        <v>119.68319999999996</v>
      </c>
      <c r="CA62" s="14">
        <f t="shared" si="39"/>
        <v>31.601099532596166</v>
      </c>
      <c r="CB62" s="22">
        <f t="shared" si="10"/>
        <v>263.4868216859382</v>
      </c>
      <c r="CC62" s="62">
        <f t="shared" si="11"/>
        <v>556.82015501927151</v>
      </c>
      <c r="CD62" s="62">
        <f ca="1">AVERAGE(OFFSET($CC$3,0,0,'Données projet'!$E$12+1,1))-AVERAGE(OFFSET($H$3,0,0,'Données projet'!$E$12+1,1))</f>
        <v>195.30963433439501</v>
      </c>
      <c r="CE62" s="62">
        <f t="shared" si="40"/>
        <v>185.00219255324504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5.6</v>
      </c>
      <c r="CT62" s="13">
        <f>IF('Données projet'!$A$140&gt;35,CT61+CS62-DB61,IF(A62&lt;'Données projet'!$A$140,$CQ$205^A62,IF(A62='Données projet'!$A$140,'Données projet'!$B$140,CT61+CS62-DB61)))</f>
        <v>143.39999999999992</v>
      </c>
      <c r="CU62" s="18">
        <f>CT62*VLOOKUP('Données projet'!$B$13,Paramètres!$A$1:$I$89,3,0)*VLOOKUP('Données projet'!$B$13,Paramètres!$A$1:$I$89,5,0)</f>
        <v>136.45943999999992</v>
      </c>
      <c r="CV62" s="14">
        <f t="shared" si="41"/>
        <v>35.484707713429785</v>
      </c>
      <c r="CW62" s="22">
        <f t="shared" si="13"/>
        <v>299.46939060089005</v>
      </c>
      <c r="CX62" s="62">
        <f t="shared" si="14"/>
        <v>592.80272393422342</v>
      </c>
      <c r="CY62" s="62">
        <f ca="1">AVERAGE(OFFSET($CX$3,0,0,'Données projet'!$E$13+1,1))-AVERAGE(OFFSET($H$3,0,0,'Données projet'!$E$13+1,1))</f>
        <v>293.996396026019</v>
      </c>
      <c r="CZ62" s="62">
        <f t="shared" si="42"/>
        <v>152.23954167722536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195.80903373714432</v>
      </c>
      <c r="T63" s="62">
        <f t="shared" si="34"/>
        <v>388.30721786668977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32.542318859639231</v>
      </c>
      <c r="AA63" s="23">
        <f>EXP(-LN(2)/25)*AA62+(1-EXP(-LN(2)/25))/(LN(2)/25)*Calculateur!V63*Calculateur!X63*VLOOKUP('Données projet'!$B$9,Paramètres!$A$1:$I$89,3,0)*0.475*44/12</f>
        <v>22.48023531059312</v>
      </c>
      <c r="AB63" s="23">
        <f>EXP(-LN(2)/2)*AB62+(1-EXP(-LN(2)/2))/(LN(2)/2)*V63*Y63*VLOOKUP('Données projet'!$B$9,Paramètres!$A$1:$I$89,3,0)*0.475*44/12</f>
        <v>5.4412097333789147E-3</v>
      </c>
      <c r="AC63" s="24">
        <f t="shared" si="3"/>
        <v>55.027995379965731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-4.9658410716801891E-14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303.33040062722074</v>
      </c>
      <c r="AO63" s="62">
        <f t="shared" si="36"/>
        <v>425.30058672361548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6.8360183231983793</v>
      </c>
      <c r="AV63" s="23">
        <f>EXP(-LN(2)/25)*AV62+(1-EXP(-LN(2)/25))/(LN(2)/25)*Calculateur!AQ63*Calculateur!AS63*VLOOKUP('Données projet'!$B$10,Paramètres!$A$1:$I$89,3,0)*0.475*44/12</f>
        <v>13.39410655871812</v>
      </c>
      <c r="AW63" s="23">
        <f>EXP(-LN(2)/2)*AW62+(1-EXP(-LN(2)/2))/(LN(2)/2)*AQ63*AT63*VLOOKUP('Données projet'!$B$10,Paramètres!$A$1:$I$89,3,0)*0.475*44/12</f>
        <v>3.6167882761186023E-5</v>
      </c>
      <c r="AX63" s="23">
        <f t="shared" si="6"/>
        <v>20.230161049799261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16.666666666666668</v>
      </c>
      <c r="BD63" s="13">
        <f>IF('Données projet'!$A$88&gt;35,BD62+BC63-BL62,IF(A63&lt;'Données projet'!$A$88,$BA$205^A63,IF(A63='Données projet'!$A$88,'Données projet'!$B$88,BD62+BC63-BL62)))</f>
        <v>365.99999999999994</v>
      </c>
      <c r="BE63" s="14">
        <f>BD63*VLOOKUP('Données projet'!$B$11,Paramètres!$A$1:$I$89,3,0)*VLOOKUP('Données projet'!$B$11,Paramètres!$A$1:$I$89,5,0)</f>
        <v>171.28799999999995</v>
      </c>
      <c r="BF63" s="14">
        <f t="shared" si="37"/>
        <v>43.378365895721338</v>
      </c>
      <c r="BG63" s="22">
        <f t="shared" si="7"/>
        <v>373.87725393504792</v>
      </c>
      <c r="BH63" s="62">
        <f t="shared" si="8"/>
        <v>667.21058726838123</v>
      </c>
      <c r="BI63" s="62">
        <f ca="1">AVERAGE(OFFSET($BH$3,0,0,'Données projet'!$E$11+1,1))-AVERAGE(OFFSET($H$3,0,0,'Données projet'!$E$11+1,1))</f>
        <v>317.54276561627643</v>
      </c>
      <c r="BJ63" s="62">
        <f t="shared" si="38"/>
        <v>238.92443174298893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140</v>
      </c>
      <c r="BW63" s="13">
        <f>VLOOKUP(A63,'Données projet'!$A$113:$I$133,9,0)</f>
        <v>3</v>
      </c>
      <c r="BX63" s="13">
        <f t="array" ref="BX63">INDEX(BW:BW,MIN(IF(ISNUMBER(BW63:BW259),ROW(BW63:BW259),"")))</f>
        <v>3</v>
      </c>
      <c r="BY63" s="13">
        <f>IF('Données projet'!$A$114&gt;35,BY62+BX63-CG62,IF(A63&lt;'Données projet'!$A$114,$BV$205^A63,IF(A63='Données projet'!$A$114,'Données projet'!$B$114,BY62+BX63-CG62)))</f>
        <v>139.99999999999994</v>
      </c>
      <c r="BZ63" s="14">
        <f>BY63*VLOOKUP('Données projet'!$B$12,Paramètres!$A$1:$I$89,3,0)*VLOOKUP('Données projet'!$B$12,Paramètres!$A$1:$I$89,5,0)</f>
        <v>122.30399999999997</v>
      </c>
      <c r="CA63" s="14">
        <f t="shared" si="39"/>
        <v>32.211773226559373</v>
      </c>
      <c r="CB63" s="22">
        <f t="shared" si="10"/>
        <v>269.11497170292421</v>
      </c>
      <c r="CC63" s="62">
        <f t="shared" si="11"/>
        <v>562.44830503625758</v>
      </c>
      <c r="CD63" s="62">
        <f ca="1">AVERAGE(OFFSET($CC$3,0,0,'Données projet'!$E$12+1,1))-AVERAGE(OFFSET($H$3,0,0,'Données projet'!$E$12+1,1))</f>
        <v>195.30963433439501</v>
      </c>
      <c r="CE63" s="62">
        <f t="shared" si="40"/>
        <v>185.00219255324504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149</v>
      </c>
      <c r="CR63" s="13">
        <f>VLOOKUP(A63,'Données projet'!$A$139:$I$159,9,0)</f>
        <v>5.6</v>
      </c>
      <c r="CS63" s="13">
        <f t="array" ref="CS63">INDEX(CR:CR,MIN(IF(ISNUMBER(CR63:CR259),ROW(CR63:CR259),"")))</f>
        <v>5.6</v>
      </c>
      <c r="CT63" s="13">
        <f>IF('Données projet'!$A$140&gt;35,CT62+CS63-DB62,IF(A63&lt;'Données projet'!$A$140,$CQ$205^A63,IF(A63='Données projet'!$A$140,'Données projet'!$B$140,CT62+CS63-DB62)))</f>
        <v>148.99999999999991</v>
      </c>
      <c r="CU63" s="18">
        <f>CT63*VLOOKUP('Données projet'!$B$13,Paramètres!$A$1:$I$89,3,0)*VLOOKUP('Données projet'!$B$13,Paramètres!$A$1:$I$89,5,0)</f>
        <v>141.78839999999991</v>
      </c>
      <c r="CV63" s="14">
        <f t="shared" si="41"/>
        <v>36.706399664746023</v>
      </c>
      <c r="CW63" s="22">
        <f t="shared" si="13"/>
        <v>310.87844274943245</v>
      </c>
      <c r="CX63" s="62">
        <f t="shared" si="14"/>
        <v>604.21177608276571</v>
      </c>
      <c r="CY63" s="62">
        <f ca="1">AVERAGE(OFFSET($CX$3,0,0,'Données projet'!$E$13+1,1))-AVERAGE(OFFSET($H$3,0,0,'Données projet'!$E$13+1,1))</f>
        <v>293.996396026019</v>
      </c>
      <c r="CZ63" s="62">
        <f t="shared" si="42"/>
        <v>152.23954167722536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195.80903373714432</v>
      </c>
      <c r="T64" s="62">
        <f t="shared" si="34"/>
        <v>388.30721786668977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31.904183835656298</v>
      </c>
      <c r="AA64" s="23">
        <f>EXP(-LN(2)/25)*AA63+(1-EXP(-LN(2)/25))/(LN(2)/25)*Calculateur!V64*Calculateur!X64*VLOOKUP('Données projet'!$B$9,Paramètres!$A$1:$I$89,3,0)*0.475*44/12</f>
        <v>21.865512093840756</v>
      </c>
      <c r="AB64" s="23">
        <f>EXP(-LN(2)/2)*AB63+(1-EXP(-LN(2)/2))/(LN(2)/2)*V64*Y64*VLOOKUP('Données projet'!$B$9,Paramètres!$A$1:$I$89,3,0)*0.475*44/12</f>
        <v>3.8475163003304771E-3</v>
      </c>
      <c r="AC64" s="24">
        <f t="shared" si="3"/>
        <v>53.773543445797387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-4.9658410716801891E-14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303.33040062722074</v>
      </c>
      <c r="AO64" s="62">
        <f t="shared" si="36"/>
        <v>425.30058672361548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6.7019681734399263</v>
      </c>
      <c r="AV64" s="23">
        <f>EXP(-LN(2)/25)*AV63+(1-EXP(-LN(2)/25))/(LN(2)/25)*Calculateur!AQ64*Calculateur!AS64*VLOOKUP('Données projet'!$B$10,Paramètres!$A$1:$I$89,3,0)*0.475*44/12</f>
        <v>13.027844010504522</v>
      </c>
      <c r="AW64" s="23">
        <f>EXP(-LN(2)/2)*AW63+(1-EXP(-LN(2)/2))/(LN(2)/2)*AQ64*AT64*VLOOKUP('Données projet'!$B$10,Paramètres!$A$1:$I$89,3,0)*0.475*44/12</f>
        <v>2.557455516159467E-5</v>
      </c>
      <c r="AX64" s="23">
        <f t="shared" si="6"/>
        <v>19.729837758499606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16.666666666666668</v>
      </c>
      <c r="BD64" s="13">
        <f>IF('Données projet'!$A$88&gt;35,BD63+BC64-BL63,IF(A64&lt;'Données projet'!$A$88,$BA$205^A64,IF(A64='Données projet'!$A$88,'Données projet'!$B$88,BD63+BC64-BL63)))</f>
        <v>382.66666666666663</v>
      </c>
      <c r="BE64" s="14">
        <f>BD64*VLOOKUP('Données projet'!$B$11,Paramètres!$A$1:$I$89,3,0)*VLOOKUP('Données projet'!$B$11,Paramètres!$A$1:$I$89,5,0)</f>
        <v>179.08799999999999</v>
      </c>
      <c r="BF64" s="14">
        <f t="shared" si="37"/>
        <v>45.119223023956835</v>
      </c>
      <c r="BG64" s="22">
        <f t="shared" si="7"/>
        <v>390.49424676672476</v>
      </c>
      <c r="BH64" s="62">
        <f t="shared" si="8"/>
        <v>683.82758010005807</v>
      </c>
      <c r="BI64" s="62">
        <f ca="1">AVERAGE(OFFSET($BH$3,0,0,'Données projet'!$E$11+1,1))-AVERAGE(OFFSET($H$3,0,0,'Données projet'!$E$11+1,1))</f>
        <v>317.54276561627643</v>
      </c>
      <c r="BJ64" s="62">
        <f t="shared" si="38"/>
        <v>238.92443174298893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2.6</v>
      </c>
      <c r="BY64" s="13">
        <f>IF('Données projet'!$A$114&gt;35,BY63+BX64-CG63,IF(A64&lt;'Données projet'!$A$114,$BV$205^A64,IF(A64='Données projet'!$A$114,'Données projet'!$B$114,BY63+BX64-CG63)))</f>
        <v>135.59999999999994</v>
      </c>
      <c r="BZ64" s="14">
        <f>BY64*VLOOKUP('Données projet'!$B$12,Paramètres!$A$1:$I$89,3,0)*VLOOKUP('Données projet'!$B$12,Paramètres!$A$1:$I$89,5,0)</f>
        <v>118.46015999999997</v>
      </c>
      <c r="CA64" s="14">
        <f t="shared" si="39"/>
        <v>31.315587396029674</v>
      </c>
      <c r="CB64" s="22">
        <f t="shared" si="10"/>
        <v>260.85942671475163</v>
      </c>
      <c r="CC64" s="62">
        <f t="shared" si="11"/>
        <v>554.19276004808489</v>
      </c>
      <c r="CD64" s="62">
        <f ca="1">AVERAGE(OFFSET($CC$3,0,0,'Données projet'!$E$12+1,1))-AVERAGE(OFFSET($H$3,0,0,'Données projet'!$E$12+1,1))</f>
        <v>195.30963433439501</v>
      </c>
      <c r="CE64" s="62">
        <f t="shared" si="40"/>
        <v>185.00219255324504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140.1999999999999</v>
      </c>
      <c r="CU64" s="18">
        <f>CT64*VLOOKUP('Données projet'!$B$13,Paramètres!$A$1:$I$89,3,0)*VLOOKUP('Données projet'!$B$13,Paramètres!$A$1:$I$89,5,0)</f>
        <v>133.41431999999989</v>
      </c>
      <c r="CV64" s="14">
        <f t="shared" si="41"/>
        <v>34.78411410316037</v>
      </c>
      <c r="CW64" s="22">
        <f t="shared" si="13"/>
        <v>292.94560606300411</v>
      </c>
      <c r="CX64" s="62">
        <f t="shared" si="14"/>
        <v>586.27893939633736</v>
      </c>
      <c r="CY64" s="62">
        <f ca="1">AVERAGE(OFFSET($CX$3,0,0,'Données projet'!$E$13+1,1))-AVERAGE(OFFSET($H$3,0,0,'Données projet'!$E$13+1,1))</f>
        <v>293.996396026019</v>
      </c>
      <c r="CZ64" s="62">
        <f t="shared" si="42"/>
        <v>152.23954167722536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195.80903373714432</v>
      </c>
      <c r="T65" s="62">
        <f t="shared" si="34"/>
        <v>388.30721786668977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31.27856225026974</v>
      </c>
      <c r="AA65" s="23">
        <f>EXP(-LN(2)/25)*AA64+(1-EXP(-LN(2)/25))/(LN(2)/25)*Calculateur!V65*Calculateur!X65*VLOOKUP('Données projet'!$B$9,Paramètres!$A$1:$I$89,3,0)*0.475*44/12</f>
        <v>21.267598515777372</v>
      </c>
      <c r="AB65" s="23">
        <f>EXP(-LN(2)/2)*AB64+(1-EXP(-LN(2)/2))/(LN(2)/2)*V65*Y65*VLOOKUP('Données projet'!$B$9,Paramètres!$A$1:$I$89,3,0)*0.475*44/12</f>
        <v>2.7206048666894578E-3</v>
      </c>
      <c r="AC65" s="24">
        <f t="shared" si="3"/>
        <v>52.548881370913797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-4.9658410716801891E-14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303.33040062722074</v>
      </c>
      <c r="AO65" s="62">
        <f t="shared" si="36"/>
        <v>425.30058672361548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6.5705466653557192</v>
      </c>
      <c r="AV65" s="23">
        <f>EXP(-LN(2)/25)*AV64+(1-EXP(-LN(2)/25))/(LN(2)/25)*Calculateur!AQ65*Calculateur!AS65*VLOOKUP('Données projet'!$B$10,Paramètres!$A$1:$I$89,3,0)*0.475*44/12</f>
        <v>12.671596930932735</v>
      </c>
      <c r="AW65" s="23">
        <f>EXP(-LN(2)/2)*AW64+(1-EXP(-LN(2)/2))/(LN(2)/2)*AQ65*AT65*VLOOKUP('Données projet'!$B$10,Paramètres!$A$1:$I$89,3,0)*0.475*44/12</f>
        <v>1.8083941380593012E-5</v>
      </c>
      <c r="AX65" s="23">
        <f t="shared" si="6"/>
        <v>19.242161680229835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16.666666666666668</v>
      </c>
      <c r="BD65" s="13">
        <f>IF('Données projet'!$A$88&gt;35,BD64+BC65-BL64,IF(A65&lt;'Données projet'!$A$88,$BA$205^A65,IF(A65='Données projet'!$A$88,'Données projet'!$B$88,BD64+BC65-BL64)))</f>
        <v>399.33333333333331</v>
      </c>
      <c r="BE65" s="14">
        <f>BD65*VLOOKUP('Données projet'!$B$11,Paramètres!$A$1:$I$89,3,0)*VLOOKUP('Données projet'!$B$11,Paramètres!$A$1:$I$89,5,0)</f>
        <v>186.88800000000001</v>
      </c>
      <c r="BF65" s="14">
        <f t="shared" si="37"/>
        <v>46.851273946133198</v>
      </c>
      <c r="BG65" s="22">
        <f t="shared" si="7"/>
        <v>407.09590212284866</v>
      </c>
      <c r="BH65" s="62">
        <f t="shared" si="8"/>
        <v>700.42923545618191</v>
      </c>
      <c r="BI65" s="62">
        <f ca="1">AVERAGE(OFFSET($BH$3,0,0,'Données projet'!$E$11+1,1))-AVERAGE(OFFSET($H$3,0,0,'Données projet'!$E$11+1,1))</f>
        <v>317.54276561627643</v>
      </c>
      <c r="BJ65" s="62">
        <f t="shared" si="38"/>
        <v>238.92443174298893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2.6</v>
      </c>
      <c r="BY65" s="13">
        <f>IF('Données projet'!$A$114&gt;35,BY64+BX65-CG64,IF(A65&lt;'Données projet'!$A$114,$BV$205^A65,IF(A65='Données projet'!$A$114,'Données projet'!$B$114,BY64+BX65-CG64)))</f>
        <v>138.19999999999993</v>
      </c>
      <c r="BZ65" s="14">
        <f>BY65*VLOOKUP('Données projet'!$B$12,Paramètres!$A$1:$I$89,3,0)*VLOOKUP('Données projet'!$B$12,Paramètres!$A$1:$I$89,5,0)</f>
        <v>120.73151999999995</v>
      </c>
      <c r="CA65" s="14">
        <f t="shared" si="39"/>
        <v>31.845553926050336</v>
      </c>
      <c r="CB65" s="22">
        <f t="shared" si="10"/>
        <v>265.73840375453756</v>
      </c>
      <c r="CC65" s="62">
        <f t="shared" si="11"/>
        <v>559.07173708787082</v>
      </c>
      <c r="CD65" s="62">
        <f ca="1">AVERAGE(OFFSET($CC$3,0,0,'Données projet'!$E$12+1,1))-AVERAGE(OFFSET($H$3,0,0,'Données projet'!$E$12+1,1))</f>
        <v>195.30963433439501</v>
      </c>
      <c r="CE65" s="62">
        <f t="shared" si="40"/>
        <v>185.00219255324504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145.39999999999989</v>
      </c>
      <c r="CU65" s="18">
        <f>CT65*VLOOKUP('Données projet'!$B$13,Paramètres!$A$1:$I$89,3,0)*VLOOKUP('Données projet'!$B$13,Paramètres!$A$1:$I$89,5,0)</f>
        <v>138.36263999999989</v>
      </c>
      <c r="CV65" s="14">
        <f t="shared" si="41"/>
        <v>35.921652875236965</v>
      </c>
      <c r="CW65" s="22">
        <f t="shared" si="13"/>
        <v>303.54514342437079</v>
      </c>
      <c r="CX65" s="62">
        <f t="shared" si="14"/>
        <v>596.87847675770411</v>
      </c>
      <c r="CY65" s="62">
        <f ca="1">AVERAGE(OFFSET($CX$3,0,0,'Données projet'!$E$13+1,1))-AVERAGE(OFFSET($H$3,0,0,'Données projet'!$E$13+1,1))</f>
        <v>293.996396026019</v>
      </c>
      <c r="CZ65" s="62">
        <f t="shared" si="42"/>
        <v>152.23954167722536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195.80903373714432</v>
      </c>
      <c r="T66" s="62">
        <f t="shared" si="34"/>
        <v>388.30721786668977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30.665208722581124</v>
      </c>
      <c r="AA66" s="23">
        <f>EXP(-LN(2)/25)*AA65+(1-EXP(-LN(2)/25))/(LN(2)/25)*Calculateur!V66*Calculateur!X66*VLOOKUP('Données projet'!$B$9,Paramètres!$A$1:$I$89,3,0)*0.475*44/12</f>
        <v>20.68603491594904</v>
      </c>
      <c r="AB66" s="23">
        <f>EXP(-LN(2)/2)*AB65+(1-EXP(-LN(2)/2))/(LN(2)/2)*V66*Y66*VLOOKUP('Données projet'!$B$9,Paramètres!$A$1:$I$89,3,0)*0.475*44/12</f>
        <v>1.9237581501652388E-3</v>
      </c>
      <c r="AC66" s="24">
        <f t="shared" si="3"/>
        <v>51.353167396680327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-4.9658410716801891E-14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303.33040062722074</v>
      </c>
      <c r="AO66" s="62">
        <f t="shared" si="36"/>
        <v>425.30058672361548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6.4417022528858379</v>
      </c>
      <c r="AV66" s="23">
        <f>EXP(-LN(2)/25)*AV65+(1-EXP(-LN(2)/25))/(LN(2)/25)*Calculateur!AQ66*Calculateur!AS66*VLOOKUP('Données projet'!$B$10,Paramètres!$A$1:$I$89,3,0)*0.475*44/12</f>
        <v>12.325091446486057</v>
      </c>
      <c r="AW66" s="23">
        <f>EXP(-LN(2)/2)*AW65+(1-EXP(-LN(2)/2))/(LN(2)/2)*AQ66*AT66*VLOOKUP('Données projet'!$B$10,Paramètres!$A$1:$I$89,3,0)*0.475*44/12</f>
        <v>1.2787277580797335E-5</v>
      </c>
      <c r="AX66" s="23">
        <f t="shared" si="6"/>
        <v>18.766806486649475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416</v>
      </c>
      <c r="BB66" s="13">
        <f>VLOOKUP(A66,'Données projet'!$A$87:$I$107,9,0)</f>
        <v>16.666666666666668</v>
      </c>
      <c r="BC66" s="13">
        <f t="array" ref="BC66">INDEX(BB:BB,MIN(IF(ISNUMBER(BB66:BB262),ROW(BB66:BB262),"")))</f>
        <v>16.666666666666668</v>
      </c>
      <c r="BD66" s="13">
        <f>IF('Données projet'!$A$88&gt;35,BD65+BC66-BL65,IF(A66&lt;'Données projet'!$A$88,$BA$205^A66,IF(A66='Données projet'!$A$88,'Données projet'!$B$88,BD65+BC66-BL65)))</f>
        <v>416</v>
      </c>
      <c r="BE66" s="14">
        <f>BD66*VLOOKUP('Données projet'!$B$11,Paramètres!$A$1:$I$89,3,0)*VLOOKUP('Données projet'!$B$11,Paramètres!$A$1:$I$89,5,0)</f>
        <v>194.68799999999999</v>
      </c>
      <c r="BF66" s="14">
        <f t="shared" si="37"/>
        <v>48.574928228914978</v>
      </c>
      <c r="BG66" s="22">
        <f t="shared" si="7"/>
        <v>423.68293333202695</v>
      </c>
      <c r="BH66" s="62">
        <f t="shared" si="8"/>
        <v>717.01626666536026</v>
      </c>
      <c r="BI66" s="62">
        <f ca="1">AVERAGE(OFFSET($BH$3,0,0,'Données projet'!$E$11+1,1))-AVERAGE(OFFSET($H$3,0,0,'Données projet'!$E$11+1,1))</f>
        <v>317.54276561627643</v>
      </c>
      <c r="BJ66" s="62">
        <f t="shared" si="38"/>
        <v>238.92443174298893</v>
      </c>
      <c r="BK66" s="16">
        <f>IF(ISNA(VLOOKUP(A66,'Données projet'!$A$87:$I$107,3,0)),0,VLOOKUP(A66,'Données projet'!$A$87:$I$107,3,0))</f>
        <v>9</v>
      </c>
      <c r="BL66" s="16">
        <f>IF(ISNA(VLOOKUP(A66,'Données projet'!$A$87:$I$107,4,0)),0,VLOOKUP(A66,'Données projet'!$A$87:$I$107,4,0))</f>
        <v>79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2.6</v>
      </c>
      <c r="BY66" s="13">
        <f>IF('Données projet'!$A$114&gt;35,BY65+BX66-CG65,IF(A66&lt;'Données projet'!$A$114,$BV$205^A66,IF(A66='Données projet'!$A$114,'Données projet'!$B$114,BY65+BX66-CG65)))</f>
        <v>140.79999999999993</v>
      </c>
      <c r="BZ66" s="14">
        <f>BY66*VLOOKUP('Données projet'!$B$12,Paramètres!$A$1:$I$89,3,0)*VLOOKUP('Données projet'!$B$12,Paramètres!$A$1:$I$89,5,0)</f>
        <v>123.00287999999996</v>
      </c>
      <c r="CA66" s="14">
        <f t="shared" si="39"/>
        <v>32.374361095906167</v>
      </c>
      <c r="CB66" s="22">
        <f t="shared" si="10"/>
        <v>270.61536157536983</v>
      </c>
      <c r="CC66" s="62">
        <f t="shared" si="11"/>
        <v>563.94869490870315</v>
      </c>
      <c r="CD66" s="62">
        <f ca="1">AVERAGE(OFFSET($CC$3,0,0,'Données projet'!$E$12+1,1))-AVERAGE(OFFSET($H$3,0,0,'Données projet'!$E$12+1,1))</f>
        <v>195.30963433439501</v>
      </c>
      <c r="CE66" s="62">
        <f t="shared" si="40"/>
        <v>185.00219255324504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150.59999999999988</v>
      </c>
      <c r="CU66" s="18">
        <f>CT66*VLOOKUP('Données projet'!$B$13,Paramètres!$A$1:$I$89,3,0)*VLOOKUP('Données projet'!$B$13,Paramètres!$A$1:$I$89,5,0)</f>
        <v>143.31095999999988</v>
      </c>
      <c r="CV66" s="14">
        <f t="shared" si="41"/>
        <v>37.054465009884851</v>
      </c>
      <c r="CW66" s="22">
        <f t="shared" si="13"/>
        <v>314.13644855888259</v>
      </c>
      <c r="CX66" s="62">
        <f t="shared" si="14"/>
        <v>607.46978189221591</v>
      </c>
      <c r="CY66" s="62">
        <f ca="1">AVERAGE(OFFSET($CX$3,0,0,'Données projet'!$E$13+1,1))-AVERAGE(OFFSET($H$3,0,0,'Données projet'!$E$13+1,1))</f>
        <v>293.996396026019</v>
      </c>
      <c r="CZ66" s="62">
        <f t="shared" si="42"/>
        <v>152.23954167722536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195.80903373714432</v>
      </c>
      <c r="T67" s="62">
        <f t="shared" si="34"/>
        <v>388.30721786668977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30.06388268346177</v>
      </c>
      <c r="AA67" s="23">
        <f>EXP(-LN(2)/25)*AA66+(1-EXP(-LN(2)/25))/(LN(2)/25)*Calculateur!V67*Calculateur!X67*VLOOKUP('Données projet'!$B$9,Paramètres!$A$1:$I$89,3,0)*0.475*44/12</f>
        <v>20.120374203341115</v>
      </c>
      <c r="AB67" s="23">
        <f>EXP(-LN(2)/2)*AB66+(1-EXP(-LN(2)/2))/(LN(2)/2)*V67*Y67*VLOOKUP('Données projet'!$B$9,Paramètres!$A$1:$I$89,3,0)*0.475*44/12</f>
        <v>1.3603024333447291E-3</v>
      </c>
      <c r="AC67" s="24">
        <f t="shared" si="3"/>
        <v>50.185617189236233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-4.9658410716801891E-14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303.33040062722074</v>
      </c>
      <c r="AO67" s="62">
        <f t="shared" si="36"/>
        <v>425.30058672361548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6.3153844007571589</v>
      </c>
      <c r="AV67" s="23">
        <f>EXP(-LN(2)/25)*AV66+(1-EXP(-LN(2)/25))/(LN(2)/25)*Calculateur!AQ67*Calculateur!AS67*VLOOKUP('Données projet'!$B$10,Paramètres!$A$1:$I$89,3,0)*0.475*44/12</f>
        <v>11.988061172733506</v>
      </c>
      <c r="AW67" s="23">
        <f>EXP(-LN(2)/2)*AW66+(1-EXP(-LN(2)/2))/(LN(2)/2)*AQ67*AT67*VLOOKUP('Données projet'!$B$10,Paramètres!$A$1:$I$89,3,0)*0.475*44/12</f>
        <v>9.0419706902965058E-6</v>
      </c>
      <c r="AX67" s="23">
        <f t="shared" si="6"/>
        <v>18.303454615461352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353</v>
      </c>
      <c r="BB67" s="13">
        <f>VLOOKUP(A67,'Données projet'!$A$87:$I$107,9,0)</f>
        <v>16</v>
      </c>
      <c r="BC67" s="13">
        <f t="array" ref="BC67">INDEX(BB:BB,MIN(IF(ISNUMBER(BB67:BB263),ROW(BB67:BB263),"")))</f>
        <v>16</v>
      </c>
      <c r="BD67" s="13">
        <f>IF('Données projet'!$A$88&gt;35,BD66+BC67-BL66,IF(A67&lt;'Données projet'!$A$88,$BA$205^A67,IF(A67='Données projet'!$A$88,'Données projet'!$B$88,BD66+BC67-BL66)))</f>
        <v>353</v>
      </c>
      <c r="BE67" s="14">
        <f>BD67*VLOOKUP('Données projet'!$B$11,Paramètres!$A$1:$I$89,3,0)*VLOOKUP('Données projet'!$B$11,Paramètres!$A$1:$I$89,5,0)</f>
        <v>165.20400000000001</v>
      </c>
      <c r="BF67" s="14">
        <f t="shared" si="37"/>
        <v>42.01409666579589</v>
      </c>
      <c r="BG67" s="22">
        <f t="shared" si="7"/>
        <v>360.90485169292782</v>
      </c>
      <c r="BH67" s="62">
        <f t="shared" si="8"/>
        <v>654.23818502626114</v>
      </c>
      <c r="BI67" s="62">
        <f ca="1">AVERAGE(OFFSET($BH$3,0,0,'Données projet'!$E$11+1,1))-AVERAGE(OFFSET($H$3,0,0,'Données projet'!$E$11+1,1))</f>
        <v>317.54276561627643</v>
      </c>
      <c r="BJ67" s="62">
        <f t="shared" si="38"/>
        <v>238.92443174298893</v>
      </c>
      <c r="BK67" s="16">
        <f>IF(ISNA(VLOOKUP(A67,'Données projet'!$A$87:$I$107,3,0)),0,VLOOKUP(A67,'Données projet'!$A$87:$I$107,3,0))</f>
        <v>10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2.6</v>
      </c>
      <c r="BY67" s="13">
        <f>IF('Données projet'!$A$114&gt;35,BY66+BX67-CG66,IF(A67&lt;'Données projet'!$A$114,$BV$205^A67,IF(A67='Données projet'!$A$114,'Données projet'!$B$114,BY66+BX67-CG66)))</f>
        <v>143.39999999999992</v>
      </c>
      <c r="BZ67" s="14">
        <f>BY67*VLOOKUP('Données projet'!$B$12,Paramètres!$A$1:$I$89,3,0)*VLOOKUP('Données projet'!$B$12,Paramètres!$A$1:$I$89,5,0)</f>
        <v>125.27423999999993</v>
      </c>
      <c r="CA67" s="14">
        <f t="shared" si="39"/>
        <v>32.902032783270968</v>
      </c>
      <c r="CB67" s="22">
        <f t="shared" si="10"/>
        <v>275.49034176419684</v>
      </c>
      <c r="CC67" s="62">
        <f t="shared" si="11"/>
        <v>568.82367509753021</v>
      </c>
      <c r="CD67" s="62">
        <f ca="1">AVERAGE(OFFSET($CC$3,0,0,'Données projet'!$E$12+1,1))-AVERAGE(OFFSET($H$3,0,0,'Données projet'!$E$12+1,1))</f>
        <v>195.30963433439501</v>
      </c>
      <c r="CE67" s="62">
        <f t="shared" si="40"/>
        <v>185.00219255324504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155.79999999999987</v>
      </c>
      <c r="CU67" s="18">
        <f>CT67*VLOOKUP('Données projet'!$B$13,Paramètres!$A$1:$I$89,3,0)*VLOOKUP('Données projet'!$B$13,Paramètres!$A$1:$I$89,5,0)</f>
        <v>148.25927999999988</v>
      </c>
      <c r="CV67" s="14">
        <f t="shared" si="41"/>
        <v>38.182732415799116</v>
      </c>
      <c r="CW67" s="22">
        <f t="shared" si="13"/>
        <v>324.71983829084985</v>
      </c>
      <c r="CX67" s="62">
        <f t="shared" si="14"/>
        <v>618.05317162418316</v>
      </c>
      <c r="CY67" s="62">
        <f ca="1">AVERAGE(OFFSET($CX$3,0,0,'Données projet'!$E$13+1,1))-AVERAGE(OFFSET($H$3,0,0,'Données projet'!$E$13+1,1))</f>
        <v>293.996396026019</v>
      </c>
      <c r="CZ67" s="62">
        <f t="shared" si="42"/>
        <v>152.23954167722536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195.80903373714432</v>
      </c>
      <c r="T68" s="62">
        <f t="shared" si="34"/>
        <v>388.30721786668977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29.474348281196878</v>
      </c>
      <c r="AA68" s="23">
        <f>EXP(-LN(2)/25)*AA67+(1-EXP(-LN(2)/25))/(LN(2)/25)*Calculateur!V68*Calculateur!X68*VLOOKUP('Données projet'!$B$9,Paramètres!$A$1:$I$89,3,0)*0.475*44/12</f>
        <v>19.570181512666259</v>
      </c>
      <c r="AB68" s="23">
        <f>EXP(-LN(2)/2)*AB67+(1-EXP(-LN(2)/2))/(LN(2)/2)*V68*Y68*VLOOKUP('Données projet'!$B$9,Paramètres!$A$1:$I$89,3,0)*0.475*44/12</f>
        <v>9.618790750826196E-4</v>
      </c>
      <c r="AC68" s="24">
        <f t="shared" ref="AC68:AC131" si="57">SUM(Z68:AB68)</f>
        <v>49.045491672938219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-4.9658410716801891E-14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303.33040062722074</v>
      </c>
      <c r="AO68" s="62">
        <f t="shared" si="36"/>
        <v>425.30058672361548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6.1915435646624415</v>
      </c>
      <c r="AV68" s="23">
        <f>EXP(-LN(2)/25)*AV67+(1-EXP(-LN(2)/25))/(LN(2)/25)*Calculateur!AQ68*Calculateur!AS68*VLOOKUP('Données projet'!$B$10,Paramètres!$A$1:$I$89,3,0)*0.475*44/12</f>
        <v>11.66024700954037</v>
      </c>
      <c r="AW68" s="23">
        <f>EXP(-LN(2)/2)*AW67+(1-EXP(-LN(2)/2))/(LN(2)/2)*AQ68*AT68*VLOOKUP('Données projet'!$B$10,Paramètres!$A$1:$I$89,3,0)*0.475*44/12</f>
        <v>6.3936387903986675E-6</v>
      </c>
      <c r="AX68" s="23">
        <f t="shared" ref="AX68:AX131" si="60">SUM(AU68:AW68)</f>
        <v>17.851796967841604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16.142857142857142</v>
      </c>
      <c r="BD68" s="13">
        <f>IF('Données projet'!$A$88&gt;35,BD67+BC68-BL67,IF(A68&lt;'Données projet'!$A$88,$BA$205^A68,IF(A68='Données projet'!$A$88,'Données projet'!$B$88,BD67+BC68-BL67)))</f>
        <v>369.14285714285717</v>
      </c>
      <c r="BE68" s="14">
        <f>BD68*VLOOKUP('Données projet'!$B$11,Paramètres!$A$1:$I$89,3,0)*VLOOKUP('Données projet'!$B$11,Paramètres!$A$1:$I$89,5,0)</f>
        <v>172.75885714285715</v>
      </c>
      <c r="BF68" s="14">
        <f t="shared" si="37"/>
        <v>43.707335703690283</v>
      </c>
      <c r="BG68" s="22">
        <f t="shared" ref="BG68:BG131" si="61">(BE68+BF68)*0.475*44/12</f>
        <v>377.01195254107012</v>
      </c>
      <c r="BH68" s="62">
        <f t="shared" ref="BH68:BH131" si="62">BG68+(AY68+AZ68)*44/12</f>
        <v>670.34528587440343</v>
      </c>
      <c r="BI68" s="62">
        <f ca="1">AVERAGE(OFFSET($BH$3,0,0,'Données projet'!$E$11+1,1))-AVERAGE(OFFSET($H$3,0,0,'Données projet'!$E$11+1,1))</f>
        <v>317.54276561627643</v>
      </c>
      <c r="BJ68" s="62">
        <f t="shared" si="38"/>
        <v>238.92443174298893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146</v>
      </c>
      <c r="BW68" s="13">
        <f>VLOOKUP(A68,'Données projet'!$A$113:$I$133,9,0)</f>
        <v>2.6</v>
      </c>
      <c r="BX68" s="13">
        <f t="array" ref="BX68">INDEX(BW:BW,MIN(IF(ISNUMBER(BW68:BW264),ROW(BW68:BW264),"")))</f>
        <v>2.6</v>
      </c>
      <c r="BY68" s="13">
        <f>IF('Données projet'!$A$114&gt;35,BY67+BX68-CG67,IF(A68&lt;'Données projet'!$A$114,$BV$205^A68,IF(A68='Données projet'!$A$114,'Données projet'!$B$114,BY67+BX68-CG67)))</f>
        <v>145.99999999999991</v>
      </c>
      <c r="BZ68" s="14">
        <f>BY68*VLOOKUP('Données projet'!$B$12,Paramètres!$A$1:$I$89,3,0)*VLOOKUP('Données projet'!$B$12,Paramètres!$A$1:$I$89,5,0)</f>
        <v>127.54559999999995</v>
      </c>
      <c r="CA68" s="14">
        <f t="shared" si="39"/>
        <v>33.428591950384806</v>
      </c>
      <c r="CB68" s="22">
        <f t="shared" ref="CB68:CB131" si="64">(BZ68+CA68)*0.475*44/12</f>
        <v>280.36338431358678</v>
      </c>
      <c r="CC68" s="62">
        <f t="shared" ref="CC68:CC131" si="65">CB68+(BT68+BU68)*44/12</f>
        <v>573.69671764692009</v>
      </c>
      <c r="CD68" s="62">
        <f ca="1">AVERAGE(OFFSET($CC$3,0,0,'Données projet'!$E$12+1,1))-AVERAGE(OFFSET($H$3,0,0,'Données projet'!$E$12+1,1))</f>
        <v>195.30963433439501</v>
      </c>
      <c r="CE68" s="62">
        <f t="shared" si="40"/>
        <v>185.00219255324504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6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161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160.99999999999986</v>
      </c>
      <c r="CU68" s="18">
        <f>CT68*VLOOKUP('Données projet'!$B$13,Paramètres!$A$1:$I$89,3,0)*VLOOKUP('Données projet'!$B$13,Paramètres!$A$1:$I$89,5,0)</f>
        <v>153.20759999999987</v>
      </c>
      <c r="CV68" s="14">
        <f t="shared" si="41"/>
        <v>39.306624169832098</v>
      </c>
      <c r="CW68" s="22">
        <f t="shared" ref="CW68:CW131" si="67">(CU68+CV68)*0.475*44/12</f>
        <v>335.29560709579067</v>
      </c>
      <c r="CX68" s="62">
        <f t="shared" ref="CX68:CX131" si="68">CW68+(CO68+CP68)*44/12</f>
        <v>628.62894042912399</v>
      </c>
      <c r="CY68" s="62">
        <f ca="1">AVERAGE(OFFSET($CX$3,0,0,'Données projet'!$E$13+1,1))-AVERAGE(OFFSET($H$3,0,0,'Données projet'!$E$13+1,1))</f>
        <v>293.996396026019</v>
      </c>
      <c r="CZ68" s="62">
        <f t="shared" si="42"/>
        <v>152.23954167722536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14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195.80903373714432</v>
      </c>
      <c r="T69" s="62">
        <f t="shared" ref="T69:T132" si="88">$T$3</f>
        <v>388.30721786668977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28.896374288979921</v>
      </c>
      <c r="AA69" s="23">
        <f>EXP(-LN(2)/25)*AA68+(1-EXP(-LN(2)/25))/(LN(2)/25)*Calculateur!V69*Calculateur!X69*VLOOKUP('Données projet'!$B$9,Paramètres!$A$1:$I$89,3,0)*0.475*44/12</f>
        <v>19.035033870051283</v>
      </c>
      <c r="AB69" s="23">
        <f>EXP(-LN(2)/2)*AB68+(1-EXP(-LN(2)/2))/(LN(2)/2)*V69*Y69*VLOOKUP('Données projet'!$B$9,Paramètres!$A$1:$I$89,3,0)*0.475*44/12</f>
        <v>6.8015121667236466E-4</v>
      </c>
      <c r="AC69" s="24">
        <f t="shared" si="57"/>
        <v>47.932088310247877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-4.9658410716801891E-14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303.33040062722074</v>
      </c>
      <c r="AO69" s="62">
        <f t="shared" ref="AO69:AO132" si="90">$AO$3</f>
        <v>425.30058672361548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6.0701311718280904</v>
      </c>
      <c r="AV69" s="23">
        <f>EXP(-LN(2)/25)*AV68+(1-EXP(-LN(2)/25))/(LN(2)/25)*Calculateur!AQ69*Calculateur!AS69*VLOOKUP('Données projet'!$B$10,Paramètres!$A$1:$I$89,3,0)*0.475*44/12</f>
        <v>11.341396941878749</v>
      </c>
      <c r="AW69" s="23">
        <f>EXP(-LN(2)/2)*AW68+(1-EXP(-LN(2)/2))/(LN(2)/2)*AQ69*AT69*VLOOKUP('Données projet'!$B$10,Paramètres!$A$1:$I$89,3,0)*0.475*44/12</f>
        <v>4.5209853451482529E-6</v>
      </c>
      <c r="AX69" s="23">
        <f t="shared" si="60"/>
        <v>17.411532634692186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16.142857142857142</v>
      </c>
      <c r="BD69" s="13">
        <f>IF('Données projet'!$A$88&gt;35,BD68+BC69-BL68,IF(A69&lt;'Données projet'!$A$88,$BA$205^A69,IF(A69='Données projet'!$A$88,'Données projet'!$B$88,BD68+BC69-BL68)))</f>
        <v>385.28571428571433</v>
      </c>
      <c r="BE69" s="14">
        <f>BD69*VLOOKUP('Données projet'!$B$11,Paramètres!$A$1:$I$89,3,0)*VLOOKUP('Données projet'!$B$11,Paramètres!$A$1:$I$89,5,0)</f>
        <v>180.3137142857143</v>
      </c>
      <c r="BF69" s="14">
        <f t="shared" ref="BF69:BF132" si="91">EXP(-1.0587+0.8836*LN(BE69)+0.284)</f>
        <v>45.391974740208404</v>
      </c>
      <c r="BG69" s="22">
        <f t="shared" si="61"/>
        <v>393.10407505348206</v>
      </c>
      <c r="BH69" s="62">
        <f t="shared" si="62"/>
        <v>686.43740838681538</v>
      </c>
      <c r="BI69" s="62">
        <f ca="1">AVERAGE(OFFSET($BH$3,0,0,'Données projet'!$E$11+1,1))-AVERAGE(OFFSET($H$3,0,0,'Données projet'!$E$11+1,1))</f>
        <v>317.54276561627643</v>
      </c>
      <c r="BJ69" s="62">
        <f t="shared" ref="BJ69:BJ132" si="92">$BJ$3</f>
        <v>238.92443174298893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</v>
      </c>
      <c r="BY69" s="13">
        <f>IF('Données projet'!$A$114&gt;35,BY68+BX69-CG68,IF(A69&lt;'Données projet'!$A$114,$BV$205^A69,IF(A69='Données projet'!$A$114,'Données projet'!$B$114,BY68+BX69-CG68)))</f>
        <v>141.99999999999991</v>
      </c>
      <c r="BZ69" s="14">
        <f>BY69*VLOOKUP('Données projet'!$B$12,Paramètres!$A$1:$I$89,3,0)*VLOOKUP('Données projet'!$B$12,Paramètres!$A$1:$I$89,5,0)</f>
        <v>124.05119999999994</v>
      </c>
      <c r="CA69" s="14">
        <f t="shared" ref="CA69:CA132" si="93">EXP(-1.0587+0.8836*LN(BZ69)+0.284)</f>
        <v>32.618041559365977</v>
      </c>
      <c r="CB69" s="22">
        <f t="shared" si="64"/>
        <v>272.86559571589561</v>
      </c>
      <c r="CC69" s="62">
        <f t="shared" si="65"/>
        <v>566.19892904922892</v>
      </c>
      <c r="CD69" s="62">
        <f ca="1">AVERAGE(OFFSET($CC$3,0,0,'Données projet'!$E$12+1,1))-AVERAGE(OFFSET($H$3,0,0,'Données projet'!$E$12+1,1))</f>
        <v>195.30963433439501</v>
      </c>
      <c r="CE69" s="62">
        <f t="shared" ref="CE69:CE132" si="94">$CE$3</f>
        <v>185.00219255324504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5.2</v>
      </c>
      <c r="CT69" s="13">
        <f>IF('Données projet'!$A$140&gt;35,CT68+CS69-DB68,IF(A69&lt;'Données projet'!$A$140,$CQ$205^A69,IF(A69='Données projet'!$A$140,'Données projet'!$B$140,CT68+CS69-DB68)))</f>
        <v>152.19999999999985</v>
      </c>
      <c r="CU69" s="18">
        <f>CT69*VLOOKUP('Données projet'!$B$13,Paramètres!$A$1:$I$89,3,0)*VLOOKUP('Données projet'!$B$13,Paramètres!$A$1:$I$89,5,0)</f>
        <v>144.83351999999985</v>
      </c>
      <c r="CV69" s="14">
        <f t="shared" ref="CV69:CV132" si="95">EXP(-1.0587+0.8836*LN(CU69)+0.284)</f>
        <v>37.40210017631793</v>
      </c>
      <c r="CW69" s="22">
        <f t="shared" si="67"/>
        <v>317.39370514042008</v>
      </c>
      <c r="CX69" s="62">
        <f t="shared" si="68"/>
        <v>610.7270384737534</v>
      </c>
      <c r="CY69" s="62">
        <f ca="1">AVERAGE(OFFSET($CX$3,0,0,'Données projet'!$E$13+1,1))-AVERAGE(OFFSET($H$3,0,0,'Données projet'!$E$13+1,1))</f>
        <v>293.996396026019</v>
      </c>
      <c r="CZ69" s="62">
        <f t="shared" ref="CZ69:CZ132" si="96">$CZ$3</f>
        <v>152.23954167722536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195.80903373714432</v>
      </c>
      <c r="T70" s="62">
        <f t="shared" si="88"/>
        <v>388.30721786668977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28.32973401422101</v>
      </c>
      <c r="AA70" s="23">
        <f>EXP(-LN(2)/25)*AA69+(1-EXP(-LN(2)/25))/(LN(2)/25)*Calculateur!V70*Calculateur!X70*VLOOKUP('Données projet'!$B$9,Paramètres!$A$1:$I$89,3,0)*0.475*44/12</f>
        <v>18.514519867865804</v>
      </c>
      <c r="AB70" s="23">
        <f>EXP(-LN(2)/2)*AB69+(1-EXP(-LN(2)/2))/(LN(2)/2)*V70*Y70*VLOOKUP('Données projet'!$B$9,Paramètres!$A$1:$I$89,3,0)*0.475*44/12</f>
        <v>4.8093953754130986E-4</v>
      </c>
      <c r="AC70" s="24">
        <f t="shared" si="57"/>
        <v>46.844734821624357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-4.9658410716801891E-14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303.33040062722074</v>
      </c>
      <c r="AO70" s="62">
        <f t="shared" si="90"/>
        <v>425.30058672361548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5.9510996019629729</v>
      </c>
      <c r="AV70" s="23">
        <f>EXP(-LN(2)/25)*AV69+(1-EXP(-LN(2)/25))/(LN(2)/25)*Calculateur!AQ70*Calculateur!AS70*VLOOKUP('Données projet'!$B$10,Paramètres!$A$1:$I$89,3,0)*0.475*44/12</f>
        <v>11.03126584608493</v>
      </c>
      <c r="AW70" s="23">
        <f>EXP(-LN(2)/2)*AW69+(1-EXP(-LN(2)/2))/(LN(2)/2)*AQ70*AT70*VLOOKUP('Données projet'!$B$10,Paramètres!$A$1:$I$89,3,0)*0.475*44/12</f>
        <v>3.1968193951993337E-6</v>
      </c>
      <c r="AX70" s="23">
        <f t="shared" si="60"/>
        <v>16.982368644867297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16.142857142857142</v>
      </c>
      <c r="BD70" s="13">
        <f>IF('Données projet'!$A$88&gt;35,BD69+BC70-BL69,IF(A70&lt;'Données projet'!$A$88,$BA$205^A70,IF(A70='Données projet'!$A$88,'Données projet'!$B$88,BD69+BC70-BL69)))</f>
        <v>401.4285714285715</v>
      </c>
      <c r="BE70" s="14">
        <f>BD70*VLOOKUP('Données projet'!$B$11,Paramètres!$A$1:$I$89,3,0)*VLOOKUP('Données projet'!$B$11,Paramètres!$A$1:$I$89,5,0)</f>
        <v>187.86857142857147</v>
      </c>
      <c r="BF70" s="14">
        <f t="shared" si="91"/>
        <v>47.068415303981318</v>
      </c>
      <c r="BG70" s="22">
        <f t="shared" si="61"/>
        <v>409.18191855919605</v>
      </c>
      <c r="BH70" s="62">
        <f t="shared" si="62"/>
        <v>702.51525189252936</v>
      </c>
      <c r="BI70" s="62">
        <f ca="1">AVERAGE(OFFSET($BH$3,0,0,'Données projet'!$E$11+1,1))-AVERAGE(OFFSET($H$3,0,0,'Données projet'!$E$11+1,1))</f>
        <v>317.54276561627643</v>
      </c>
      <c r="BJ70" s="62">
        <f t="shared" si="92"/>
        <v>238.92443174298893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</v>
      </c>
      <c r="BY70" s="13">
        <f>IF('Données projet'!$A$114&gt;35,BY69+BX70-CG69,IF(A70&lt;'Données projet'!$A$114,$BV$205^A70,IF(A70='Données projet'!$A$114,'Données projet'!$B$114,BY69+BX70-CG69)))</f>
        <v>143.99999999999991</v>
      </c>
      <c r="BZ70" s="14">
        <f>BY70*VLOOKUP('Données projet'!$B$12,Paramètres!$A$1:$I$89,3,0)*VLOOKUP('Données projet'!$B$12,Paramètres!$A$1:$I$89,5,0)</f>
        <v>125.79839999999994</v>
      </c>
      <c r="CA70" s="14">
        <f t="shared" si="93"/>
        <v>33.023644363399924</v>
      </c>
      <c r="CB70" s="22">
        <f t="shared" si="64"/>
        <v>276.61506059958811</v>
      </c>
      <c r="CC70" s="62">
        <f t="shared" si="65"/>
        <v>569.94839393292136</v>
      </c>
      <c r="CD70" s="62">
        <f ca="1">AVERAGE(OFFSET($CC$3,0,0,'Données projet'!$E$12+1,1))-AVERAGE(OFFSET($H$3,0,0,'Données projet'!$E$12+1,1))</f>
        <v>195.30963433439501</v>
      </c>
      <c r="CE70" s="62">
        <f t="shared" si="94"/>
        <v>185.00219255324504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5.2</v>
      </c>
      <c r="CT70" s="13">
        <f>IF('Données projet'!$A$140&gt;35,CT69+CS70-DB69,IF(A70&lt;'Données projet'!$A$140,$CQ$205^A70,IF(A70='Données projet'!$A$140,'Données projet'!$B$140,CT69+CS70-DB69)))</f>
        <v>157.39999999999984</v>
      </c>
      <c r="CU70" s="18">
        <f>CT70*VLOOKUP('Données projet'!$B$13,Paramètres!$A$1:$I$89,3,0)*VLOOKUP('Données projet'!$B$13,Paramètres!$A$1:$I$89,5,0)</f>
        <v>149.78183999999985</v>
      </c>
      <c r="CV70" s="14">
        <f t="shared" si="95"/>
        <v>38.529003779190006</v>
      </c>
      <c r="CW70" s="22">
        <f t="shared" si="67"/>
        <v>327.97471958208894</v>
      </c>
      <c r="CX70" s="62">
        <f t="shared" si="68"/>
        <v>621.30805291542219</v>
      </c>
      <c r="CY70" s="62">
        <f ca="1">AVERAGE(OFFSET($CX$3,0,0,'Données projet'!$E$13+1,1))-AVERAGE(OFFSET($H$3,0,0,'Données projet'!$E$13+1,1))</f>
        <v>293.996396026019</v>
      </c>
      <c r="CZ70" s="62">
        <f t="shared" si="96"/>
        <v>152.23954167722536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195.80903373714432</v>
      </c>
      <c r="T71" s="62">
        <f t="shared" si="88"/>
        <v>388.30721786668977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27.774205209633681</v>
      </c>
      <c r="AA71" s="23">
        <f>EXP(-LN(2)/25)*AA70+(1-EXP(-LN(2)/25))/(LN(2)/25)*Calculateur!V71*Calculateur!X71*VLOOKUP('Données projet'!$B$9,Paramètres!$A$1:$I$89,3,0)*0.475*44/12</f>
        <v>18.008239348442729</v>
      </c>
      <c r="AB71" s="23">
        <f>EXP(-LN(2)/2)*AB70+(1-EXP(-LN(2)/2))/(LN(2)/2)*V71*Y71*VLOOKUP('Données projet'!$B$9,Paramètres!$A$1:$I$89,3,0)*0.475*44/12</f>
        <v>3.4007560833618239E-4</v>
      </c>
      <c r="AC71" s="24">
        <f t="shared" si="57"/>
        <v>45.782784633684741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-4.9658410716801891E-14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303.33040062722074</v>
      </c>
      <c r="AO71" s="62">
        <f t="shared" si="90"/>
        <v>425.30058672361548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5.8344021685808221</v>
      </c>
      <c r="AV71" s="23">
        <f>EXP(-LN(2)/25)*AV70+(1-EXP(-LN(2)/25))/(LN(2)/25)*Calculateur!AQ71*Calculateur!AS71*VLOOKUP('Données projet'!$B$10,Paramètres!$A$1:$I$89,3,0)*0.475*44/12</f>
        <v>10.729615301414679</v>
      </c>
      <c r="AW71" s="23">
        <f>EXP(-LN(2)/2)*AW70+(1-EXP(-LN(2)/2))/(LN(2)/2)*AQ71*AT71*VLOOKUP('Données projet'!$B$10,Paramètres!$A$1:$I$89,3,0)*0.475*44/12</f>
        <v>2.2604926725741264E-6</v>
      </c>
      <c r="AX71" s="23">
        <f t="shared" si="60"/>
        <v>16.564019730488173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16.142857142857142</v>
      </c>
      <c r="BD71" s="13">
        <f>IF('Données projet'!$A$88&gt;35,BD70+BC71-BL70,IF(A71&lt;'Données projet'!$A$88,$BA$205^A71,IF(A71='Données projet'!$A$88,'Données projet'!$B$88,BD70+BC71-BL70)))</f>
        <v>417.57142857142867</v>
      </c>
      <c r="BE71" s="14">
        <f>BD71*VLOOKUP('Données projet'!$B$11,Paramètres!$A$1:$I$89,3,0)*VLOOKUP('Données projet'!$B$11,Paramètres!$A$1:$I$89,5,0)</f>
        <v>195.42342857142864</v>
      </c>
      <c r="BF71" s="14">
        <f t="shared" si="91"/>
        <v>48.737024802067147</v>
      </c>
      <c r="BG71" s="22">
        <f t="shared" si="61"/>
        <v>425.24612295883844</v>
      </c>
      <c r="BH71" s="62">
        <f t="shared" si="62"/>
        <v>718.5794562921717</v>
      </c>
      <c r="BI71" s="62">
        <f ca="1">AVERAGE(OFFSET($BH$3,0,0,'Données projet'!$E$11+1,1))-AVERAGE(OFFSET($H$3,0,0,'Données projet'!$E$11+1,1))</f>
        <v>317.54276561627643</v>
      </c>
      <c r="BJ71" s="62">
        <f t="shared" si="92"/>
        <v>238.92443174298893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</v>
      </c>
      <c r="BY71" s="13">
        <f>IF('Données projet'!$A$114&gt;35,BY70+BX71-CG70,IF(A71&lt;'Données projet'!$A$114,$BV$205^A71,IF(A71='Données projet'!$A$114,'Données projet'!$B$114,BY70+BX71-CG70)))</f>
        <v>145.99999999999991</v>
      </c>
      <c r="BZ71" s="14">
        <f>BY71*VLOOKUP('Données projet'!$B$12,Paramètres!$A$1:$I$89,3,0)*VLOOKUP('Données projet'!$B$12,Paramètres!$A$1:$I$89,5,0)</f>
        <v>127.54559999999995</v>
      </c>
      <c r="CA71" s="14">
        <f t="shared" si="93"/>
        <v>33.428591950384806</v>
      </c>
      <c r="CB71" s="22">
        <f t="shared" si="64"/>
        <v>280.36338431358678</v>
      </c>
      <c r="CC71" s="62">
        <f t="shared" si="65"/>
        <v>573.69671764692009</v>
      </c>
      <c r="CD71" s="62">
        <f ca="1">AVERAGE(OFFSET($CC$3,0,0,'Données projet'!$E$12+1,1))-AVERAGE(OFFSET($H$3,0,0,'Données projet'!$E$12+1,1))</f>
        <v>195.30963433439501</v>
      </c>
      <c r="CE71" s="62">
        <f t="shared" si="94"/>
        <v>185.00219255324504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5.2</v>
      </c>
      <c r="CT71" s="13">
        <f>IF('Données projet'!$A$140&gt;35,CT70+CS71-DB70,IF(A71&lt;'Données projet'!$A$140,$CQ$205^A71,IF(A71='Données projet'!$A$140,'Données projet'!$B$140,CT70+CS71-DB70)))</f>
        <v>162.59999999999982</v>
      </c>
      <c r="CU71" s="18">
        <f>CT71*VLOOKUP('Données projet'!$B$13,Paramètres!$A$1:$I$89,3,0)*VLOOKUP('Données projet'!$B$13,Paramètres!$A$1:$I$89,5,0)</f>
        <v>154.73015999999984</v>
      </c>
      <c r="CV71" s="14">
        <f t="shared" si="95"/>
        <v>39.65158137662015</v>
      </c>
      <c r="CW71" s="22">
        <f t="shared" si="67"/>
        <v>338.5481995642798</v>
      </c>
      <c r="CX71" s="62">
        <f t="shared" si="68"/>
        <v>631.88153289761317</v>
      </c>
      <c r="CY71" s="62">
        <f ca="1">AVERAGE(OFFSET($CX$3,0,0,'Données projet'!$E$13+1,1))-AVERAGE(OFFSET($H$3,0,0,'Données projet'!$E$13+1,1))</f>
        <v>293.996396026019</v>
      </c>
      <c r="CZ71" s="62">
        <f t="shared" si="96"/>
        <v>152.23954167722536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195.80903373714432</v>
      </c>
      <c r="T72" s="62">
        <f t="shared" si="88"/>
        <v>388.30721786668977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27.229569986065197</v>
      </c>
      <c r="AA72" s="23">
        <f>EXP(-LN(2)/25)*AA71+(1-EXP(-LN(2)/25))/(LN(2)/25)*Calculateur!V72*Calculateur!X72*VLOOKUP('Données projet'!$B$9,Paramètres!$A$1:$I$89,3,0)*0.475*44/12</f>
        <v>17.515803096447414</v>
      </c>
      <c r="AB72" s="23">
        <f>EXP(-LN(2)/2)*AB71+(1-EXP(-LN(2)/2))/(LN(2)/2)*V72*Y72*VLOOKUP('Données projet'!$B$9,Paramètres!$A$1:$I$89,3,0)*0.475*44/12</f>
        <v>2.4046976877065498E-4</v>
      </c>
      <c r="AC72" s="24">
        <f t="shared" si="57"/>
        <v>44.745613552281384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-4.9658410716801891E-14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303.33040062722074</v>
      </c>
      <c r="AO72" s="62">
        <f t="shared" si="90"/>
        <v>425.30058672361548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5.7199931006888889</v>
      </c>
      <c r="AV72" s="23">
        <f>EXP(-LN(2)/25)*AV71+(1-EXP(-LN(2)/25))/(LN(2)/25)*Calculateur!AQ72*Calculateur!AS72*VLOOKUP('Données projet'!$B$10,Paramètres!$A$1:$I$89,3,0)*0.475*44/12</f>
        <v>10.436213406751548</v>
      </c>
      <c r="AW72" s="23">
        <f>EXP(-LN(2)/2)*AW71+(1-EXP(-LN(2)/2))/(LN(2)/2)*AQ72*AT72*VLOOKUP('Données projet'!$B$10,Paramètres!$A$1:$I$89,3,0)*0.475*44/12</f>
        <v>1.5984096975996669E-6</v>
      </c>
      <c r="AX72" s="23">
        <f t="shared" si="60"/>
        <v>16.156208105850133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16.142857142857142</v>
      </c>
      <c r="BD72" s="13">
        <f>IF('Données projet'!$A$88&gt;35,BD71+BC72-BL71,IF(A72&lt;'Données projet'!$A$88,$BA$205^A72,IF(A72='Données projet'!$A$88,'Données projet'!$B$88,BD71+BC72-BL71)))</f>
        <v>433.71428571428584</v>
      </c>
      <c r="BE72" s="14">
        <f>BD72*VLOOKUP('Données projet'!$B$11,Paramètres!$A$1:$I$89,3,0)*VLOOKUP('Données projet'!$B$11,Paramètres!$A$1:$I$89,5,0)</f>
        <v>202.97828571428576</v>
      </c>
      <c r="BF72" s="14">
        <f t="shared" si="91"/>
        <v>50.398140625785402</v>
      </c>
      <c r="BG72" s="22">
        <f t="shared" si="61"/>
        <v>441.29727587562394</v>
      </c>
      <c r="BH72" s="62">
        <f t="shared" si="62"/>
        <v>734.63060920895725</v>
      </c>
      <c r="BI72" s="62">
        <f ca="1">AVERAGE(OFFSET($BH$3,0,0,'Données projet'!$E$11+1,1))-AVERAGE(OFFSET($H$3,0,0,'Données projet'!$E$11+1,1))</f>
        <v>317.54276561627643</v>
      </c>
      <c r="BJ72" s="62">
        <f t="shared" si="92"/>
        <v>238.92443174298893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</v>
      </c>
      <c r="BY72" s="13">
        <f>IF('Données projet'!$A$114&gt;35,BY71+BX72-CG71,IF(A72&lt;'Données projet'!$A$114,$BV$205^A72,IF(A72='Données projet'!$A$114,'Données projet'!$B$114,BY71+BX72-CG71)))</f>
        <v>147.99999999999991</v>
      </c>
      <c r="BZ72" s="14">
        <f>BY72*VLOOKUP('Données projet'!$B$12,Paramètres!$A$1:$I$89,3,0)*VLOOKUP('Données projet'!$B$12,Paramètres!$A$1:$I$89,5,0)</f>
        <v>129.29279999999994</v>
      </c>
      <c r="CA72" s="14">
        <f t="shared" si="93"/>
        <v>33.832894333299215</v>
      </c>
      <c r="CB72" s="22">
        <f t="shared" si="64"/>
        <v>284.11058429716269</v>
      </c>
      <c r="CC72" s="62">
        <f t="shared" si="65"/>
        <v>577.443917630496</v>
      </c>
      <c r="CD72" s="62">
        <f ca="1">AVERAGE(OFFSET($CC$3,0,0,'Données projet'!$E$12+1,1))-AVERAGE(OFFSET($H$3,0,0,'Données projet'!$E$12+1,1))</f>
        <v>195.30963433439501</v>
      </c>
      <c r="CE72" s="62">
        <f t="shared" si="94"/>
        <v>185.00219255324504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5.2</v>
      </c>
      <c r="CT72" s="13">
        <f>IF('Données projet'!$A$140&gt;35,CT71+CS72-DB71,IF(A72&lt;'Données projet'!$A$140,$CQ$205^A72,IF(A72='Données projet'!$A$140,'Données projet'!$B$140,CT71+CS72-DB71)))</f>
        <v>167.79999999999981</v>
      </c>
      <c r="CU72" s="18">
        <f>CT72*VLOOKUP('Données projet'!$B$13,Paramètres!$A$1:$I$89,3,0)*VLOOKUP('Données projet'!$B$13,Paramètres!$A$1:$I$89,5,0)</f>
        <v>159.67847999999984</v>
      </c>
      <c r="CV72" s="14">
        <f t="shared" si="95"/>
        <v>40.769987185483963</v>
      </c>
      <c r="CW72" s="22">
        <f t="shared" si="67"/>
        <v>349.11441368138429</v>
      </c>
      <c r="CX72" s="62">
        <f t="shared" si="68"/>
        <v>642.44774701471761</v>
      </c>
      <c r="CY72" s="62">
        <f ca="1">AVERAGE(OFFSET($CX$3,0,0,'Données projet'!$E$13+1,1))-AVERAGE(OFFSET($H$3,0,0,'Données projet'!$E$13+1,1))</f>
        <v>293.996396026019</v>
      </c>
      <c r="CZ72" s="62">
        <f t="shared" si="96"/>
        <v>152.23954167722536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195.80903373714432</v>
      </c>
      <c r="T73" s="62">
        <f t="shared" si="88"/>
        <v>388.30721786668977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26.695614727036208</v>
      </c>
      <c r="AA73" s="23">
        <f>EXP(-LN(2)/25)*AA72+(1-EXP(-LN(2)/25))/(LN(2)/25)*Calculateur!V73*Calculateur!X73*VLOOKUP('Données projet'!$B$9,Paramètres!$A$1:$I$89,3,0)*0.475*44/12</f>
        <v>17.036832539659006</v>
      </c>
      <c r="AB73" s="23">
        <f>EXP(-LN(2)/2)*AB72+(1-EXP(-LN(2)/2))/(LN(2)/2)*V73*Y73*VLOOKUP('Données projet'!$B$9,Paramètres!$A$1:$I$89,3,0)*0.475*44/12</f>
        <v>1.7003780416809122E-4</v>
      </c>
      <c r="AC73" s="24">
        <f t="shared" si="57"/>
        <v>43.732617304499385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-4.9658410716801891E-14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303.33040062722074</v>
      </c>
      <c r="AO73" s="62">
        <f t="shared" si="90"/>
        <v>425.30058672361548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5.6078275248356757</v>
      </c>
      <c r="AV73" s="23">
        <f>EXP(-LN(2)/25)*AV72+(1-EXP(-LN(2)/25))/(LN(2)/25)*Calculateur!AQ73*Calculateur!AS73*VLOOKUP('Données projet'!$B$10,Paramètres!$A$1:$I$89,3,0)*0.475*44/12</f>
        <v>10.150834602327317</v>
      </c>
      <c r="AW73" s="23">
        <f>EXP(-LN(2)/2)*AW72+(1-EXP(-LN(2)/2))/(LN(2)/2)*AQ73*AT73*VLOOKUP('Données projet'!$B$10,Paramètres!$A$1:$I$89,3,0)*0.475*44/12</f>
        <v>1.1302463362870632E-6</v>
      </c>
      <c r="AX73" s="23">
        <f t="shared" si="60"/>
        <v>15.758663257409328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16.142857142857142</v>
      </c>
      <c r="BD73" s="13">
        <f>IF('Données projet'!$A$88&gt;35,BD72+BC73-BL72,IF(A73&lt;'Données projet'!$A$88,$BA$205^A73,IF(A73='Données projet'!$A$88,'Données projet'!$B$88,BD72+BC73-BL72)))</f>
        <v>449.857142857143</v>
      </c>
      <c r="BE73" s="14">
        <f>BD73*VLOOKUP('Données projet'!$B$11,Paramètres!$A$1:$I$89,3,0)*VLOOKUP('Données projet'!$B$11,Paramètres!$A$1:$I$89,5,0)</f>
        <v>210.53314285714293</v>
      </c>
      <c r="BF73" s="14">
        <f t="shared" si="91"/>
        <v>52.052073628089957</v>
      </c>
      <c r="BG73" s="22">
        <f t="shared" si="61"/>
        <v>457.33591871178055</v>
      </c>
      <c r="BH73" s="62">
        <f t="shared" si="62"/>
        <v>750.66925204511381</v>
      </c>
      <c r="BI73" s="62">
        <f ca="1">AVERAGE(OFFSET($BH$3,0,0,'Données projet'!$E$11+1,1))-AVERAGE(OFFSET($H$3,0,0,'Données projet'!$E$11+1,1))</f>
        <v>317.54276561627643</v>
      </c>
      <c r="BJ73" s="62">
        <f t="shared" si="92"/>
        <v>238.92443174298893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150</v>
      </c>
      <c r="BW73" s="13">
        <f>VLOOKUP(A73,'Données projet'!$A$113:$I$133,9,0)</f>
        <v>2</v>
      </c>
      <c r="BX73" s="13">
        <f t="array" ref="BX73">INDEX(BW:BW,MIN(IF(ISNUMBER(BW73:BW269),ROW(BW73:BW269),"")))</f>
        <v>2</v>
      </c>
      <c r="BY73" s="13">
        <f>IF('Données projet'!$A$114&gt;35,BY72+BX73-CG72,IF(A73&lt;'Données projet'!$A$114,$BV$205^A73,IF(A73='Données projet'!$A$114,'Données projet'!$B$114,BY72+BX73-CG72)))</f>
        <v>149.99999999999991</v>
      </c>
      <c r="BZ73" s="14">
        <f>BY73*VLOOKUP('Données projet'!$B$12,Paramètres!$A$1:$I$89,3,0)*VLOOKUP('Données projet'!$B$12,Paramètres!$A$1:$I$89,5,0)</f>
        <v>131.03999999999994</v>
      </c>
      <c r="CA73" s="14">
        <f t="shared" si="93"/>
        <v>34.236561238949889</v>
      </c>
      <c r="CB73" s="22">
        <f t="shared" si="64"/>
        <v>287.85667749117096</v>
      </c>
      <c r="CC73" s="62">
        <f t="shared" si="65"/>
        <v>581.19001082450427</v>
      </c>
      <c r="CD73" s="62">
        <f ca="1">AVERAGE(OFFSET($CC$3,0,0,'Données projet'!$E$12+1,1))-AVERAGE(OFFSET($H$3,0,0,'Données projet'!$E$12+1,1))</f>
        <v>195.30963433439501</v>
      </c>
      <c r="CE73" s="62">
        <f t="shared" si="94"/>
        <v>185.00219255324504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5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173</v>
      </c>
      <c r="CR73" s="13">
        <f>VLOOKUP(A73,'Données projet'!$A$139:$I$159,9,0)</f>
        <v>5.2</v>
      </c>
      <c r="CS73" s="13">
        <f t="array" ref="CS73">INDEX(CR:CR,MIN(IF(ISNUMBER(CR73:CR269),ROW(CR73:CR269),"")))</f>
        <v>5.2</v>
      </c>
      <c r="CT73" s="13">
        <f>IF('Données projet'!$A$140&gt;35,CT72+CS73-DB72,IF(A73&lt;'Données projet'!$A$140,$CQ$205^A73,IF(A73='Données projet'!$A$140,'Données projet'!$B$140,CT72+CS73-DB72)))</f>
        <v>172.9999999999998</v>
      </c>
      <c r="CU73" s="18">
        <f>CT73*VLOOKUP('Données projet'!$B$13,Paramètres!$A$1:$I$89,3,0)*VLOOKUP('Données projet'!$B$13,Paramètres!$A$1:$I$89,5,0)</f>
        <v>164.6267999999998</v>
      </c>
      <c r="CV73" s="14">
        <f t="shared" si="95"/>
        <v>41.884365321551833</v>
      </c>
      <c r="CW73" s="22">
        <f t="shared" si="67"/>
        <v>359.67361293503569</v>
      </c>
      <c r="CX73" s="62">
        <f t="shared" si="68"/>
        <v>653.00694626836901</v>
      </c>
      <c r="CY73" s="62">
        <f ca="1">AVERAGE(OFFSET($CX$3,0,0,'Données projet'!$E$13+1,1))-AVERAGE(OFFSET($H$3,0,0,'Données projet'!$E$13+1,1))</f>
        <v>293.996396026019</v>
      </c>
      <c r="CZ73" s="62">
        <f t="shared" si="96"/>
        <v>152.23954167722536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14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195.80903373714432</v>
      </c>
      <c r="T74" s="62">
        <f t="shared" si="88"/>
        <v>388.30721786668977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26.172130004956227</v>
      </c>
      <c r="AA74" s="23">
        <f>EXP(-LN(2)/25)*AA73+(1-EXP(-LN(2)/25))/(LN(2)/25)*Calculateur!V74*Calculateur!X74*VLOOKUP('Données projet'!$B$9,Paramètres!$A$1:$I$89,3,0)*0.475*44/12</f>
        <v>16.570959457933945</v>
      </c>
      <c r="AB74" s="23">
        <f>EXP(-LN(2)/2)*AB73+(1-EXP(-LN(2)/2))/(LN(2)/2)*V74*Y74*VLOOKUP('Données projet'!$B$9,Paramètres!$A$1:$I$89,3,0)*0.475*44/12</f>
        <v>1.202348843853275E-4</v>
      </c>
      <c r="AC74" s="24">
        <f t="shared" si="57"/>
        <v>42.743209697774553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-4.9658410716801891E-14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303.33040062722074</v>
      </c>
      <c r="AO74" s="62">
        <f t="shared" si="90"/>
        <v>425.30058672361548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5.4978614475106982</v>
      </c>
      <c r="AV74" s="23">
        <f>EXP(-LN(2)/25)*AV73+(1-EXP(-LN(2)/25))/(LN(2)/25)*Calculateur!AQ74*Calculateur!AS74*VLOOKUP('Données projet'!$B$10,Paramètres!$A$1:$I$89,3,0)*0.475*44/12</f>
        <v>9.873259496317484</v>
      </c>
      <c r="AW74" s="23">
        <f>EXP(-LN(2)/2)*AW73+(1-EXP(-LN(2)/2))/(LN(2)/2)*AQ74*AT74*VLOOKUP('Données projet'!$B$10,Paramètres!$A$1:$I$89,3,0)*0.475*44/12</f>
        <v>7.9920484879983343E-7</v>
      </c>
      <c r="AX74" s="23">
        <f t="shared" si="60"/>
        <v>15.371121743033029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>
        <f>VLOOKUP(A74,'Données projet'!$A$87:$I$107,2,0)</f>
        <v>466</v>
      </c>
      <c r="BB74" s="13">
        <f>VLOOKUP(A74,'Données projet'!$A$87:$I$107,9,0)</f>
        <v>16.142857142857142</v>
      </c>
      <c r="BC74" s="13">
        <f t="array" ref="BC74">INDEX(BB:BB,MIN(IF(ISNUMBER(BB74:BB270),ROW(BB74:BB270),"")))</f>
        <v>16.142857142857142</v>
      </c>
      <c r="BD74" s="13">
        <f>IF('Données projet'!$A$88&gt;35,BD73+BC74-BL73,IF(A74&lt;'Données projet'!$A$88,$BA$205^A74,IF(A74='Données projet'!$A$88,'Données projet'!$B$88,BD73+BC74-BL73)))</f>
        <v>466.00000000000017</v>
      </c>
      <c r="BE74" s="14">
        <f>BD74*VLOOKUP('Données projet'!$B$11,Paramètres!$A$1:$I$89,3,0)*VLOOKUP('Données projet'!$B$11,Paramètres!$A$1:$I$89,5,0)</f>
        <v>218.08800000000008</v>
      </c>
      <c r="BF74" s="14">
        <f t="shared" si="91"/>
        <v>53.699111087780629</v>
      </c>
      <c r="BG74" s="22">
        <f t="shared" si="61"/>
        <v>473.36255181121805</v>
      </c>
      <c r="BH74" s="62">
        <f t="shared" si="62"/>
        <v>766.69588514455131</v>
      </c>
      <c r="BI74" s="62">
        <f ca="1">AVERAGE(OFFSET($BH$3,0,0,'Données projet'!$E$11+1,1))-AVERAGE(OFFSET($H$3,0,0,'Données projet'!$E$11+1,1))</f>
        <v>317.54276561627643</v>
      </c>
      <c r="BJ74" s="62">
        <f t="shared" si="92"/>
        <v>238.92443174298893</v>
      </c>
      <c r="BK74" s="16">
        <f>IF(ISNA(VLOOKUP(A74,'Données projet'!$A$87:$I$107,3,0)),0,VLOOKUP(A74,'Données projet'!$A$87:$I$107,3,0))</f>
        <v>11</v>
      </c>
      <c r="BL74" s="16">
        <f>IF(ISNA(VLOOKUP(A74,'Données projet'!$A$87:$I$107,4,0)),0,VLOOKUP(A74,'Données projet'!$A$87:$I$107,4,0))</f>
        <v>91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</v>
      </c>
      <c r="BY74" s="13">
        <f>IF('Données projet'!$A$114&gt;35,BY73+BX74-CG73,IF(A74&lt;'Données projet'!$A$114,$BV$205^A74,IF(A74='Données projet'!$A$114,'Données projet'!$B$114,BY73+BX74-CG73)))</f>
        <v>146.99999999999991</v>
      </c>
      <c r="BZ74" s="14">
        <f>BY74*VLOOKUP('Données projet'!$B$12,Paramètres!$A$1:$I$89,3,0)*VLOOKUP('Données projet'!$B$12,Paramètres!$A$1:$I$89,5,0)</f>
        <v>128.41919999999996</v>
      </c>
      <c r="CA74" s="14">
        <f t="shared" si="93"/>
        <v>33.630823177860727</v>
      </c>
      <c r="CB74" s="22">
        <f t="shared" si="64"/>
        <v>282.23712370144068</v>
      </c>
      <c r="CC74" s="62">
        <f t="shared" si="65"/>
        <v>575.57045703477399</v>
      </c>
      <c r="CD74" s="62">
        <f ca="1">AVERAGE(OFFSET($CC$3,0,0,'Données projet'!$E$12+1,1))-AVERAGE(OFFSET($H$3,0,0,'Données projet'!$E$12+1,1))</f>
        <v>195.30963433439501</v>
      </c>
      <c r="CE74" s="62">
        <f t="shared" si="94"/>
        <v>185.00219255324504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</v>
      </c>
      <c r="CT74" s="13">
        <f>IF('Données projet'!$A$140&gt;35,CT73+CS74-DB73,IF(A74&lt;'Données projet'!$A$140,$CQ$205^A74,IF(A74='Données projet'!$A$140,'Données projet'!$B$140,CT73+CS74-DB73)))</f>
        <v>163.79999999999981</v>
      </c>
      <c r="CU74" s="18">
        <f>CT74*VLOOKUP('Données projet'!$B$13,Paramètres!$A$1:$I$89,3,0)*VLOOKUP('Données projet'!$B$13,Paramètres!$A$1:$I$89,5,0)</f>
        <v>155.87207999999981</v>
      </c>
      <c r="CV74" s="14">
        <f t="shared" si="95"/>
        <v>39.910039898694734</v>
      </c>
      <c r="CW74" s="22">
        <f t="shared" si="67"/>
        <v>340.98719215689295</v>
      </c>
      <c r="CX74" s="62">
        <f t="shared" si="68"/>
        <v>634.32052549022626</v>
      </c>
      <c r="CY74" s="62">
        <f ca="1">AVERAGE(OFFSET($CX$3,0,0,'Données projet'!$E$13+1,1))-AVERAGE(OFFSET($H$3,0,0,'Données projet'!$E$13+1,1))</f>
        <v>293.996396026019</v>
      </c>
      <c r="CZ74" s="62">
        <f t="shared" si="96"/>
        <v>152.23954167722536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195.80903373714432</v>
      </c>
      <c r="T75" s="62">
        <f t="shared" si="88"/>
        <v>388.30721786668977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25.658910498982081</v>
      </c>
      <c r="AA75" s="23">
        <f>EXP(-LN(2)/25)*AA74+(1-EXP(-LN(2)/25))/(LN(2)/25)*Calculateur!V75*Calculateur!X75*VLOOKUP('Données projet'!$B$9,Paramètres!$A$1:$I$89,3,0)*0.475*44/12</f>
        <v>16.117825700127856</v>
      </c>
      <c r="AB75" s="23">
        <f>EXP(-LN(2)/2)*AB74+(1-EXP(-LN(2)/2))/(LN(2)/2)*V75*Y75*VLOOKUP('Données projet'!$B$9,Paramètres!$A$1:$I$89,3,0)*0.475*44/12</f>
        <v>8.5018902084045623E-5</v>
      </c>
      <c r="AC75" s="24">
        <f t="shared" si="57"/>
        <v>41.776821218012017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-4.9658410716801891E-14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303.33040062722074</v>
      </c>
      <c r="AO75" s="62">
        <f t="shared" si="90"/>
        <v>425.30058672361548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5.3900517378893795</v>
      </c>
      <c r="AV75" s="23">
        <f>EXP(-LN(2)/25)*AV74+(1-EXP(-LN(2)/25))/(LN(2)/25)*Calculateur!AQ75*Calculateur!AS75*VLOOKUP('Données projet'!$B$10,Paramètres!$A$1:$I$89,3,0)*0.475*44/12</f>
        <v>9.6032746961785307</v>
      </c>
      <c r="AW75" s="23">
        <f>EXP(-LN(2)/2)*AW74+(1-EXP(-LN(2)/2))/(LN(2)/2)*AQ75*AT75*VLOOKUP('Données projet'!$B$10,Paramètres!$A$1:$I$89,3,0)*0.475*44/12</f>
        <v>5.6512316814353161E-7</v>
      </c>
      <c r="AX75" s="23">
        <f t="shared" si="60"/>
        <v>14.993326999191078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390</v>
      </c>
      <c r="BB75" s="13">
        <f>VLOOKUP(A75,'Données projet'!$A$87:$I$107,9,0)</f>
        <v>15</v>
      </c>
      <c r="BC75" s="13">
        <f t="array" ref="BC75">INDEX(BB:BB,MIN(IF(ISNUMBER(BB75:BB271),ROW(BB75:BB271),"")))</f>
        <v>15</v>
      </c>
      <c r="BD75" s="13">
        <f>IF('Données projet'!$A$88&gt;35,BD74+BC75-BL74,IF(A75&lt;'Données projet'!$A$88,$BA$205^A75,IF(A75='Données projet'!$A$88,'Données projet'!$B$88,BD74+BC75-BL74)))</f>
        <v>390.00000000000017</v>
      </c>
      <c r="BE75" s="14">
        <f>BD75*VLOOKUP('Données projet'!$B$11,Paramètres!$A$1:$I$89,3,0)*VLOOKUP('Données projet'!$B$11,Paramètres!$A$1:$I$89,5,0)</f>
        <v>182.5200000000001</v>
      </c>
      <c r="BF75" s="14">
        <f t="shared" si="91"/>
        <v>45.882385280285632</v>
      </c>
      <c r="BG75" s="22">
        <f t="shared" si="61"/>
        <v>397.80082102983096</v>
      </c>
      <c r="BH75" s="62">
        <f t="shared" si="62"/>
        <v>691.13415436316427</v>
      </c>
      <c r="BI75" s="62">
        <f ca="1">AVERAGE(OFFSET($BH$3,0,0,'Données projet'!$E$11+1,1))-AVERAGE(OFFSET($H$3,0,0,'Données projet'!$E$11+1,1))</f>
        <v>317.54276561627643</v>
      </c>
      <c r="BJ75" s="62">
        <f t="shared" si="92"/>
        <v>238.92443174298893</v>
      </c>
      <c r="BK75" s="16">
        <f>IF(ISNA(VLOOKUP(A75,'Données projet'!$A$87:$I$107,3,0)),0,VLOOKUP(A75,'Données projet'!$A$87:$I$107,3,0))</f>
        <v>12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</v>
      </c>
      <c r="BY75" s="13">
        <f>IF('Données projet'!$A$114&gt;35,BY74+BX75-CG74,IF(A75&lt;'Données projet'!$A$114,$BV$205^A75,IF(A75='Données projet'!$A$114,'Données projet'!$B$114,BY74+BX75-CG74)))</f>
        <v>148.99999999999991</v>
      </c>
      <c r="BZ75" s="14">
        <f>BY75*VLOOKUP('Données projet'!$B$12,Paramètres!$A$1:$I$89,3,0)*VLOOKUP('Données projet'!$B$12,Paramètres!$A$1:$I$89,5,0)</f>
        <v>130.16639999999992</v>
      </c>
      <c r="CA75" s="14">
        <f t="shared" si="93"/>
        <v>34.034806623706274</v>
      </c>
      <c r="CB75" s="22">
        <f t="shared" si="64"/>
        <v>285.98376820295493</v>
      </c>
      <c r="CC75" s="62">
        <f t="shared" si="65"/>
        <v>579.31710153628819</v>
      </c>
      <c r="CD75" s="62">
        <f ca="1">AVERAGE(OFFSET($CC$3,0,0,'Données projet'!$E$12+1,1))-AVERAGE(OFFSET($H$3,0,0,'Données projet'!$E$12+1,1))</f>
        <v>195.30963433439501</v>
      </c>
      <c r="CE75" s="62">
        <f t="shared" si="94"/>
        <v>185.00219255324504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</v>
      </c>
      <c r="CT75" s="13">
        <f>IF('Données projet'!$A$140&gt;35,CT74+CS75-DB74,IF(A75&lt;'Données projet'!$A$140,$CQ$205^A75,IF(A75='Données projet'!$A$140,'Données projet'!$B$140,CT74+CS75-DB74)))</f>
        <v>168.59999999999982</v>
      </c>
      <c r="CU75" s="18">
        <f>CT75*VLOOKUP('Données projet'!$B$13,Paramètres!$A$1:$I$89,3,0)*VLOOKUP('Données projet'!$B$13,Paramètres!$A$1:$I$89,5,0)</f>
        <v>160.43975999999984</v>
      </c>
      <c r="CV75" s="14">
        <f t="shared" si="95"/>
        <v>40.941688651861952</v>
      </c>
      <c r="CW75" s="22">
        <f t="shared" si="67"/>
        <v>350.73935640199261</v>
      </c>
      <c r="CX75" s="62">
        <f t="shared" si="68"/>
        <v>644.07268973532587</v>
      </c>
      <c r="CY75" s="62">
        <f ca="1">AVERAGE(OFFSET($CX$3,0,0,'Données projet'!$E$13+1,1))-AVERAGE(OFFSET($H$3,0,0,'Données projet'!$E$13+1,1))</f>
        <v>293.996396026019</v>
      </c>
      <c r="CZ75" s="62">
        <f t="shared" si="96"/>
        <v>152.23954167722536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195.80903373714432</v>
      </c>
      <c r="T76" s="62">
        <f t="shared" si="88"/>
        <v>388.30721786668977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25.155754914487098</v>
      </c>
      <c r="AA76" s="23">
        <f>EXP(-LN(2)/25)*AA75+(1-EXP(-LN(2)/25))/(LN(2)/25)*Calculateur!V76*Calculateur!X76*VLOOKUP('Données projet'!$B$9,Paramètres!$A$1:$I$89,3,0)*0.475*44/12</f>
        <v>15.677082908758244</v>
      </c>
      <c r="AB76" s="23">
        <f>EXP(-LN(2)/2)*AB75+(1-EXP(-LN(2)/2))/(LN(2)/2)*V76*Y76*VLOOKUP('Données projet'!$B$9,Paramètres!$A$1:$I$89,3,0)*0.475*44/12</f>
        <v>6.0117442192663759E-5</v>
      </c>
      <c r="AC76" s="24">
        <f t="shared" si="57"/>
        <v>40.832897940687538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-4.9658410716801891E-14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303.33040062722074</v>
      </c>
      <c r="AO76" s="62">
        <f t="shared" si="90"/>
        <v>425.30058672361548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5.2843561109163044</v>
      </c>
      <c r="AV76" s="23">
        <f>EXP(-LN(2)/25)*AV75+(1-EXP(-LN(2)/25))/(LN(2)/25)*Calculateur!AQ76*Calculateur!AS76*VLOOKUP('Données projet'!$B$10,Paramètres!$A$1:$I$89,3,0)*0.475*44/12</f>
        <v>9.3406726445972605</v>
      </c>
      <c r="AW76" s="23">
        <f>EXP(-LN(2)/2)*AW75+(1-EXP(-LN(2)/2))/(LN(2)/2)*AQ76*AT76*VLOOKUP('Données projet'!$B$10,Paramètres!$A$1:$I$89,3,0)*0.475*44/12</f>
        <v>3.9960242439991672E-7</v>
      </c>
      <c r="AX76" s="23">
        <f t="shared" si="60"/>
        <v>14.625029155115989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15.142857142857142</v>
      </c>
      <c r="BD76" s="13">
        <f>IF('Données projet'!$A$88&gt;35,BD75+BC76-BL75,IF(A76&lt;'Données projet'!$A$88,$BA$205^A76,IF(A76='Données projet'!$A$88,'Données projet'!$B$88,BD75+BC76-BL75)))</f>
        <v>405.14285714285734</v>
      </c>
      <c r="BE76" s="14">
        <f>BD76*VLOOKUP('Données projet'!$B$11,Paramètres!$A$1:$I$89,3,0)*VLOOKUP('Données projet'!$B$11,Paramètres!$A$1:$I$89,5,0)</f>
        <v>189.60685714285725</v>
      </c>
      <c r="BF76" s="14">
        <f t="shared" si="91"/>
        <v>47.453024072159629</v>
      </c>
      <c r="BG76" s="22">
        <f t="shared" si="61"/>
        <v>412.87929311615432</v>
      </c>
      <c r="BH76" s="62">
        <f t="shared" si="62"/>
        <v>706.21262644948763</v>
      </c>
      <c r="BI76" s="62">
        <f ca="1">AVERAGE(OFFSET($BH$3,0,0,'Données projet'!$E$11+1,1))-AVERAGE(OFFSET($H$3,0,0,'Données projet'!$E$11+1,1))</f>
        <v>317.54276561627643</v>
      </c>
      <c r="BJ76" s="62">
        <f t="shared" si="92"/>
        <v>238.92443174298893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</v>
      </c>
      <c r="BY76" s="13">
        <f>IF('Données projet'!$A$114&gt;35,BY75+BX76-CG75,IF(A76&lt;'Données projet'!$A$114,$BV$205^A76,IF(A76='Données projet'!$A$114,'Données projet'!$B$114,BY75+BX76-CG75)))</f>
        <v>150.99999999999991</v>
      </c>
      <c r="BZ76" s="14">
        <f>BY76*VLOOKUP('Données projet'!$B$12,Paramètres!$A$1:$I$89,3,0)*VLOOKUP('Données projet'!$B$12,Paramètres!$A$1:$I$89,5,0)</f>
        <v>131.91359999999995</v>
      </c>
      <c r="CA76" s="14">
        <f t="shared" si="93"/>
        <v>34.438159352115974</v>
      </c>
      <c r="CB76" s="22">
        <f t="shared" si="64"/>
        <v>289.72931420493518</v>
      </c>
      <c r="CC76" s="62">
        <f t="shared" si="65"/>
        <v>583.06264753826849</v>
      </c>
      <c r="CD76" s="62">
        <f ca="1">AVERAGE(OFFSET($CC$3,0,0,'Données projet'!$E$12+1,1))-AVERAGE(OFFSET($H$3,0,0,'Données projet'!$E$12+1,1))</f>
        <v>195.30963433439501</v>
      </c>
      <c r="CE76" s="62">
        <f t="shared" si="94"/>
        <v>185.00219255324504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</v>
      </c>
      <c r="CT76" s="13">
        <f>IF('Données projet'!$A$140&gt;35,CT75+CS76-DB75,IF(A76&lt;'Données projet'!$A$140,$CQ$205^A76,IF(A76='Données projet'!$A$140,'Données projet'!$B$140,CT75+CS76-DB75)))</f>
        <v>173.39999999999984</v>
      </c>
      <c r="CU76" s="18">
        <f>CT76*VLOOKUP('Données projet'!$B$13,Paramètres!$A$1:$I$89,3,0)*VLOOKUP('Données projet'!$B$13,Paramètres!$A$1:$I$89,5,0)</f>
        <v>165.00743999999986</v>
      </c>
      <c r="CV76" s="14">
        <f t="shared" si="95"/>
        <v>41.969923817052226</v>
      </c>
      <c r="CW76" s="22">
        <f t="shared" si="67"/>
        <v>360.48557531469902</v>
      </c>
      <c r="CX76" s="62">
        <f t="shared" si="68"/>
        <v>653.81890864803233</v>
      </c>
      <c r="CY76" s="62">
        <f ca="1">AVERAGE(OFFSET($CX$3,0,0,'Données projet'!$E$13+1,1))-AVERAGE(OFFSET($H$3,0,0,'Données projet'!$E$13+1,1))</f>
        <v>293.996396026019</v>
      </c>
      <c r="CZ76" s="62">
        <f t="shared" si="96"/>
        <v>152.23954167722536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195.80903373714432</v>
      </c>
      <c r="T77" s="62">
        <f t="shared" si="88"/>
        <v>388.30721786668977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24.66246590410946</v>
      </c>
      <c r="AA77" s="23">
        <f>EXP(-LN(2)/25)*AA76+(1-EXP(-LN(2)/25))/(LN(2)/25)*Calculateur!V77*Calculateur!X77*VLOOKUP('Données projet'!$B$9,Paramètres!$A$1:$I$89,3,0)*0.475*44/12</f>
        <v>15.24839225219629</v>
      </c>
      <c r="AB77" s="23">
        <f>EXP(-LN(2)/2)*AB76+(1-EXP(-LN(2)/2))/(LN(2)/2)*V77*Y77*VLOOKUP('Données projet'!$B$9,Paramètres!$A$1:$I$89,3,0)*0.475*44/12</f>
        <v>4.2509451042022818E-5</v>
      </c>
      <c r="AC77" s="24">
        <f t="shared" si="57"/>
        <v>39.910900665756792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-4.9658410716801891E-14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303.33040062722074</v>
      </c>
      <c r="AO77" s="62">
        <f t="shared" si="90"/>
        <v>425.30058672361548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5.1807331107202046</v>
      </c>
      <c r="AV77" s="23">
        <f>EXP(-LN(2)/25)*AV76+(1-EXP(-LN(2)/25))/(LN(2)/25)*Calculateur!AQ77*Calculateur!AS77*VLOOKUP('Données projet'!$B$10,Paramètres!$A$1:$I$89,3,0)*0.475*44/12</f>
        <v>9.0852514599261216</v>
      </c>
      <c r="AW77" s="23">
        <f>EXP(-LN(2)/2)*AW76+(1-EXP(-LN(2)/2))/(LN(2)/2)*AQ77*AT77*VLOOKUP('Données projet'!$B$10,Paramètres!$A$1:$I$89,3,0)*0.475*44/12</f>
        <v>2.8256158407176581E-7</v>
      </c>
      <c r="AX77" s="23">
        <f t="shared" si="60"/>
        <v>14.265984853207911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15.142857142857142</v>
      </c>
      <c r="BD77" s="13">
        <f>IF('Données projet'!$A$88&gt;35,BD76+BC77-BL76,IF(A77&lt;'Données projet'!$A$88,$BA$205^A77,IF(A77='Données projet'!$A$88,'Données projet'!$B$88,BD76+BC77-BL76)))</f>
        <v>420.2857142857145</v>
      </c>
      <c r="BE77" s="14">
        <f>BD77*VLOOKUP('Données projet'!$B$11,Paramètres!$A$1:$I$89,3,0)*VLOOKUP('Données projet'!$B$11,Paramètres!$A$1:$I$89,5,0)</f>
        <v>196.69371428571441</v>
      </c>
      <c r="BF77" s="14">
        <f t="shared" si="91"/>
        <v>49.016842754125221</v>
      </c>
      <c r="BG77" s="22">
        <f t="shared" si="61"/>
        <v>427.9458868443873</v>
      </c>
      <c r="BH77" s="62">
        <f t="shared" si="62"/>
        <v>721.27922017772062</v>
      </c>
      <c r="BI77" s="62">
        <f ca="1">AVERAGE(OFFSET($BH$3,0,0,'Données projet'!$E$11+1,1))-AVERAGE(OFFSET($H$3,0,0,'Données projet'!$E$11+1,1))</f>
        <v>317.54276561627643</v>
      </c>
      <c r="BJ77" s="62">
        <f t="shared" si="92"/>
        <v>238.92443174298893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</v>
      </c>
      <c r="BY77" s="13">
        <f>IF('Données projet'!$A$114&gt;35,BY76+BX77-CG76,IF(A77&lt;'Données projet'!$A$114,$BV$205^A77,IF(A77='Données projet'!$A$114,'Données projet'!$B$114,BY76+BX77-CG76)))</f>
        <v>152.99999999999991</v>
      </c>
      <c r="BZ77" s="14">
        <f>BY77*VLOOKUP('Données projet'!$B$12,Paramètres!$A$1:$I$89,3,0)*VLOOKUP('Données projet'!$B$12,Paramètres!$A$1:$I$89,5,0)</f>
        <v>133.66079999999994</v>
      </c>
      <c r="CA77" s="14">
        <f t="shared" si="93"/>
        <v>34.840890682716719</v>
      </c>
      <c r="CB77" s="22">
        <f t="shared" si="64"/>
        <v>293.47377793906486</v>
      </c>
      <c r="CC77" s="62">
        <f t="shared" si="65"/>
        <v>586.80711127239817</v>
      </c>
      <c r="CD77" s="62">
        <f ca="1">AVERAGE(OFFSET($CC$3,0,0,'Données projet'!$E$12+1,1))-AVERAGE(OFFSET($H$3,0,0,'Données projet'!$E$12+1,1))</f>
        <v>195.30963433439501</v>
      </c>
      <c r="CE77" s="62">
        <f t="shared" si="94"/>
        <v>185.00219255324504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</v>
      </c>
      <c r="CT77" s="13">
        <f>IF('Données projet'!$A$140&gt;35,CT76+CS77-DB76,IF(A77&lt;'Données projet'!$A$140,$CQ$205^A77,IF(A77='Données projet'!$A$140,'Données projet'!$B$140,CT76+CS77-DB76)))</f>
        <v>178.19999999999985</v>
      </c>
      <c r="CU77" s="18">
        <f>CT77*VLOOKUP('Données projet'!$B$13,Paramètres!$A$1:$I$89,3,0)*VLOOKUP('Données projet'!$B$13,Paramètres!$A$1:$I$89,5,0)</f>
        <v>169.57511999999986</v>
      </c>
      <c r="CV77" s="14">
        <f t="shared" si="95"/>
        <v>42.994850744606296</v>
      </c>
      <c r="CW77" s="22">
        <f t="shared" si="67"/>
        <v>370.22603238018905</v>
      </c>
      <c r="CX77" s="62">
        <f t="shared" si="68"/>
        <v>663.55936571352231</v>
      </c>
      <c r="CY77" s="62">
        <f ca="1">AVERAGE(OFFSET($CX$3,0,0,'Données projet'!$E$13+1,1))-AVERAGE(OFFSET($H$3,0,0,'Données projet'!$E$13+1,1))</f>
        <v>293.996396026019</v>
      </c>
      <c r="CZ77" s="62">
        <f t="shared" si="96"/>
        <v>152.23954167722536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195.80903373714432</v>
      </c>
      <c r="T78" s="62">
        <f t="shared" si="88"/>
        <v>388.30721786668977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24.178849990348741</v>
      </c>
      <c r="AA78" s="23">
        <f>EXP(-LN(2)/25)*AA77+(1-EXP(-LN(2)/25))/(LN(2)/25)*Calculateur!V78*Calculateur!X78*VLOOKUP('Données projet'!$B$9,Paramètres!$A$1:$I$89,3,0)*0.475*44/12</f>
        <v>14.831424164181884</v>
      </c>
      <c r="AB78" s="23">
        <f>EXP(-LN(2)/2)*AB77+(1-EXP(-LN(2)/2))/(LN(2)/2)*V78*Y78*VLOOKUP('Données projet'!$B$9,Paramètres!$A$1:$I$89,3,0)*0.475*44/12</f>
        <v>3.0058721096331886E-5</v>
      </c>
      <c r="AC78" s="24">
        <f t="shared" si="57"/>
        <v>39.010304213251722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-4.9658410716801891E-14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303.33040062722074</v>
      </c>
      <c r="AO78" s="62">
        <f t="shared" si="90"/>
        <v>425.30058672361548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5.079142094354161</v>
      </c>
      <c r="AV78" s="23">
        <f>EXP(-LN(2)/25)*AV77+(1-EXP(-LN(2)/25))/(LN(2)/25)*Calculateur!AQ78*Calculateur!AS78*VLOOKUP('Données projet'!$B$10,Paramètres!$A$1:$I$89,3,0)*0.475*44/12</f>
        <v>8.8368147809818325</v>
      </c>
      <c r="AW78" s="23">
        <f>EXP(-LN(2)/2)*AW77+(1-EXP(-LN(2)/2))/(LN(2)/2)*AQ78*AT78*VLOOKUP('Données projet'!$B$10,Paramètres!$A$1:$I$89,3,0)*0.475*44/12</f>
        <v>1.9980121219995836E-7</v>
      </c>
      <c r="AX78" s="23">
        <f t="shared" si="60"/>
        <v>13.915957075137205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15.142857142857142</v>
      </c>
      <c r="BD78" s="13">
        <f>IF('Données projet'!$A$88&gt;35,BD77+BC78-BL77,IF(A78&lt;'Données projet'!$A$88,$BA$205^A78,IF(A78='Données projet'!$A$88,'Données projet'!$B$88,BD77+BC78-BL77)))</f>
        <v>435.42857142857167</v>
      </c>
      <c r="BE78" s="14">
        <f>BD78*VLOOKUP('Données projet'!$B$11,Paramètres!$A$1:$I$89,3,0)*VLOOKUP('Données projet'!$B$11,Paramètres!$A$1:$I$89,5,0)</f>
        <v>203.78057142857153</v>
      </c>
      <c r="BF78" s="14">
        <f t="shared" si="91"/>
        <v>50.574115202939069</v>
      </c>
      <c r="BG78" s="22">
        <f t="shared" si="61"/>
        <v>443.00107921654762</v>
      </c>
      <c r="BH78" s="62">
        <f t="shared" si="62"/>
        <v>736.33441254988088</v>
      </c>
      <c r="BI78" s="62">
        <f ca="1">AVERAGE(OFFSET($BH$3,0,0,'Données projet'!$E$11+1,1))-AVERAGE(OFFSET($H$3,0,0,'Données projet'!$E$11+1,1))</f>
        <v>317.54276561627643</v>
      </c>
      <c r="BJ78" s="62">
        <f t="shared" si="92"/>
        <v>238.92443174298893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155</v>
      </c>
      <c r="BW78" s="13">
        <f>VLOOKUP(A78,'Données projet'!$A$113:$I$133,9,0)</f>
        <v>2</v>
      </c>
      <c r="BX78" s="13">
        <f t="array" ref="BX78">INDEX(BW:BW,MIN(IF(ISNUMBER(BW78:BW274),ROW(BW78:BW274),"")))</f>
        <v>2</v>
      </c>
      <c r="BY78" s="13">
        <f>IF('Données projet'!$A$114&gt;35,BY77+BX78-CG77,IF(A78&lt;'Données projet'!$A$114,$BV$205^A78,IF(A78='Données projet'!$A$114,'Données projet'!$B$114,BY77+BX78-CG77)))</f>
        <v>154.99999999999991</v>
      </c>
      <c r="BZ78" s="14">
        <f>BY78*VLOOKUP('Données projet'!$B$12,Paramètres!$A$1:$I$89,3,0)*VLOOKUP('Données projet'!$B$12,Paramètres!$A$1:$I$89,5,0)</f>
        <v>135.40799999999993</v>
      </c>
      <c r="CA78" s="14">
        <f t="shared" si="93"/>
        <v>35.243009677478732</v>
      </c>
      <c r="CB78" s="22">
        <f t="shared" si="64"/>
        <v>297.21717518827535</v>
      </c>
      <c r="CC78" s="62">
        <f t="shared" si="65"/>
        <v>590.55050852160866</v>
      </c>
      <c r="CD78" s="62">
        <f ca="1">AVERAGE(OFFSET($CC$3,0,0,'Données projet'!$E$12+1,1))-AVERAGE(OFFSET($H$3,0,0,'Données projet'!$E$12+1,1))</f>
        <v>195.30963433439501</v>
      </c>
      <c r="CE78" s="62">
        <f t="shared" si="94"/>
        <v>185.00219255324504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183</v>
      </c>
      <c r="CR78" s="13">
        <f>VLOOKUP(A78,'Données projet'!$A$139:$I$159,9,0)</f>
        <v>4.8</v>
      </c>
      <c r="CS78" s="13">
        <f t="array" ref="CS78">INDEX(CR:CR,MIN(IF(ISNUMBER(CR78:CR274),ROW(CR78:CR274),"")))</f>
        <v>4.8</v>
      </c>
      <c r="CT78" s="13">
        <f>IF('Données projet'!$A$140&gt;35,CT77+CS78-DB77,IF(A78&lt;'Données projet'!$A$140,$CQ$205^A78,IF(A78='Données projet'!$A$140,'Données projet'!$B$140,CT77+CS78-DB77)))</f>
        <v>182.99999999999986</v>
      </c>
      <c r="CU78" s="18">
        <f>CT78*VLOOKUP('Données projet'!$B$13,Paramètres!$A$1:$I$89,3,0)*VLOOKUP('Données projet'!$B$13,Paramètres!$A$1:$I$89,5,0)</f>
        <v>174.14279999999985</v>
      </c>
      <c r="CV78" s="14">
        <f t="shared" si="95"/>
        <v>44.016568786329309</v>
      </c>
      <c r="CW78" s="22">
        <f t="shared" si="67"/>
        <v>379.96090063618993</v>
      </c>
      <c r="CX78" s="62">
        <f t="shared" si="68"/>
        <v>673.29423396952325</v>
      </c>
      <c r="CY78" s="62">
        <f ca="1">AVERAGE(OFFSET($CX$3,0,0,'Données projet'!$E$13+1,1))-AVERAGE(OFFSET($H$3,0,0,'Données projet'!$E$13+1,1))</f>
        <v>293.996396026019</v>
      </c>
      <c r="CZ78" s="62">
        <f t="shared" si="96"/>
        <v>152.23954167722536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14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195.80903373714432</v>
      </c>
      <c r="T79" s="62">
        <f t="shared" si="88"/>
        <v>388.30721786668977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23.704717489680288</v>
      </c>
      <c r="AA79" s="23">
        <f>EXP(-LN(2)/25)*AA78+(1-EXP(-LN(2)/25))/(LN(2)/25)*Calculateur!V79*Calculateur!X79*VLOOKUP('Données projet'!$B$9,Paramètres!$A$1:$I$89,3,0)*0.475*44/12</f>
        <v>14.425858090461631</v>
      </c>
      <c r="AB79" s="23">
        <f>EXP(-LN(2)/2)*AB78+(1-EXP(-LN(2)/2))/(LN(2)/2)*V79*Y79*VLOOKUP('Données projet'!$B$9,Paramètres!$A$1:$I$89,3,0)*0.475*44/12</f>
        <v>2.1254725521011413E-5</v>
      </c>
      <c r="AC79" s="24">
        <f t="shared" si="57"/>
        <v>38.130596834867447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-4.9658410716801891E-14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303.33040062722074</v>
      </c>
      <c r="AO79" s="62">
        <f t="shared" si="90"/>
        <v>425.30058672361548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4.9795432158546546</v>
      </c>
      <c r="AV79" s="23">
        <f>EXP(-LN(2)/25)*AV78+(1-EXP(-LN(2)/25))/(LN(2)/25)*Calculateur!AQ79*Calculateur!AS79*VLOOKUP('Données projet'!$B$10,Paramètres!$A$1:$I$89,3,0)*0.475*44/12</f>
        <v>8.5951716160879919</v>
      </c>
      <c r="AW79" s="23">
        <f>EXP(-LN(2)/2)*AW78+(1-EXP(-LN(2)/2))/(LN(2)/2)*AQ79*AT79*VLOOKUP('Données projet'!$B$10,Paramètres!$A$1:$I$89,3,0)*0.475*44/12</f>
        <v>1.412807920358829E-7</v>
      </c>
      <c r="AX79" s="23">
        <f t="shared" si="60"/>
        <v>13.574714973223438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15.142857142857142</v>
      </c>
      <c r="BD79" s="13">
        <f>IF('Données projet'!$A$88&gt;35,BD78+BC79-BL78,IF(A79&lt;'Données projet'!$A$88,$BA$205^A79,IF(A79='Données projet'!$A$88,'Données projet'!$B$88,BD78+BC79-BL78)))</f>
        <v>450.57142857142884</v>
      </c>
      <c r="BE79" s="14">
        <f>BD79*VLOOKUP('Données projet'!$B$11,Paramètres!$A$1:$I$89,3,0)*VLOOKUP('Données projet'!$B$11,Paramètres!$A$1:$I$89,5,0)</f>
        <v>210.86742857142869</v>
      </c>
      <c r="BF79" s="14">
        <f t="shared" si="91"/>
        <v>52.125095165913116</v>
      </c>
      <c r="BG79" s="22">
        <f t="shared" si="61"/>
        <v>458.04531217587032</v>
      </c>
      <c r="BH79" s="62">
        <f t="shared" si="62"/>
        <v>751.37864550920358</v>
      </c>
      <c r="BI79" s="62">
        <f ca="1">AVERAGE(OFFSET($BH$3,0,0,'Données projet'!$E$11+1,1))-AVERAGE(OFFSET($H$3,0,0,'Données projet'!$E$11+1,1))</f>
        <v>317.54276561627643</v>
      </c>
      <c r="BJ79" s="62">
        <f t="shared" si="92"/>
        <v>238.92443174298893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1.6</v>
      </c>
      <c r="BY79" s="13">
        <f>IF('Données projet'!$A$114&gt;35,BY78+BX79-CG78,IF(A79&lt;'Données projet'!$A$114,$BV$205^A79,IF(A79='Données projet'!$A$114,'Données projet'!$B$114,BY78+BX79-CG78)))</f>
        <v>152.59999999999991</v>
      </c>
      <c r="BZ79" s="14">
        <f>BY79*VLOOKUP('Données projet'!$B$12,Paramètres!$A$1:$I$89,3,0)*VLOOKUP('Données projet'!$B$12,Paramètres!$A$1:$I$89,5,0)</f>
        <v>133.31135999999995</v>
      </c>
      <c r="CA79" s="14">
        <f t="shared" si="93"/>
        <v>34.760393689821598</v>
      </c>
      <c r="CB79" s="22">
        <f t="shared" si="64"/>
        <v>292.72497100977256</v>
      </c>
      <c r="CC79" s="62">
        <f t="shared" si="65"/>
        <v>586.05830434310587</v>
      </c>
      <c r="CD79" s="62">
        <f ca="1">AVERAGE(OFFSET($CC$3,0,0,'Données projet'!$E$12+1,1))-AVERAGE(OFFSET($H$3,0,0,'Données projet'!$E$12+1,1))</f>
        <v>195.30963433439501</v>
      </c>
      <c r="CE79" s="62">
        <f t="shared" si="94"/>
        <v>185.00219255324504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173.59999999999985</v>
      </c>
      <c r="CU79" s="18">
        <f>CT79*VLOOKUP('Données projet'!$B$13,Paramètres!$A$1:$I$89,3,0)*VLOOKUP('Données projet'!$B$13,Paramètres!$A$1:$I$89,5,0)</f>
        <v>165.19775999999985</v>
      </c>
      <c r="CV79" s="14">
        <f t="shared" si="95"/>
        <v>42.012694447196289</v>
      </c>
      <c r="CW79" s="22">
        <f t="shared" si="67"/>
        <v>360.89154149553332</v>
      </c>
      <c r="CX79" s="62">
        <f t="shared" si="68"/>
        <v>654.22487482886663</v>
      </c>
      <c r="CY79" s="62">
        <f ca="1">AVERAGE(OFFSET($CX$3,0,0,'Données projet'!$E$13+1,1))-AVERAGE(OFFSET($H$3,0,0,'Données projet'!$E$13+1,1))</f>
        <v>293.996396026019</v>
      </c>
      <c r="CZ79" s="62">
        <f t="shared" si="96"/>
        <v>152.23954167722536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195.80903373714432</v>
      </c>
      <c r="T80" s="62">
        <f t="shared" si="88"/>
        <v>388.30721786668977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23.239882438157672</v>
      </c>
      <c r="AA80" s="23">
        <f>EXP(-LN(2)/25)*AA79+(1-EXP(-LN(2)/25))/(LN(2)/25)*Calculateur!V80*Calculateur!X80*VLOOKUP('Données projet'!$B$9,Paramètres!$A$1:$I$89,3,0)*0.475*44/12</f>
        <v>14.031382242355052</v>
      </c>
      <c r="AB80" s="23">
        <f>EXP(-LN(2)/2)*AB79+(1-EXP(-LN(2)/2))/(LN(2)/2)*V80*Y80*VLOOKUP('Données projet'!$B$9,Paramètres!$A$1:$I$89,3,0)*0.475*44/12</f>
        <v>1.5029360548165945E-5</v>
      </c>
      <c r="AC80" s="24">
        <f t="shared" si="57"/>
        <v>37.271279709873269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-4.9658410716801891E-14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303.33040062722074</v>
      </c>
      <c r="AO80" s="62">
        <f t="shared" si="90"/>
        <v>425.30058672361548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4.881897410613206</v>
      </c>
      <c r="AV80" s="23">
        <f>EXP(-LN(2)/25)*AV79+(1-EXP(-LN(2)/25))/(LN(2)/25)*Calculateur!AQ80*Calculateur!AS80*VLOOKUP('Données projet'!$B$10,Paramètres!$A$1:$I$89,3,0)*0.475*44/12</f>
        <v>8.3601361962456355</v>
      </c>
      <c r="AW80" s="23">
        <f>EXP(-LN(2)/2)*AW79+(1-EXP(-LN(2)/2))/(LN(2)/2)*AQ80*AT80*VLOOKUP('Données projet'!$B$10,Paramètres!$A$1:$I$89,3,0)*0.475*44/12</f>
        <v>9.9900606099979179E-8</v>
      </c>
      <c r="AX80" s="23">
        <f t="shared" si="60"/>
        <v>13.242033706759448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15.142857142857142</v>
      </c>
      <c r="BD80" s="13">
        <f>IF('Données projet'!$A$88&gt;35,BD79+BC80-BL79,IF(A80&lt;'Données projet'!$A$88,$BA$205^A80,IF(A80='Données projet'!$A$88,'Données projet'!$B$88,BD79+BC80-BL79)))</f>
        <v>465.71428571428601</v>
      </c>
      <c r="BE80" s="14">
        <f>BD80*VLOOKUP('Données projet'!$B$11,Paramètres!$A$1:$I$89,3,0)*VLOOKUP('Données projet'!$B$11,Paramètres!$A$1:$I$89,5,0)</f>
        <v>217.95428571428585</v>
      </c>
      <c r="BF80" s="14">
        <f t="shared" si="91"/>
        <v>53.670018366701875</v>
      </c>
      <c r="BG80" s="22">
        <f t="shared" si="61"/>
        <v>473.07899627438695</v>
      </c>
      <c r="BH80" s="62">
        <f t="shared" si="62"/>
        <v>766.41232960772027</v>
      </c>
      <c r="BI80" s="62">
        <f ca="1">AVERAGE(OFFSET($BH$3,0,0,'Données projet'!$E$11+1,1))-AVERAGE(OFFSET($H$3,0,0,'Données projet'!$E$11+1,1))</f>
        <v>317.54276561627643</v>
      </c>
      <c r="BJ80" s="62">
        <f t="shared" si="92"/>
        <v>238.92443174298893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1.6</v>
      </c>
      <c r="BY80" s="13">
        <f>IF('Données projet'!$A$114&gt;35,BY79+BX80-CG79,IF(A80&lt;'Données projet'!$A$114,$BV$205^A80,IF(A80='Données projet'!$A$114,'Données projet'!$B$114,BY79+BX80-CG79)))</f>
        <v>154.1999999999999</v>
      </c>
      <c r="BZ80" s="14">
        <f>BY80*VLOOKUP('Données projet'!$B$12,Paramètres!$A$1:$I$89,3,0)*VLOOKUP('Données projet'!$B$12,Paramètres!$A$1:$I$89,5,0)</f>
        <v>134.70911999999993</v>
      </c>
      <c r="CA80" s="14">
        <f t="shared" si="93"/>
        <v>35.082234990312983</v>
      </c>
      <c r="CB80" s="22">
        <f t="shared" si="64"/>
        <v>295.71994327479496</v>
      </c>
      <c r="CC80" s="62">
        <f t="shared" si="65"/>
        <v>589.05327660812827</v>
      </c>
      <c r="CD80" s="62">
        <f ca="1">AVERAGE(OFFSET($CC$3,0,0,'Données projet'!$E$12+1,1))-AVERAGE(OFFSET($H$3,0,0,'Données projet'!$E$12+1,1))</f>
        <v>195.30963433439501</v>
      </c>
      <c r="CE80" s="62">
        <f t="shared" si="94"/>
        <v>185.00219255324504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178.19999999999985</v>
      </c>
      <c r="CU80" s="18">
        <f>CT80*VLOOKUP('Données projet'!$B$13,Paramètres!$A$1:$I$89,3,0)*VLOOKUP('Données projet'!$B$13,Paramètres!$A$1:$I$89,5,0)</f>
        <v>169.57511999999986</v>
      </c>
      <c r="CV80" s="14">
        <f t="shared" si="95"/>
        <v>42.994850744606296</v>
      </c>
      <c r="CW80" s="22">
        <f t="shared" si="67"/>
        <v>370.22603238018905</v>
      </c>
      <c r="CX80" s="62">
        <f t="shared" si="68"/>
        <v>663.55936571352231</v>
      </c>
      <c r="CY80" s="62">
        <f ca="1">AVERAGE(OFFSET($CX$3,0,0,'Données projet'!$E$13+1,1))-AVERAGE(OFFSET($H$3,0,0,'Données projet'!$E$13+1,1))</f>
        <v>293.996396026019</v>
      </c>
      <c r="CZ80" s="62">
        <f t="shared" si="96"/>
        <v>152.23954167722536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195.80903373714432</v>
      </c>
      <c r="T81" s="62">
        <f t="shared" si="88"/>
        <v>388.30721786668977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22.78416251847403</v>
      </c>
      <c r="AA81" s="23">
        <f>EXP(-LN(2)/25)*AA80+(1-EXP(-LN(2)/25))/(LN(2)/25)*Calculateur!V81*Calculateur!X81*VLOOKUP('Données projet'!$B$9,Paramètres!$A$1:$I$89,3,0)*0.475*44/12</f>
        <v>13.647693357059531</v>
      </c>
      <c r="AB81" s="23">
        <f>EXP(-LN(2)/2)*AB80+(1-EXP(-LN(2)/2))/(LN(2)/2)*V81*Y81*VLOOKUP('Données projet'!$B$9,Paramètres!$A$1:$I$89,3,0)*0.475*44/12</f>
        <v>1.0627362760505708E-5</v>
      </c>
      <c r="AC81" s="24">
        <f t="shared" si="57"/>
        <v>36.43186650289632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-4.9658410716801891E-14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303.33040062722074</v>
      </c>
      <c r="AO81" s="62">
        <f t="shared" si="90"/>
        <v>425.30058672361548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4.7861663800544818</v>
      </c>
      <c r="AV81" s="23">
        <f>EXP(-LN(2)/25)*AV80+(1-EXP(-LN(2)/25))/(LN(2)/25)*Calculateur!AQ81*Calculateur!AS81*VLOOKUP('Données projet'!$B$10,Paramètres!$A$1:$I$89,3,0)*0.475*44/12</f>
        <v>8.1315278323188434</v>
      </c>
      <c r="AW81" s="23">
        <f>EXP(-LN(2)/2)*AW80+(1-EXP(-LN(2)/2))/(LN(2)/2)*AQ81*AT81*VLOOKUP('Données projet'!$B$10,Paramètres!$A$1:$I$89,3,0)*0.475*44/12</f>
        <v>7.0640396017941451E-8</v>
      </c>
      <c r="AX81" s="23">
        <f t="shared" si="60"/>
        <v>12.917694283013722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15.142857142857142</v>
      </c>
      <c r="BD81" s="13">
        <f>IF('Données projet'!$A$88&gt;35,BD80+BC81-BL80,IF(A81&lt;'Données projet'!$A$88,$BA$205^A81,IF(A81='Données projet'!$A$88,'Données projet'!$B$88,BD80+BC81-BL80)))</f>
        <v>480.85714285714317</v>
      </c>
      <c r="BE81" s="14">
        <f>BD81*VLOOKUP('Données projet'!$B$11,Paramètres!$A$1:$I$89,3,0)*VLOOKUP('Données projet'!$B$11,Paramètres!$A$1:$I$89,5,0)</f>
        <v>225.041142857143</v>
      </c>
      <c r="BF81" s="14">
        <f t="shared" si="91"/>
        <v>55.209104329514197</v>
      </c>
      <c r="BG81" s="22">
        <f t="shared" si="61"/>
        <v>488.10251385009468</v>
      </c>
      <c r="BH81" s="62">
        <f t="shared" si="62"/>
        <v>781.435847183428</v>
      </c>
      <c r="BI81" s="62">
        <f ca="1">AVERAGE(OFFSET($BH$3,0,0,'Données projet'!$E$11+1,1))-AVERAGE(OFFSET($H$3,0,0,'Données projet'!$E$11+1,1))</f>
        <v>317.54276561627643</v>
      </c>
      <c r="BJ81" s="62">
        <f t="shared" si="92"/>
        <v>238.92443174298893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1.6</v>
      </c>
      <c r="BY81" s="13">
        <f>IF('Données projet'!$A$114&gt;35,BY80+BX81-CG80,IF(A81&lt;'Données projet'!$A$114,$BV$205^A81,IF(A81='Données projet'!$A$114,'Données projet'!$B$114,BY80+BX81-CG80)))</f>
        <v>155.7999999999999</v>
      </c>
      <c r="BZ81" s="14">
        <f>BY81*VLOOKUP('Données projet'!$B$12,Paramètres!$A$1:$I$89,3,0)*VLOOKUP('Données projet'!$B$12,Paramètres!$A$1:$I$89,5,0)</f>
        <v>136.10687999999993</v>
      </c>
      <c r="CA81" s="14">
        <f t="shared" si="93"/>
        <v>35.403687803916242</v>
      </c>
      <c r="CB81" s="22">
        <f t="shared" si="64"/>
        <v>298.71423892515395</v>
      </c>
      <c r="CC81" s="62">
        <f t="shared" si="65"/>
        <v>592.04757225848721</v>
      </c>
      <c r="CD81" s="62">
        <f ca="1">AVERAGE(OFFSET($CC$3,0,0,'Données projet'!$E$12+1,1))-AVERAGE(OFFSET($H$3,0,0,'Données projet'!$E$12+1,1))</f>
        <v>195.30963433439501</v>
      </c>
      <c r="CE81" s="62">
        <f t="shared" si="94"/>
        <v>185.00219255324504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182.79999999999984</v>
      </c>
      <c r="CU81" s="18">
        <f>CT81*VLOOKUP('Données projet'!$B$13,Paramètres!$A$1:$I$89,3,0)*VLOOKUP('Données projet'!$B$13,Paramètres!$A$1:$I$89,5,0)</f>
        <v>173.95247999999984</v>
      </c>
      <c r="CV81" s="14">
        <f t="shared" si="95"/>
        <v>43.974060026724175</v>
      </c>
      <c r="CW81" s="22">
        <f t="shared" si="67"/>
        <v>379.55539054654429</v>
      </c>
      <c r="CX81" s="62">
        <f t="shared" si="68"/>
        <v>672.8887238798776</v>
      </c>
      <c r="CY81" s="62">
        <f ca="1">AVERAGE(OFFSET($CX$3,0,0,'Données projet'!$E$13+1,1))-AVERAGE(OFFSET($H$3,0,0,'Données projet'!$E$13+1,1))</f>
        <v>293.996396026019</v>
      </c>
      <c r="CZ81" s="62">
        <f t="shared" si="96"/>
        <v>152.23954167722536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195.80903373714432</v>
      </c>
      <c r="T82" s="62">
        <f t="shared" si="88"/>
        <v>388.30721786668977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22.337378988453679</v>
      </c>
      <c r="AA82" s="23">
        <f>EXP(-LN(2)/25)*AA81+(1-EXP(-LN(2)/25))/(LN(2)/25)*Calculateur!V82*Calculateur!X82*VLOOKUP('Données projet'!$B$9,Paramètres!$A$1:$I$89,3,0)*0.475*44/12</f>
        <v>13.274496464509737</v>
      </c>
      <c r="AB82" s="23">
        <f>EXP(-LN(2)/2)*AB81+(1-EXP(-LN(2)/2))/(LN(2)/2)*V82*Y82*VLOOKUP('Données projet'!$B$9,Paramètres!$A$1:$I$89,3,0)*0.475*44/12</f>
        <v>7.5146802740829741E-6</v>
      </c>
      <c r="AC82" s="24">
        <f t="shared" si="57"/>
        <v>35.611882967643695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-4.9658410716801891E-14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303.33040062722074</v>
      </c>
      <c r="AO82" s="62">
        <f t="shared" si="90"/>
        <v>425.30058672361548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4.6923125766148512</v>
      </c>
      <c r="AV82" s="23">
        <f>EXP(-LN(2)/25)*AV81+(1-EXP(-LN(2)/25))/(LN(2)/25)*Calculateur!AQ82*Calculateur!AS82*VLOOKUP('Données projet'!$B$10,Paramètres!$A$1:$I$89,3,0)*0.475*44/12</f>
        <v>7.9091707761256211</v>
      </c>
      <c r="AW82" s="23">
        <f>EXP(-LN(2)/2)*AW81+(1-EXP(-LN(2)/2))/(LN(2)/2)*AQ82*AT82*VLOOKUP('Données projet'!$B$10,Paramètres!$A$1:$I$89,3,0)*0.475*44/12</f>
        <v>4.995030304998959E-8</v>
      </c>
      <c r="AX82" s="23">
        <f t="shared" si="60"/>
        <v>12.601483402690777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>
        <f>VLOOKUP(A82,'Données projet'!$A$87:$I$107,2,0)</f>
        <v>496</v>
      </c>
      <c r="BB82" s="13">
        <f>VLOOKUP(A82,'Données projet'!$A$87:$I$107,9,0)</f>
        <v>15.142857142857142</v>
      </c>
      <c r="BC82" s="13">
        <f t="array" ref="BC82">INDEX(BB:BB,MIN(IF(ISNUMBER(BB82:BB278),ROW(BB82:BB278),"")))</f>
        <v>15.142857142857142</v>
      </c>
      <c r="BD82" s="13">
        <f>IF('Données projet'!$A$88&gt;35,BD81+BC82-BL81,IF(A82&lt;'Données projet'!$A$88,$BA$205^A82,IF(A82='Données projet'!$A$88,'Données projet'!$B$88,BD81+BC82-BL81)))</f>
        <v>496.00000000000034</v>
      </c>
      <c r="BE82" s="14">
        <f>BD82*VLOOKUP('Données projet'!$B$11,Paramètres!$A$1:$I$89,3,0)*VLOOKUP('Données projet'!$B$11,Paramètres!$A$1:$I$89,5,0)</f>
        <v>232.12800000000016</v>
      </c>
      <c r="BF82" s="14">
        <f t="shared" si="91"/>
        <v>56.742557967082448</v>
      </c>
      <c r="BG82" s="22">
        <f t="shared" si="61"/>
        <v>503.11622179266891</v>
      </c>
      <c r="BH82" s="62">
        <f t="shared" si="62"/>
        <v>796.44955512600222</v>
      </c>
      <c r="BI82" s="62">
        <f ca="1">AVERAGE(OFFSET($BH$3,0,0,'Données projet'!$E$11+1,1))-AVERAGE(OFFSET($H$3,0,0,'Données projet'!$E$11+1,1))</f>
        <v>317.54276561627643</v>
      </c>
      <c r="BJ82" s="62">
        <f t="shared" si="92"/>
        <v>238.92443174298893</v>
      </c>
      <c r="BK82" s="16">
        <f>IF(ISNA(VLOOKUP(A82,'Données projet'!$A$87:$I$107,3,0)),0,VLOOKUP(A82,'Données projet'!$A$87:$I$107,3,0))</f>
        <v>13</v>
      </c>
      <c r="BL82" s="16">
        <f>IF(ISNA(VLOOKUP(A82,'Données projet'!$A$87:$I$107,4,0)),0,VLOOKUP(A82,'Données projet'!$A$87:$I$107,4,0))</f>
        <v>88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1.6</v>
      </c>
      <c r="BY82" s="13">
        <f>IF('Données projet'!$A$114&gt;35,BY81+BX82-CG81,IF(A82&lt;'Données projet'!$A$114,$BV$205^A82,IF(A82='Données projet'!$A$114,'Données projet'!$B$114,BY81+BX82-CG81)))</f>
        <v>157.39999999999989</v>
      </c>
      <c r="BZ82" s="14">
        <f>BY82*VLOOKUP('Données projet'!$B$12,Paramètres!$A$1:$I$89,3,0)*VLOOKUP('Données projet'!$B$12,Paramètres!$A$1:$I$89,5,0)</f>
        <v>137.50463999999994</v>
      </c>
      <c r="CA82" s="14">
        <f t="shared" si="93"/>
        <v>35.724756582112299</v>
      </c>
      <c r="CB82" s="22">
        <f t="shared" si="64"/>
        <v>301.70786571384548</v>
      </c>
      <c r="CC82" s="62">
        <f t="shared" si="65"/>
        <v>595.04119904717879</v>
      </c>
      <c r="CD82" s="62">
        <f ca="1">AVERAGE(OFFSET($CC$3,0,0,'Données projet'!$E$12+1,1))-AVERAGE(OFFSET($H$3,0,0,'Données projet'!$E$12+1,1))</f>
        <v>195.30963433439501</v>
      </c>
      <c r="CE82" s="62">
        <f t="shared" si="94"/>
        <v>185.00219255324504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187.39999999999984</v>
      </c>
      <c r="CU82" s="18">
        <f>CT82*VLOOKUP('Données projet'!$B$13,Paramètres!$A$1:$I$89,3,0)*VLOOKUP('Données projet'!$B$13,Paramètres!$A$1:$I$89,5,0)</f>
        <v>178.32983999999985</v>
      </c>
      <c r="CV82" s="14">
        <f t="shared" si="95"/>
        <v>44.950404981211136</v>
      </c>
      <c r="CW82" s="22">
        <f t="shared" si="67"/>
        <v>388.87976000894241</v>
      </c>
      <c r="CX82" s="62">
        <f t="shared" si="68"/>
        <v>682.21309334227567</v>
      </c>
      <c r="CY82" s="62">
        <f ca="1">AVERAGE(OFFSET($CX$3,0,0,'Données projet'!$E$13+1,1))-AVERAGE(OFFSET($H$3,0,0,'Données projet'!$E$13+1,1))</f>
        <v>293.996396026019</v>
      </c>
      <c r="CZ82" s="62">
        <f t="shared" si="96"/>
        <v>152.23954167722536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195.80903373714432</v>
      </c>
      <c r="T83" s="62">
        <f t="shared" si="88"/>
        <v>388.30721786668977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21.899356610945983</v>
      </c>
      <c r="AA83" s="23">
        <f>EXP(-LN(2)/25)*AA82+(1-EXP(-LN(2)/25))/(LN(2)/25)*Calculateur!V83*Calculateur!X83*VLOOKUP('Données projet'!$B$9,Paramètres!$A$1:$I$89,3,0)*0.475*44/12</f>
        <v>12.911504660612287</v>
      </c>
      <c r="AB83" s="23">
        <f>EXP(-LN(2)/2)*AB82+(1-EXP(-LN(2)/2))/(LN(2)/2)*V83*Y83*VLOOKUP('Données projet'!$B$9,Paramètres!$A$1:$I$89,3,0)*0.475*44/12</f>
        <v>5.3136813802528548E-6</v>
      </c>
      <c r="AC83" s="24">
        <f t="shared" si="57"/>
        <v>34.810866585239644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-4.9658410716801891E-14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303.33040062722074</v>
      </c>
      <c r="AO83" s="62">
        <f t="shared" si="90"/>
        <v>425.30058672361548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4.6002991890155043</v>
      </c>
      <c r="AV83" s="23">
        <f>EXP(-LN(2)/25)*AV82+(1-EXP(-LN(2)/25))/(LN(2)/25)*Calculateur!AQ83*Calculateur!AS83*VLOOKUP('Données projet'!$B$10,Paramètres!$A$1:$I$89,3,0)*0.475*44/12</f>
        <v>7.6928940853272518</v>
      </c>
      <c r="AW83" s="23">
        <f>EXP(-LN(2)/2)*AW82+(1-EXP(-LN(2)/2))/(LN(2)/2)*AQ83*AT83*VLOOKUP('Données projet'!$B$10,Paramètres!$A$1:$I$89,3,0)*0.475*44/12</f>
        <v>3.5320198008970726E-8</v>
      </c>
      <c r="AX83" s="23">
        <f t="shared" si="60"/>
        <v>12.293193309662954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423</v>
      </c>
      <c r="BB83" s="13">
        <f>VLOOKUP(A83,'Données projet'!$A$87:$I$107,9,0)</f>
        <v>15</v>
      </c>
      <c r="BC83" s="13">
        <f t="array" ref="BC83">INDEX(BB:BB,MIN(IF(ISNUMBER(BB83:BB279),ROW(BB83:BB279),"")))</f>
        <v>15</v>
      </c>
      <c r="BD83" s="13">
        <f>IF('Données projet'!$A$88&gt;35,BD82+BC83-BL82,IF(A83&lt;'Données projet'!$A$88,$BA$205^A83,IF(A83='Données projet'!$A$88,'Données projet'!$B$88,BD82+BC83-BL82)))</f>
        <v>423.00000000000034</v>
      </c>
      <c r="BE83" s="14">
        <f>BD83*VLOOKUP('Données projet'!$B$11,Paramètres!$A$1:$I$89,3,0)*VLOOKUP('Données projet'!$B$11,Paramètres!$A$1:$I$89,5,0)</f>
        <v>197.96400000000017</v>
      </c>
      <c r="BF83" s="14">
        <f t="shared" si="91"/>
        <v>49.296450435147804</v>
      </c>
      <c r="BG83" s="22">
        <f t="shared" si="61"/>
        <v>430.64528450788265</v>
      </c>
      <c r="BH83" s="62">
        <f t="shared" si="62"/>
        <v>723.97861784121596</v>
      </c>
      <c r="BI83" s="62">
        <f ca="1">AVERAGE(OFFSET($BH$3,0,0,'Données projet'!$E$11+1,1))-AVERAGE(OFFSET($H$3,0,0,'Données projet'!$E$11+1,1))</f>
        <v>317.54276561627643</v>
      </c>
      <c r="BJ83" s="62">
        <f t="shared" si="92"/>
        <v>238.92443174298893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159</v>
      </c>
      <c r="BW83" s="13">
        <f>VLOOKUP(A83,'Données projet'!$A$113:$I$133,9,0)</f>
        <v>1.6</v>
      </c>
      <c r="BX83" s="13">
        <f t="array" ref="BX83">INDEX(BW:BW,MIN(IF(ISNUMBER(BW83:BW279),ROW(BW83:BW279),"")))</f>
        <v>1.6</v>
      </c>
      <c r="BY83" s="13">
        <f>IF('Données projet'!$A$114&gt;35,BY82+BX83-CG82,IF(A83&lt;'Données projet'!$A$114,$BV$205^A83,IF(A83='Données projet'!$A$114,'Données projet'!$B$114,BY82+BX83-CG82)))</f>
        <v>158.99999999999989</v>
      </c>
      <c r="BZ83" s="14">
        <f>BY83*VLOOKUP('Données projet'!$B$12,Paramètres!$A$1:$I$89,3,0)*VLOOKUP('Données projet'!$B$12,Paramètres!$A$1:$I$89,5,0)</f>
        <v>138.90239999999991</v>
      </c>
      <c r="CA83" s="14">
        <f t="shared" si="93"/>
        <v>36.045445680666425</v>
      </c>
      <c r="CB83" s="22">
        <f t="shared" si="64"/>
        <v>304.70083122716051</v>
      </c>
      <c r="CC83" s="62">
        <f t="shared" si="65"/>
        <v>598.03416456049376</v>
      </c>
      <c r="CD83" s="62">
        <f ca="1">AVERAGE(OFFSET($CC$3,0,0,'Données projet'!$E$12+1,1))-AVERAGE(OFFSET($H$3,0,0,'Données projet'!$E$12+1,1))</f>
        <v>195.30963433439501</v>
      </c>
      <c r="CE83" s="62">
        <f t="shared" si="94"/>
        <v>185.00219255324504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159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192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191.99999999999983</v>
      </c>
      <c r="CU83" s="18">
        <f>CT83*VLOOKUP('Données projet'!$B$13,Paramètres!$A$1:$I$89,3,0)*VLOOKUP('Données projet'!$B$13,Paramètres!$A$1:$I$89,5,0)</f>
        <v>182.70719999999983</v>
      </c>
      <c r="CV83" s="14">
        <f t="shared" si="95"/>
        <v>45.923964004932401</v>
      </c>
      <c r="CW83" s="22">
        <f t="shared" si="67"/>
        <v>398.1992773085903</v>
      </c>
      <c r="CX83" s="62">
        <f t="shared" si="68"/>
        <v>691.53261064192361</v>
      </c>
      <c r="CY83" s="62">
        <f ca="1">AVERAGE(OFFSET($CX$3,0,0,'Données projet'!$E$13+1,1))-AVERAGE(OFFSET($H$3,0,0,'Données projet'!$E$13+1,1))</f>
        <v>293.996396026019</v>
      </c>
      <c r="CZ83" s="62">
        <f t="shared" si="96"/>
        <v>152.23954167722536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14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195.80903373714432</v>
      </c>
      <c r="T84" s="62">
        <f t="shared" si="88"/>
        <v>388.30721786668977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21.469923585093941</v>
      </c>
      <c r="AA84" s="23">
        <f>EXP(-LN(2)/25)*AA83+(1-EXP(-LN(2)/25))/(LN(2)/25)*Calculateur!V84*Calculateur!X84*VLOOKUP('Données projet'!$B$9,Paramètres!$A$1:$I$89,3,0)*0.475*44/12</f>
        <v>12.558438886681325</v>
      </c>
      <c r="AB84" s="23">
        <f>EXP(-LN(2)/2)*AB83+(1-EXP(-LN(2)/2))/(LN(2)/2)*V84*Y84*VLOOKUP('Données projet'!$B$9,Paramètres!$A$1:$I$89,3,0)*0.475*44/12</f>
        <v>3.7573401370414875E-6</v>
      </c>
      <c r="AC84" s="24">
        <f t="shared" si="57"/>
        <v>34.028366229115406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-4.9658410716801891E-14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303.33040062722074</v>
      </c>
      <c r="AO84" s="62">
        <f t="shared" si="90"/>
        <v>425.30058672361548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4.5100901278243555</v>
      </c>
      <c r="AV84" s="23">
        <f>EXP(-LN(2)/25)*AV83+(1-EXP(-LN(2)/25))/(LN(2)/25)*Calculateur!AQ84*Calculateur!AS84*VLOOKUP('Données projet'!$B$10,Paramètres!$A$1:$I$89,3,0)*0.475*44/12</f>
        <v>7.4825314920122601</v>
      </c>
      <c r="AW84" s="23">
        <f>EXP(-LN(2)/2)*AW83+(1-EXP(-LN(2)/2))/(LN(2)/2)*AQ84*AT84*VLOOKUP('Données projet'!$B$10,Paramètres!$A$1:$I$89,3,0)*0.475*44/12</f>
        <v>2.4975151524994795E-8</v>
      </c>
      <c r="AX84" s="23">
        <f t="shared" si="60"/>
        <v>11.992621644811766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14.142857142857142</v>
      </c>
      <c r="BD84" s="13">
        <f>IF('Données projet'!$A$88&gt;35,BD83+BC84-BL83,IF(A84&lt;'Données projet'!$A$88,$BA$205^A84,IF(A84='Données projet'!$A$88,'Données projet'!$B$88,BD83+BC84-BL83)))</f>
        <v>437.14285714285751</v>
      </c>
      <c r="BE84" s="14">
        <f>BD84*VLOOKUP('Données projet'!$B$11,Paramètres!$A$1:$I$89,3,0)*VLOOKUP('Données projet'!$B$11,Paramètres!$A$1:$I$89,5,0)</f>
        <v>204.58285714285734</v>
      </c>
      <c r="BF84" s="14">
        <f t="shared" si="91"/>
        <v>50.750009154879976</v>
      </c>
      <c r="BG84" s="22">
        <f t="shared" si="61"/>
        <v>444.70474213522584</v>
      </c>
      <c r="BH84" s="62">
        <f t="shared" si="62"/>
        <v>738.0380754685591</v>
      </c>
      <c r="BI84" s="62">
        <f ca="1">AVERAGE(OFFSET($BH$3,0,0,'Données projet'!$E$11+1,1))-AVERAGE(OFFSET($H$3,0,0,'Données projet'!$E$11+1,1))</f>
        <v>317.54276561627643</v>
      </c>
      <c r="BJ84" s="62">
        <f t="shared" si="92"/>
        <v>238.92443174298893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-9.9316821433603781E-14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195.30963433439501</v>
      </c>
      <c r="CE84" s="62">
        <f t="shared" si="94"/>
        <v>185.00219255324504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4.4000000000000004</v>
      </c>
      <c r="CT84" s="13">
        <f>IF('Données projet'!$A$140&gt;35,CT83+CS84-DB83,IF(A84&lt;'Données projet'!$A$140,$CQ$205^A84,IF(A84='Données projet'!$A$140,'Données projet'!$B$140,CT83+CS84-DB83)))</f>
        <v>182.39999999999984</v>
      </c>
      <c r="CU84" s="18">
        <f>CT84*VLOOKUP('Données projet'!$B$13,Paramètres!$A$1:$I$89,3,0)*VLOOKUP('Données projet'!$B$13,Paramètres!$A$1:$I$89,5,0)</f>
        <v>173.57183999999984</v>
      </c>
      <c r="CV84" s="14">
        <f t="shared" si="95"/>
        <v>43.889026259091189</v>
      </c>
      <c r="CW84" s="22">
        <f t="shared" si="67"/>
        <v>378.74434206791688</v>
      </c>
      <c r="CX84" s="62">
        <f t="shared" si="68"/>
        <v>672.07767540125019</v>
      </c>
      <c r="CY84" s="62">
        <f ca="1">AVERAGE(OFFSET($CX$3,0,0,'Données projet'!$E$13+1,1))-AVERAGE(OFFSET($H$3,0,0,'Données projet'!$E$13+1,1))</f>
        <v>293.996396026019</v>
      </c>
      <c r="CZ84" s="62">
        <f t="shared" si="96"/>
        <v>152.23954167722536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195.80903373714432</v>
      </c>
      <c r="T85" s="62">
        <f t="shared" si="88"/>
        <v>388.30721786668977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21.048911478950576</v>
      </c>
      <c r="AA85" s="23">
        <f>EXP(-LN(2)/25)*AA84+(1-EXP(-LN(2)/25))/(LN(2)/25)*Calculateur!V85*Calculateur!X85*VLOOKUP('Données projet'!$B$9,Paramètres!$A$1:$I$89,3,0)*0.475*44/12</f>
        <v>12.215027714905425</v>
      </c>
      <c r="AB85" s="23">
        <f>EXP(-LN(2)/2)*AB84+(1-EXP(-LN(2)/2))/(LN(2)/2)*V85*Y85*VLOOKUP('Données projet'!$B$9,Paramètres!$A$1:$I$89,3,0)*0.475*44/12</f>
        <v>2.6568406901264278E-6</v>
      </c>
      <c r="AC85" s="24">
        <f t="shared" si="57"/>
        <v>33.263941850696696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-4.9658410716801891E-14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303.33040062722074</v>
      </c>
      <c r="AO85" s="62">
        <f t="shared" si="90"/>
        <v>425.30058672361548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4.4216500113010708</v>
      </c>
      <c r="AV85" s="23">
        <f>EXP(-LN(2)/25)*AV84+(1-EXP(-LN(2)/25))/(LN(2)/25)*Calculateur!AQ85*Calculateur!AS85*VLOOKUP('Données projet'!$B$10,Paramètres!$A$1:$I$89,3,0)*0.475*44/12</f>
        <v>7.2779212748739548</v>
      </c>
      <c r="AW85" s="23">
        <f>EXP(-LN(2)/2)*AW84+(1-EXP(-LN(2)/2))/(LN(2)/2)*AQ85*AT85*VLOOKUP('Données projet'!$B$10,Paramètres!$A$1:$I$89,3,0)*0.475*44/12</f>
        <v>1.7660099004485363E-8</v>
      </c>
      <c r="AX85" s="23">
        <f t="shared" si="60"/>
        <v>11.699571303835125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14.142857142857142</v>
      </c>
      <c r="BD85" s="13">
        <f>IF('Données projet'!$A$88&gt;35,BD84+BC85-BL84,IF(A85&lt;'Données projet'!$A$88,$BA$205^A85,IF(A85='Données projet'!$A$88,'Données projet'!$B$88,BD84+BC85-BL84)))</f>
        <v>451.28571428571468</v>
      </c>
      <c r="BE85" s="14">
        <f>BD85*VLOOKUP('Données projet'!$B$11,Paramètres!$A$1:$I$89,3,0)*VLOOKUP('Données projet'!$B$11,Paramètres!$A$1:$I$89,5,0)</f>
        <v>211.20171428571447</v>
      </c>
      <c r="BF85" s="14">
        <f t="shared" si="91"/>
        <v>52.198103230485451</v>
      </c>
      <c r="BG85" s="22">
        <f t="shared" si="61"/>
        <v>458.75468217404813</v>
      </c>
      <c r="BH85" s="62">
        <f t="shared" si="62"/>
        <v>752.08801550738144</v>
      </c>
      <c r="BI85" s="62">
        <f ca="1">AVERAGE(OFFSET($BH$3,0,0,'Données projet'!$E$11+1,1))-AVERAGE(OFFSET($H$3,0,0,'Données projet'!$E$11+1,1))</f>
        <v>317.54276561627643</v>
      </c>
      <c r="BJ85" s="62">
        <f t="shared" si="92"/>
        <v>238.92443174298893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-9.9316821433603781E-14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195.30963433439501</v>
      </c>
      <c r="CE85" s="62">
        <f t="shared" si="94"/>
        <v>185.00219255324504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4.4000000000000004</v>
      </c>
      <c r="CT85" s="13">
        <f>IF('Données projet'!$A$140&gt;35,CT84+CS85-DB84,IF(A85&lt;'Données projet'!$A$140,$CQ$205^A85,IF(A85='Données projet'!$A$140,'Données projet'!$B$140,CT84+CS85-DB84)))</f>
        <v>186.79999999999984</v>
      </c>
      <c r="CU85" s="18">
        <f>CT85*VLOOKUP('Données projet'!$B$13,Paramètres!$A$1:$I$89,3,0)*VLOOKUP('Données projet'!$B$13,Paramètres!$A$1:$I$89,5,0)</f>
        <v>177.75887999999983</v>
      </c>
      <c r="CV85" s="14">
        <f t="shared" si="95"/>
        <v>44.823215265943929</v>
      </c>
      <c r="CW85" s="22">
        <f t="shared" si="67"/>
        <v>387.66381592151873</v>
      </c>
      <c r="CX85" s="62">
        <f t="shared" si="68"/>
        <v>680.99714925485205</v>
      </c>
      <c r="CY85" s="62">
        <f ca="1">AVERAGE(OFFSET($CX$3,0,0,'Données projet'!$E$13+1,1))-AVERAGE(OFFSET($H$3,0,0,'Données projet'!$E$13+1,1))</f>
        <v>293.996396026019</v>
      </c>
      <c r="CZ85" s="62">
        <f t="shared" si="96"/>
        <v>152.23954167722536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195.80903373714432</v>
      </c>
      <c r="T86" s="62">
        <f t="shared" si="88"/>
        <v>388.30721786668977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20.636155163416653</v>
      </c>
      <c r="AA86" s="23">
        <f>EXP(-LN(2)/25)*AA85+(1-EXP(-LN(2)/25))/(LN(2)/25)*Calculateur!V86*Calculateur!X86*VLOOKUP('Données projet'!$B$9,Paramètres!$A$1:$I$89,3,0)*0.475*44/12</f>
        <v>11.881007139680946</v>
      </c>
      <c r="AB86" s="23">
        <f>EXP(-LN(2)/2)*AB85+(1-EXP(-LN(2)/2))/(LN(2)/2)*V86*Y86*VLOOKUP('Données projet'!$B$9,Paramètres!$A$1:$I$89,3,0)*0.475*44/12</f>
        <v>1.8786700685207442E-6</v>
      </c>
      <c r="AC86" s="24">
        <f t="shared" si="57"/>
        <v>32.517164181767669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-4.9658410716801891E-14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303.33040062722074</v>
      </c>
      <c r="AO86" s="62">
        <f t="shared" si="90"/>
        <v>425.30058672361548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4.3349441515196627</v>
      </c>
      <c r="AV86" s="23">
        <f>EXP(-LN(2)/25)*AV85+(1-EXP(-LN(2)/25))/(LN(2)/25)*Calculateur!AQ86*Calculateur!AS86*VLOOKUP('Données projet'!$B$10,Paramètres!$A$1:$I$89,3,0)*0.475*44/12</f>
        <v>7.0789061348832805</v>
      </c>
      <c r="AW86" s="23">
        <f>EXP(-LN(2)/2)*AW85+(1-EXP(-LN(2)/2))/(LN(2)/2)*AQ86*AT86*VLOOKUP('Données projet'!$B$10,Paramètres!$A$1:$I$89,3,0)*0.475*44/12</f>
        <v>1.2487575762497397E-8</v>
      </c>
      <c r="AX86" s="23">
        <f t="shared" si="60"/>
        <v>11.413850298890519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14.142857142857142</v>
      </c>
      <c r="BD86" s="13">
        <f>IF('Données projet'!$A$88&gt;35,BD85+BC86-BL85,IF(A86&lt;'Données projet'!$A$88,$BA$205^A86,IF(A86='Données projet'!$A$88,'Données projet'!$B$88,BD85+BC86-BL85)))</f>
        <v>465.42857142857184</v>
      </c>
      <c r="BE86" s="14">
        <f>BD86*VLOOKUP('Données projet'!$B$11,Paramètres!$A$1:$I$89,3,0)*VLOOKUP('Données projet'!$B$11,Paramètres!$A$1:$I$89,5,0)</f>
        <v>217.82057142857164</v>
      </c>
      <c r="BF86" s="14">
        <f t="shared" si="91"/>
        <v>53.640923568007189</v>
      </c>
      <c r="BG86" s="22">
        <f t="shared" si="61"/>
        <v>472.79543711904148</v>
      </c>
      <c r="BH86" s="62">
        <f t="shared" si="62"/>
        <v>766.12877045237474</v>
      </c>
      <c r="BI86" s="62">
        <f ca="1">AVERAGE(OFFSET($BH$3,0,0,'Données projet'!$E$11+1,1))-AVERAGE(OFFSET($H$3,0,0,'Données projet'!$E$11+1,1))</f>
        <v>317.54276561627643</v>
      </c>
      <c r="BJ86" s="62">
        <f t="shared" si="92"/>
        <v>238.92443174298893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-9.9316821433603781E-14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195.30963433439501</v>
      </c>
      <c r="CE86" s="62">
        <f t="shared" si="94"/>
        <v>185.00219255324504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4.4000000000000004</v>
      </c>
      <c r="CT86" s="13">
        <f>IF('Données projet'!$A$140&gt;35,CT85+CS86-DB85,IF(A86&lt;'Données projet'!$A$140,$CQ$205^A86,IF(A86='Données projet'!$A$140,'Données projet'!$B$140,CT85+CS86-DB85)))</f>
        <v>191.19999999999985</v>
      </c>
      <c r="CU86" s="18">
        <f>CT86*VLOOKUP('Données projet'!$B$13,Paramètres!$A$1:$I$89,3,0)*VLOOKUP('Données projet'!$B$13,Paramètres!$A$1:$I$89,5,0)</f>
        <v>181.94591999999986</v>
      </c>
      <c r="CV86" s="14">
        <f t="shared" si="95"/>
        <v>45.754846212632806</v>
      </c>
      <c r="CW86" s="22">
        <f t="shared" si="67"/>
        <v>396.57883448700187</v>
      </c>
      <c r="CX86" s="62">
        <f t="shared" si="68"/>
        <v>689.91216782033518</v>
      </c>
      <c r="CY86" s="62">
        <f ca="1">AVERAGE(OFFSET($CX$3,0,0,'Données projet'!$E$13+1,1))-AVERAGE(OFFSET($H$3,0,0,'Données projet'!$E$13+1,1))</f>
        <v>293.996396026019</v>
      </c>
      <c r="CZ86" s="62">
        <f t="shared" si="96"/>
        <v>152.23954167722536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195.80903373714432</v>
      </c>
      <c r="T87" s="62">
        <f t="shared" si="88"/>
        <v>388.30721786668977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20.231492747473858</v>
      </c>
      <c r="AA87" s="23">
        <f>EXP(-LN(2)/25)*AA86+(1-EXP(-LN(2)/25))/(LN(2)/25)*Calculateur!V87*Calculateur!X87*VLOOKUP('Données projet'!$B$9,Paramètres!$A$1:$I$89,3,0)*0.475*44/12</f>
        <v>11.556120374651361</v>
      </c>
      <c r="AB87" s="23">
        <f>EXP(-LN(2)/2)*AB86+(1-EXP(-LN(2)/2))/(LN(2)/2)*V87*Y87*VLOOKUP('Données projet'!$B$9,Paramètres!$A$1:$I$89,3,0)*0.475*44/12</f>
        <v>1.3284203450632141E-6</v>
      </c>
      <c r="AC87" s="24">
        <f t="shared" si="57"/>
        <v>31.787614450545565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-4.9658410716801891E-14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303.33040062722074</v>
      </c>
      <c r="AO87" s="62">
        <f t="shared" si="90"/>
        <v>425.30058672361548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4.2499385407632158</v>
      </c>
      <c r="AV87" s="23">
        <f>EXP(-LN(2)/25)*AV86+(1-EXP(-LN(2)/25))/(LN(2)/25)*Calculateur!AQ87*Calculateur!AS87*VLOOKUP('Données projet'!$B$10,Paramètres!$A$1:$I$89,3,0)*0.475*44/12</f>
        <v>6.8853330743614025</v>
      </c>
      <c r="AW87" s="23">
        <f>EXP(-LN(2)/2)*AW86+(1-EXP(-LN(2)/2))/(LN(2)/2)*AQ87*AT87*VLOOKUP('Données projet'!$B$10,Paramètres!$A$1:$I$89,3,0)*0.475*44/12</f>
        <v>8.8300495022426814E-9</v>
      </c>
      <c r="AX87" s="23">
        <f t="shared" si="60"/>
        <v>11.135271623954669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14.142857142857142</v>
      </c>
      <c r="BD87" s="13">
        <f>IF('Données projet'!$A$88&gt;35,BD86+BC87-BL86,IF(A87&lt;'Données projet'!$A$88,$BA$205^A87,IF(A87='Données projet'!$A$88,'Données projet'!$B$88,BD86+BC87-BL86)))</f>
        <v>479.57142857142901</v>
      </c>
      <c r="BE87" s="14">
        <f>BD87*VLOOKUP('Données projet'!$B$11,Paramètres!$A$1:$I$89,3,0)*VLOOKUP('Données projet'!$B$11,Paramètres!$A$1:$I$89,5,0)</f>
        <v>224.43942857142878</v>
      </c>
      <c r="BF87" s="14">
        <f t="shared" si="91"/>
        <v>55.078648812192505</v>
      </c>
      <c r="BG87" s="22">
        <f t="shared" si="61"/>
        <v>486.82731810980704</v>
      </c>
      <c r="BH87" s="62">
        <f t="shared" si="62"/>
        <v>780.1606514431403</v>
      </c>
      <c r="BI87" s="62">
        <f ca="1">AVERAGE(OFFSET($BH$3,0,0,'Données projet'!$E$11+1,1))-AVERAGE(OFFSET($H$3,0,0,'Données projet'!$E$11+1,1))</f>
        <v>317.54276561627643</v>
      </c>
      <c r="BJ87" s="62">
        <f t="shared" si="92"/>
        <v>238.92443174298893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-9.9316821433603781E-14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195.30963433439501</v>
      </c>
      <c r="CE87" s="62">
        <f t="shared" si="94"/>
        <v>185.00219255324504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4.4000000000000004</v>
      </c>
      <c r="CT87" s="13">
        <f>IF('Données projet'!$A$140&gt;35,CT86+CS87-DB86,IF(A87&lt;'Données projet'!$A$140,$CQ$205^A87,IF(A87='Données projet'!$A$140,'Données projet'!$B$140,CT86+CS87-DB86)))</f>
        <v>195.59999999999985</v>
      </c>
      <c r="CU87" s="18">
        <f>CT87*VLOOKUP('Données projet'!$B$13,Paramètres!$A$1:$I$89,3,0)*VLOOKUP('Données projet'!$B$13,Paramètres!$A$1:$I$89,5,0)</f>
        <v>186.13295999999985</v>
      </c>
      <c r="CV87" s="14">
        <f t="shared" si="95"/>
        <v>46.683984742595676</v>
      </c>
      <c r="CW87" s="22">
        <f t="shared" si="67"/>
        <v>405.48951209335388</v>
      </c>
      <c r="CX87" s="62">
        <f t="shared" si="68"/>
        <v>698.82284542668719</v>
      </c>
      <c r="CY87" s="62">
        <f ca="1">AVERAGE(OFFSET($CX$3,0,0,'Données projet'!$E$13+1,1))-AVERAGE(OFFSET($H$3,0,0,'Données projet'!$E$13+1,1))</f>
        <v>293.996396026019</v>
      </c>
      <c r="CZ87" s="62">
        <f t="shared" si="96"/>
        <v>152.23954167722536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195.80903373714432</v>
      </c>
      <c r="T88" s="62">
        <f t="shared" si="88"/>
        <v>388.30721786668977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19.834765514687998</v>
      </c>
      <c r="AA88" s="23">
        <f>EXP(-LN(2)/25)*AA87+(1-EXP(-LN(2)/25))/(LN(2)/25)*Calculateur!V88*Calculateur!X88*VLOOKUP('Données projet'!$B$9,Paramètres!$A$1:$I$89,3,0)*0.475*44/12</f>
        <v>11.24011765529656</v>
      </c>
      <c r="AB88" s="23">
        <f>EXP(-LN(2)/2)*AB87+(1-EXP(-LN(2)/2))/(LN(2)/2)*V88*Y88*VLOOKUP('Données projet'!$B$9,Paramètres!$A$1:$I$89,3,0)*0.475*44/12</f>
        <v>9.3933503426037219E-7</v>
      </c>
      <c r="AC88" s="24">
        <f t="shared" si="57"/>
        <v>31.074884109319594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-4.9658410716801891E-14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303.33040062722074</v>
      </c>
      <c r="AO88" s="62">
        <f t="shared" si="90"/>
        <v>425.30058672361548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4.1665998381853999</v>
      </c>
      <c r="AV88" s="23">
        <f>EXP(-LN(2)/25)*AV87+(1-EXP(-LN(2)/25))/(LN(2)/25)*Calculateur!AQ88*Calculateur!AS88*VLOOKUP('Données projet'!$B$10,Paramètres!$A$1:$I$89,3,0)*0.475*44/12</f>
        <v>6.6970532793590598</v>
      </c>
      <c r="AW88" s="23">
        <f>EXP(-LN(2)/2)*AW87+(1-EXP(-LN(2)/2))/(LN(2)/2)*AQ88*AT88*VLOOKUP('Données projet'!$B$10,Paramètres!$A$1:$I$89,3,0)*0.475*44/12</f>
        <v>6.2437878812486987E-9</v>
      </c>
      <c r="AX88" s="23">
        <f t="shared" si="60"/>
        <v>10.863653123788247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14.142857142857142</v>
      </c>
      <c r="BD88" s="13">
        <f>IF('Données projet'!$A$88&gt;35,BD87+BC88-BL87,IF(A88&lt;'Données projet'!$A$88,$BA$205^A88,IF(A88='Données projet'!$A$88,'Données projet'!$B$88,BD87+BC88-BL87)))</f>
        <v>493.71428571428618</v>
      </c>
      <c r="BE88" s="14">
        <f>BD88*VLOOKUP('Données projet'!$B$11,Paramètres!$A$1:$I$89,3,0)*VLOOKUP('Données projet'!$B$11,Paramètres!$A$1:$I$89,5,0)</f>
        <v>231.05828571428594</v>
      </c>
      <c r="BF88" s="14">
        <f t="shared" si="91"/>
        <v>56.511446472092771</v>
      </c>
      <c r="BG88" s="22">
        <f t="shared" si="61"/>
        <v>500.85061689127627</v>
      </c>
      <c r="BH88" s="62">
        <f t="shared" si="62"/>
        <v>794.18395022460959</v>
      </c>
      <c r="BI88" s="62">
        <f ca="1">AVERAGE(OFFSET($BH$3,0,0,'Données projet'!$E$11+1,1))-AVERAGE(OFFSET($H$3,0,0,'Données projet'!$E$11+1,1))</f>
        <v>317.54276561627643</v>
      </c>
      <c r="BJ88" s="62">
        <f t="shared" si="92"/>
        <v>238.92443174298893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-9.9316821433603781E-14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195.30963433439501</v>
      </c>
      <c r="CE88" s="62">
        <f t="shared" si="94"/>
        <v>185.00219255324504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200</v>
      </c>
      <c r="CR88" s="13">
        <f>VLOOKUP(A88,'Données projet'!$A$139:$I$159,9,0)</f>
        <v>4.4000000000000004</v>
      </c>
      <c r="CS88" s="13">
        <f t="array" ref="CS88">INDEX(CR:CR,MIN(IF(ISNUMBER(CR88:CR284),ROW(CR88:CR284),"")))</f>
        <v>4.4000000000000004</v>
      </c>
      <c r="CT88" s="13">
        <f>IF('Données projet'!$A$140&gt;35,CT87+CS88-DB87,IF(A88&lt;'Données projet'!$A$140,$CQ$205^A88,IF(A88='Données projet'!$A$140,'Données projet'!$B$140,CT87+CS88-DB87)))</f>
        <v>199.99999999999986</v>
      </c>
      <c r="CU88" s="18">
        <f>CT88*VLOOKUP('Données projet'!$B$13,Paramètres!$A$1:$I$89,3,0)*VLOOKUP('Données projet'!$B$13,Paramètres!$A$1:$I$89,5,0)</f>
        <v>190.31999999999988</v>
      </c>
      <c r="CV88" s="14">
        <f t="shared" si="95"/>
        <v>47.61069337740188</v>
      </c>
      <c r="CW88" s="22">
        <f t="shared" si="67"/>
        <v>414.39595763230801</v>
      </c>
      <c r="CX88" s="62">
        <f t="shared" si="68"/>
        <v>707.72929096564133</v>
      </c>
      <c r="CY88" s="62">
        <f ca="1">AVERAGE(OFFSET($CX$3,0,0,'Données projet'!$E$13+1,1))-AVERAGE(OFFSET($H$3,0,0,'Données projet'!$E$13+1,1))</f>
        <v>293.996396026019</v>
      </c>
      <c r="CZ88" s="62">
        <f t="shared" si="96"/>
        <v>152.23954167722536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14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195.80903373714432</v>
      </c>
      <c r="T89" s="62">
        <f t="shared" si="88"/>
        <v>388.30721786668977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19.445817860957352</v>
      </c>
      <c r="AA89" s="23">
        <f>EXP(-LN(2)/25)*AA88+(1-EXP(-LN(2)/25))/(LN(2)/25)*Calculateur!V89*Calculateur!X89*VLOOKUP('Données projet'!$B$9,Paramètres!$A$1:$I$89,3,0)*0.475*44/12</f>
        <v>10.932756046920378</v>
      </c>
      <c r="AB89" s="23">
        <f>EXP(-LN(2)/2)*AB88+(1-EXP(-LN(2)/2))/(LN(2)/2)*V89*Y89*VLOOKUP('Données projet'!$B$9,Paramètres!$A$1:$I$89,3,0)*0.475*44/12</f>
        <v>6.6421017253160717E-7</v>
      </c>
      <c r="AC89" s="24">
        <f t="shared" si="57"/>
        <v>30.378574572087903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-4.9658410716801891E-14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303.33040062722074</v>
      </c>
      <c r="AO89" s="62">
        <f t="shared" si="90"/>
        <v>425.30058672361548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4.0848953567335453</v>
      </c>
      <c r="AV89" s="23">
        <f>EXP(-LN(2)/25)*AV88+(1-EXP(-LN(2)/25))/(LN(2)/25)*Calculateur!AQ89*Calculateur!AS89*VLOOKUP('Données projet'!$B$10,Paramètres!$A$1:$I$89,3,0)*0.475*44/12</f>
        <v>6.5139220052522608</v>
      </c>
      <c r="AW89" s="23">
        <f>EXP(-LN(2)/2)*AW88+(1-EXP(-LN(2)/2))/(LN(2)/2)*AQ89*AT89*VLOOKUP('Données projet'!$B$10,Paramètres!$A$1:$I$89,3,0)*0.475*44/12</f>
        <v>4.4150247511213407E-9</v>
      </c>
      <c r="AX89" s="23">
        <f t="shared" si="60"/>
        <v>10.59881736640083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14.142857142857142</v>
      </c>
      <c r="BD89" s="13">
        <f>IF('Données projet'!$A$88&gt;35,BD88+BC89-BL88,IF(A89&lt;'Données projet'!$A$88,$BA$205^A89,IF(A89='Données projet'!$A$88,'Données projet'!$B$88,BD88+BC89-BL88)))</f>
        <v>507.85714285714334</v>
      </c>
      <c r="BE89" s="14">
        <f>BD89*VLOOKUP('Données projet'!$B$11,Paramètres!$A$1:$I$89,3,0)*VLOOKUP('Données projet'!$B$11,Paramètres!$A$1:$I$89,5,0)</f>
        <v>237.67714285714308</v>
      </c>
      <c r="BF89" s="14">
        <f t="shared" si="91"/>
        <v>57.939473914063178</v>
      </c>
      <c r="BG89" s="22">
        <f t="shared" si="61"/>
        <v>514.86560754318418</v>
      </c>
      <c r="BH89" s="62">
        <f t="shared" si="62"/>
        <v>808.19894087651755</v>
      </c>
      <c r="BI89" s="62">
        <f ca="1">AVERAGE(OFFSET($BH$3,0,0,'Données projet'!$E$11+1,1))-AVERAGE(OFFSET($H$3,0,0,'Données projet'!$E$11+1,1))</f>
        <v>317.54276561627643</v>
      </c>
      <c r="BJ89" s="62">
        <f t="shared" si="92"/>
        <v>238.92443174298893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-9.9316821433603781E-14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195.30963433439501</v>
      </c>
      <c r="CE89" s="62">
        <f t="shared" si="94"/>
        <v>185.00219255324504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4.2</v>
      </c>
      <c r="CT89" s="13">
        <f>IF('Données projet'!$A$140&gt;35,CT88+CS89-DB88,IF(A89&lt;'Données projet'!$A$140,$CQ$205^A89,IF(A89='Données projet'!$A$140,'Données projet'!$B$140,CT88+CS89-DB88)))</f>
        <v>190.19999999999985</v>
      </c>
      <c r="CU89" s="18">
        <f>CT89*VLOOKUP('Données projet'!$B$13,Paramètres!$A$1:$I$89,3,0)*VLOOKUP('Données projet'!$B$13,Paramètres!$A$1:$I$89,5,0)</f>
        <v>180.99431999999985</v>
      </c>
      <c r="CV89" s="14">
        <f t="shared" si="95"/>
        <v>45.543333072238951</v>
      </c>
      <c r="CW89" s="22">
        <f t="shared" si="67"/>
        <v>394.55307910081592</v>
      </c>
      <c r="CX89" s="62">
        <f t="shared" si="68"/>
        <v>687.88641243414918</v>
      </c>
      <c r="CY89" s="62">
        <f ca="1">AVERAGE(OFFSET($CX$3,0,0,'Données projet'!$E$13+1,1))-AVERAGE(OFFSET($H$3,0,0,'Données projet'!$E$13+1,1))</f>
        <v>293.996396026019</v>
      </c>
      <c r="CZ89" s="62">
        <f t="shared" si="96"/>
        <v>152.23954167722536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195.80903373714432</v>
      </c>
      <c r="T90" s="62">
        <f t="shared" si="88"/>
        <v>388.30721786668977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19.064497233481717</v>
      </c>
      <c r="AA90" s="23">
        <f>EXP(-LN(2)/25)*AA89+(1-EXP(-LN(2)/25))/(LN(2)/25)*Calculateur!V90*Calculateur!X90*VLOOKUP('Données projet'!$B$9,Paramètres!$A$1:$I$89,3,0)*0.475*44/12</f>
        <v>10.633799257888686</v>
      </c>
      <c r="AB90" s="23">
        <f>EXP(-LN(2)/2)*AB89+(1-EXP(-LN(2)/2))/(LN(2)/2)*V90*Y90*VLOOKUP('Données projet'!$B$9,Paramètres!$A$1:$I$89,3,0)*0.475*44/12</f>
        <v>4.6966751713018615E-7</v>
      </c>
      <c r="AC90" s="24">
        <f t="shared" si="57"/>
        <v>29.698296961037919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-4.9658410716801891E-14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303.33040062722074</v>
      </c>
      <c r="AO90" s="62">
        <f t="shared" si="90"/>
        <v>425.30058672361548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4.004793050328149</v>
      </c>
      <c r="AV90" s="23">
        <f>EXP(-LN(2)/25)*AV89+(1-EXP(-LN(2)/25))/(LN(2)/25)*Calculateur!AQ90*Calculateur!AS90*VLOOKUP('Données projet'!$B$10,Paramètres!$A$1:$I$89,3,0)*0.475*44/12</f>
        <v>6.3357984654663673</v>
      </c>
      <c r="AW90" s="23">
        <f>EXP(-LN(2)/2)*AW89+(1-EXP(-LN(2)/2))/(LN(2)/2)*AQ90*AT90*VLOOKUP('Données projet'!$B$10,Paramètres!$A$1:$I$89,3,0)*0.475*44/12</f>
        <v>3.1218939406243493E-9</v>
      </c>
      <c r="AX90" s="23">
        <f t="shared" si="60"/>
        <v>10.34059151891641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522</v>
      </c>
      <c r="BB90" s="13">
        <f>VLOOKUP(A90,'Données projet'!$A$87:$I$107,9,0)</f>
        <v>14.142857142857142</v>
      </c>
      <c r="BC90" s="13">
        <f t="array" ref="BC90">INDEX(BB:BB,MIN(IF(ISNUMBER(BB90:BB286),ROW(BB90:BB286),"")))</f>
        <v>14.142857142857142</v>
      </c>
      <c r="BD90" s="13">
        <f>IF('Données projet'!$A$88&gt;35,BD89+BC90-BL89,IF(A90&lt;'Données projet'!$A$88,$BA$205^A90,IF(A90='Données projet'!$A$88,'Données projet'!$B$88,BD89+BC90-BL89)))</f>
        <v>522.00000000000045</v>
      </c>
      <c r="BE90" s="14">
        <f>BD90*VLOOKUP('Données projet'!$B$11,Paramètres!$A$1:$I$89,3,0)*VLOOKUP('Données projet'!$B$11,Paramètres!$A$1:$I$89,5,0)</f>
        <v>244.29600000000022</v>
      </c>
      <c r="BF90" s="14">
        <f t="shared" si="91"/>
        <v>59.362879241040417</v>
      </c>
      <c r="BG90" s="22">
        <f t="shared" si="61"/>
        <v>528.87254801147901</v>
      </c>
      <c r="BH90" s="62">
        <f t="shared" si="62"/>
        <v>822.20588134481227</v>
      </c>
      <c r="BI90" s="62">
        <f ca="1">AVERAGE(OFFSET($BH$3,0,0,'Données projet'!$E$11+1,1))-AVERAGE(OFFSET($H$3,0,0,'Données projet'!$E$11+1,1))</f>
        <v>317.54276561627643</v>
      </c>
      <c r="BJ90" s="62">
        <f t="shared" si="92"/>
        <v>238.92443174298893</v>
      </c>
      <c r="BK90" s="16">
        <f>IF(ISNA(VLOOKUP(A90,'Données projet'!$A$87:$I$107,3,0)),0,VLOOKUP(A90,'Données projet'!$A$87:$I$107,3,0))</f>
        <v>15</v>
      </c>
      <c r="BL90" s="16">
        <f>IF(ISNA(VLOOKUP(A90,'Données projet'!$A$87:$I$107,4,0)),0,VLOOKUP(A90,'Données projet'!$A$87:$I$107,4,0))</f>
        <v>89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-9.9316821433603781E-14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195.30963433439501</v>
      </c>
      <c r="CE90" s="62">
        <f t="shared" si="94"/>
        <v>185.00219255324504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4.2</v>
      </c>
      <c r="CT90" s="13">
        <f>IF('Données projet'!$A$140&gt;35,CT89+CS90-DB89,IF(A90&lt;'Données projet'!$A$140,$CQ$205^A90,IF(A90='Données projet'!$A$140,'Données projet'!$B$140,CT89+CS90-DB89)))</f>
        <v>194.39999999999984</v>
      </c>
      <c r="CU90" s="18">
        <f>CT90*VLOOKUP('Données projet'!$B$13,Paramètres!$A$1:$I$89,3,0)*VLOOKUP('Données projet'!$B$13,Paramètres!$A$1:$I$89,5,0)</f>
        <v>184.99103999999986</v>
      </c>
      <c r="CV90" s="14">
        <f t="shared" si="95"/>
        <v>46.430826882655602</v>
      </c>
      <c r="CW90" s="22">
        <f t="shared" si="67"/>
        <v>403.05975148729158</v>
      </c>
      <c r="CX90" s="62">
        <f t="shared" si="68"/>
        <v>696.39308482062484</v>
      </c>
      <c r="CY90" s="62">
        <f ca="1">AVERAGE(OFFSET($CX$3,0,0,'Données projet'!$E$13+1,1))-AVERAGE(OFFSET($H$3,0,0,'Données projet'!$E$13+1,1))</f>
        <v>293.996396026019</v>
      </c>
      <c r="CZ90" s="62">
        <f t="shared" si="96"/>
        <v>152.23954167722536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195.80903373714432</v>
      </c>
      <c r="T91" s="62">
        <f t="shared" si="88"/>
        <v>388.30721786668977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18.690654070928264</v>
      </c>
      <c r="AA91" s="23">
        <f>EXP(-LN(2)/25)*AA90+(1-EXP(-LN(2)/25))/(LN(2)/25)*Calculateur!V91*Calculateur!X91*VLOOKUP('Données projet'!$B$9,Paramètres!$A$1:$I$89,3,0)*0.475*44/12</f>
        <v>10.34301745797452</v>
      </c>
      <c r="AB91" s="23">
        <f>EXP(-LN(2)/2)*AB90+(1-EXP(-LN(2)/2))/(LN(2)/2)*V91*Y91*VLOOKUP('Données projet'!$B$9,Paramètres!$A$1:$I$89,3,0)*0.475*44/12</f>
        <v>3.3210508626580364E-7</v>
      </c>
      <c r="AC91" s="24">
        <f t="shared" si="57"/>
        <v>29.033671861007871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-4.9658410716801891E-14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303.33040062722074</v>
      </c>
      <c r="AO91" s="62">
        <f t="shared" si="90"/>
        <v>425.30058672361548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3.92626150129378</v>
      </c>
      <c r="AV91" s="23">
        <f>EXP(-LN(2)/25)*AV90+(1-EXP(-LN(2)/25))/(LN(2)/25)*Calculateur!AQ91*Calculateur!AS91*VLOOKUP('Données projet'!$B$10,Paramètres!$A$1:$I$89,3,0)*0.475*44/12</f>
        <v>6.1625457232430287</v>
      </c>
      <c r="AW91" s="23">
        <f>EXP(-LN(2)/2)*AW90+(1-EXP(-LN(2)/2))/(LN(2)/2)*AQ91*AT91*VLOOKUP('Données projet'!$B$10,Paramètres!$A$1:$I$89,3,0)*0.475*44/12</f>
        <v>2.2075123755606704E-9</v>
      </c>
      <c r="AX91" s="23">
        <f t="shared" si="60"/>
        <v>10.08880722674432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>
        <f>VLOOKUP(A91,'Données projet'!$A$87:$I$107,2,0)</f>
        <v>447</v>
      </c>
      <c r="BB91" s="13">
        <f>VLOOKUP(A91,'Données projet'!$A$87:$I$107,9,0)</f>
        <v>14</v>
      </c>
      <c r="BC91" s="13">
        <f t="array" ref="BC91">INDEX(BB:BB,MIN(IF(ISNUMBER(BB91:BB287),ROW(BB91:BB287),"")))</f>
        <v>14</v>
      </c>
      <c r="BD91" s="13">
        <f>IF('Données projet'!$A$88&gt;35,BD90+BC91-BL90,IF(A91&lt;'Données projet'!$A$88,$BA$205^A91,IF(A91='Données projet'!$A$88,'Données projet'!$B$88,BD90+BC91-BL90)))</f>
        <v>447.00000000000045</v>
      </c>
      <c r="BE91" s="14">
        <f>BD91*VLOOKUP('Données projet'!$B$11,Paramètres!$A$1:$I$89,3,0)*VLOOKUP('Données projet'!$B$11,Paramètres!$A$1:$I$89,5,0)</f>
        <v>209.19600000000023</v>
      </c>
      <c r="BF91" s="14">
        <f t="shared" si="91"/>
        <v>51.759852265375834</v>
      </c>
      <c r="BG91" s="22">
        <f t="shared" si="61"/>
        <v>454.4981093621966</v>
      </c>
      <c r="BH91" s="62">
        <f t="shared" si="62"/>
        <v>747.83144269552986</v>
      </c>
      <c r="BI91" s="62">
        <f ca="1">AVERAGE(OFFSET($BH$3,0,0,'Données projet'!$E$11+1,1))-AVERAGE(OFFSET($H$3,0,0,'Données projet'!$E$11+1,1))</f>
        <v>317.54276561627643</v>
      </c>
      <c r="BJ91" s="62">
        <f t="shared" si="92"/>
        <v>238.92443174298893</v>
      </c>
      <c r="BK91" s="16">
        <f>IF(ISNA(VLOOKUP(A91,'Données projet'!$A$87:$I$107,3,0)),0,VLOOKUP(A91,'Données projet'!$A$87:$I$107,3,0))</f>
        <v>16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-9.9316821433603781E-14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195.30963433439501</v>
      </c>
      <c r="CE91" s="62">
        <f t="shared" si="94"/>
        <v>185.00219255324504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4.2</v>
      </c>
      <c r="CT91" s="13">
        <f>IF('Données projet'!$A$140&gt;35,CT90+CS91-DB90,IF(A91&lt;'Données projet'!$A$140,$CQ$205^A91,IF(A91='Données projet'!$A$140,'Données projet'!$B$140,CT90+CS91-DB90)))</f>
        <v>198.59999999999982</v>
      </c>
      <c r="CU91" s="18">
        <f>CT91*VLOOKUP('Données projet'!$B$13,Paramètres!$A$1:$I$89,3,0)*VLOOKUP('Données projet'!$B$13,Paramètres!$A$1:$I$89,5,0)</f>
        <v>188.98775999999984</v>
      </c>
      <c r="CV91" s="14">
        <f t="shared" si="95"/>
        <v>47.316091431214247</v>
      </c>
      <c r="CW91" s="22">
        <f t="shared" si="67"/>
        <v>411.56254124269782</v>
      </c>
      <c r="CX91" s="62">
        <f t="shared" si="68"/>
        <v>704.89587457603113</v>
      </c>
      <c r="CY91" s="62">
        <f ca="1">AVERAGE(OFFSET($CX$3,0,0,'Données projet'!$E$13+1,1))-AVERAGE(OFFSET($H$3,0,0,'Données projet'!$E$13+1,1))</f>
        <v>293.996396026019</v>
      </c>
      <c r="CZ91" s="62">
        <f t="shared" si="96"/>
        <v>152.23954167722536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195.80903373714432</v>
      </c>
      <c r="T92" s="62">
        <f t="shared" si="88"/>
        <v>388.30721786668977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18.324141744770671</v>
      </c>
      <c r="AA92" s="23">
        <f>EXP(-LN(2)/25)*AA91+(1-EXP(-LN(2)/25))/(LN(2)/25)*Calculateur!V92*Calculateur!X92*VLOOKUP('Données projet'!$B$9,Paramètres!$A$1:$I$89,3,0)*0.475*44/12</f>
        <v>10.060187101670557</v>
      </c>
      <c r="AB92" s="23">
        <f>EXP(-LN(2)/2)*AB91+(1-EXP(-LN(2)/2))/(LN(2)/2)*V92*Y92*VLOOKUP('Données projet'!$B$9,Paramètres!$A$1:$I$89,3,0)*0.475*44/12</f>
        <v>2.3483375856509313E-7</v>
      </c>
      <c r="AC92" s="24">
        <f t="shared" si="57"/>
        <v>28.384329081274988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-4.9658410716801891E-14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303.33040062722074</v>
      </c>
      <c r="AO92" s="62">
        <f t="shared" si="90"/>
        <v>425.30058672361548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3.8492699080364594</v>
      </c>
      <c r="AV92" s="23">
        <f>EXP(-LN(2)/25)*AV91+(1-EXP(-LN(2)/25))/(LN(2)/25)*Calculateur!AQ92*Calculateur!AS92*VLOOKUP('Données projet'!$B$10,Paramètres!$A$1:$I$89,3,0)*0.475*44/12</f>
        <v>5.9940305863667529</v>
      </c>
      <c r="AW92" s="23">
        <f>EXP(-LN(2)/2)*AW91+(1-EXP(-LN(2)/2))/(LN(2)/2)*AQ92*AT92*VLOOKUP('Données projet'!$B$10,Paramètres!$A$1:$I$89,3,0)*0.475*44/12</f>
        <v>1.5609469703121747E-9</v>
      </c>
      <c r="AX92" s="23">
        <f t="shared" si="60"/>
        <v>9.8433004959641597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13</v>
      </c>
      <c r="BD92" s="13">
        <f>IF('Données projet'!$A$88&gt;35,BD91+BC92-BL91,IF(A92&lt;'Données projet'!$A$88,$BA$205^A92,IF(A92='Données projet'!$A$88,'Données projet'!$B$88,BD91+BC92-BL91)))</f>
        <v>460.00000000000045</v>
      </c>
      <c r="BE92" s="14">
        <f>BD92*VLOOKUP('Données projet'!$B$11,Paramètres!$A$1:$I$89,3,0)*VLOOKUP('Données projet'!$B$11,Paramètres!$A$1:$I$89,5,0)</f>
        <v>215.28000000000023</v>
      </c>
      <c r="BF92" s="14">
        <f t="shared" si="91"/>
        <v>53.08772574085318</v>
      </c>
      <c r="BG92" s="22">
        <f t="shared" si="61"/>
        <v>467.40712233198633</v>
      </c>
      <c r="BH92" s="62">
        <f t="shared" si="62"/>
        <v>760.74045566531959</v>
      </c>
      <c r="BI92" s="62">
        <f ca="1">AVERAGE(OFFSET($BH$3,0,0,'Données projet'!$E$11+1,1))-AVERAGE(OFFSET($H$3,0,0,'Données projet'!$E$11+1,1))</f>
        <v>317.54276561627643</v>
      </c>
      <c r="BJ92" s="62">
        <f t="shared" si="92"/>
        <v>238.92443174298893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-9.9316821433603781E-14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195.30963433439501</v>
      </c>
      <c r="CE92" s="62">
        <f t="shared" si="94"/>
        <v>185.00219255324504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4.2</v>
      </c>
      <c r="CT92" s="13">
        <f>IF('Données projet'!$A$140&gt;35,CT91+CS92-DB91,IF(A92&lt;'Données projet'!$A$140,$CQ$205^A92,IF(A92='Données projet'!$A$140,'Données projet'!$B$140,CT91+CS92-DB91)))</f>
        <v>202.79999999999981</v>
      </c>
      <c r="CU92" s="18">
        <f>CT92*VLOOKUP('Données projet'!$B$13,Paramètres!$A$1:$I$89,3,0)*VLOOKUP('Données projet'!$B$13,Paramètres!$A$1:$I$89,5,0)</f>
        <v>192.98447999999982</v>
      </c>
      <c r="CV92" s="14">
        <f t="shared" si="95"/>
        <v>48.19917929323276</v>
      </c>
      <c r="CW92" s="22">
        <f t="shared" si="67"/>
        <v>420.06153993571343</v>
      </c>
      <c r="CX92" s="62">
        <f t="shared" si="68"/>
        <v>713.39487326904668</v>
      </c>
      <c r="CY92" s="62">
        <f ca="1">AVERAGE(OFFSET($CX$3,0,0,'Données projet'!$E$13+1,1))-AVERAGE(OFFSET($H$3,0,0,'Données projet'!$E$13+1,1))</f>
        <v>293.996396026019</v>
      </c>
      <c r="CZ92" s="62">
        <f t="shared" si="96"/>
        <v>152.23954167722536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195.80903373714432</v>
      </c>
      <c r="T93" s="62">
        <f t="shared" si="88"/>
        <v>388.30721786668977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17.964816501778582</v>
      </c>
      <c r="AA93" s="23">
        <f>EXP(-LN(2)/25)*AA92+(1-EXP(-LN(2)/25))/(LN(2)/25)*Calculateur!V93*Calculateur!X93*VLOOKUP('Données projet'!$B$9,Paramètres!$A$1:$I$89,3,0)*0.475*44/12</f>
        <v>9.7850907563331297</v>
      </c>
      <c r="AB93" s="23">
        <f>EXP(-LN(2)/2)*AB92+(1-EXP(-LN(2)/2))/(LN(2)/2)*V93*Y93*VLOOKUP('Données projet'!$B$9,Paramètres!$A$1:$I$89,3,0)*0.475*44/12</f>
        <v>1.6605254313290185E-7</v>
      </c>
      <c r="AC93" s="24">
        <f t="shared" si="57"/>
        <v>27.749907424164256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-4.9658410716801891E-14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303.33040062722074</v>
      </c>
      <c r="AO93" s="62">
        <f t="shared" si="90"/>
        <v>425.30058672361548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3.77378807296268</v>
      </c>
      <c r="AV93" s="23">
        <f>EXP(-LN(2)/25)*AV92+(1-EXP(-LN(2)/25))/(LN(2)/25)*Calculateur!AQ93*Calculateur!AS93*VLOOKUP('Données projet'!$B$10,Paramètres!$A$1:$I$89,3,0)*0.475*44/12</f>
        <v>5.8301235047701851</v>
      </c>
      <c r="AW93" s="23">
        <f>EXP(-LN(2)/2)*AW92+(1-EXP(-LN(2)/2))/(LN(2)/2)*AQ93*AT93*VLOOKUP('Données projet'!$B$10,Paramètres!$A$1:$I$89,3,0)*0.475*44/12</f>
        <v>1.1037561877803352E-9</v>
      </c>
      <c r="AX93" s="23">
        <f t="shared" si="60"/>
        <v>9.6039115788366214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13</v>
      </c>
      <c r="BD93" s="13">
        <f>IF('Données projet'!$A$88&gt;35,BD92+BC93-BL92,IF(A93&lt;'Données projet'!$A$88,$BA$205^A93,IF(A93='Données projet'!$A$88,'Données projet'!$B$88,BD92+BC93-BL92)))</f>
        <v>473.00000000000045</v>
      </c>
      <c r="BE93" s="14">
        <f>BD93*VLOOKUP('Données projet'!$B$11,Paramètres!$A$1:$I$89,3,0)*VLOOKUP('Données projet'!$B$11,Paramètres!$A$1:$I$89,5,0)</f>
        <v>221.3640000000002</v>
      </c>
      <c r="BF93" s="14">
        <f t="shared" si="91"/>
        <v>54.411237653200843</v>
      </c>
      <c r="BG93" s="22">
        <f t="shared" si="61"/>
        <v>480.30853891265838</v>
      </c>
      <c r="BH93" s="62">
        <f t="shared" si="62"/>
        <v>773.64187224599164</v>
      </c>
      <c r="BI93" s="62">
        <f ca="1">AVERAGE(OFFSET($BH$3,0,0,'Données projet'!$E$11+1,1))-AVERAGE(OFFSET($H$3,0,0,'Données projet'!$E$11+1,1))</f>
        <v>317.54276561627643</v>
      </c>
      <c r="BJ93" s="62">
        <f t="shared" si="92"/>
        <v>238.92443174298893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-9.9316821433603781E-14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195.30963433439501</v>
      </c>
      <c r="CE93" s="62">
        <f t="shared" si="94"/>
        <v>185.00219255324504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207</v>
      </c>
      <c r="CR93" s="13">
        <f>VLOOKUP(A93,'Données projet'!$A$139:$I$159,9,0)</f>
        <v>4.2</v>
      </c>
      <c r="CS93" s="13">
        <f t="array" ref="CS93">INDEX(CR:CR,MIN(IF(ISNUMBER(CR93:CR289),ROW(CR93:CR289),"")))</f>
        <v>4.2</v>
      </c>
      <c r="CT93" s="13">
        <f>IF('Données projet'!$A$140&gt;35,CT92+CS93-DB92,IF(A93&lt;'Données projet'!$A$140,$CQ$205^A93,IF(A93='Données projet'!$A$140,'Données projet'!$B$140,CT92+CS93-DB92)))</f>
        <v>206.9999999999998</v>
      </c>
      <c r="CU93" s="18">
        <f>CT93*VLOOKUP('Données projet'!$B$13,Paramètres!$A$1:$I$89,3,0)*VLOOKUP('Données projet'!$B$13,Paramètres!$A$1:$I$89,5,0)</f>
        <v>196.98119999999983</v>
      </c>
      <c r="CV93" s="14">
        <f t="shared" si="95"/>
        <v>49.080140741894091</v>
      </c>
      <c r="CW93" s="22">
        <f t="shared" si="67"/>
        <v>428.55683512546528</v>
      </c>
      <c r="CX93" s="62">
        <f t="shared" si="68"/>
        <v>721.8901684587986</v>
      </c>
      <c r="CY93" s="62">
        <f ca="1">AVERAGE(OFFSET($CX$3,0,0,'Données projet'!$E$13+1,1))-AVERAGE(OFFSET($H$3,0,0,'Données projet'!$E$13+1,1))</f>
        <v>293.996396026019</v>
      </c>
      <c r="CZ93" s="62">
        <f t="shared" si="96"/>
        <v>152.23954167722536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14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195.80903373714432</v>
      </c>
      <c r="T94" s="62">
        <f t="shared" si="88"/>
        <v>388.30721786668977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17.612537407634811</v>
      </c>
      <c r="AA94" s="23">
        <f>EXP(-LN(2)/25)*AA93+(1-EXP(-LN(2)/25))/(LN(2)/25)*Calculateur!V94*Calculateur!X94*VLOOKUP('Données projet'!$B$9,Paramètres!$A$1:$I$89,3,0)*0.475*44/12</f>
        <v>9.5175169350256414</v>
      </c>
      <c r="AB94" s="23">
        <f>EXP(-LN(2)/2)*AB93+(1-EXP(-LN(2)/2))/(LN(2)/2)*V94*Y94*VLOOKUP('Données projet'!$B$9,Paramètres!$A$1:$I$89,3,0)*0.475*44/12</f>
        <v>1.1741687928254658E-7</v>
      </c>
      <c r="AC94" s="24">
        <f t="shared" si="57"/>
        <v>27.130054460077329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-4.9658410716801891E-14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303.33040062722074</v>
      </c>
      <c r="AO94" s="62">
        <f t="shared" si="90"/>
        <v>425.30058672361548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3.6997863906353241</v>
      </c>
      <c r="AV94" s="23">
        <f>EXP(-LN(2)/25)*AV93+(1-EXP(-LN(2)/25))/(LN(2)/25)*Calculateur!AQ94*Calculateur!AS94*VLOOKUP('Données projet'!$B$10,Paramètres!$A$1:$I$89,3,0)*0.475*44/12</f>
        <v>5.6706984709393744</v>
      </c>
      <c r="AW94" s="23">
        <f>EXP(-LN(2)/2)*AW93+(1-EXP(-LN(2)/2))/(LN(2)/2)*AQ94*AT94*VLOOKUP('Données projet'!$B$10,Paramètres!$A$1:$I$89,3,0)*0.475*44/12</f>
        <v>7.8047348515608734E-10</v>
      </c>
      <c r="AX94" s="23">
        <f t="shared" si="60"/>
        <v>9.3704848623551733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13</v>
      </c>
      <c r="BD94" s="13">
        <f>IF('Données projet'!$A$88&gt;35,BD93+BC94-BL93,IF(A94&lt;'Données projet'!$A$88,$BA$205^A94,IF(A94='Données projet'!$A$88,'Données projet'!$B$88,BD93+BC94-BL93)))</f>
        <v>486.00000000000045</v>
      </c>
      <c r="BE94" s="14">
        <f>BD94*VLOOKUP('Données projet'!$B$11,Paramètres!$A$1:$I$89,3,0)*VLOOKUP('Données projet'!$B$11,Paramètres!$A$1:$I$89,5,0)</f>
        <v>227.44800000000021</v>
      </c>
      <c r="BF94" s="14">
        <f t="shared" si="91"/>
        <v>55.730521649800735</v>
      </c>
      <c r="BG94" s="22">
        <f t="shared" si="61"/>
        <v>493.20259187340326</v>
      </c>
      <c r="BH94" s="62">
        <f t="shared" si="62"/>
        <v>786.53592520673658</v>
      </c>
      <c r="BI94" s="62">
        <f ca="1">AVERAGE(OFFSET($BH$3,0,0,'Données projet'!$E$11+1,1))-AVERAGE(OFFSET($H$3,0,0,'Données projet'!$E$11+1,1))</f>
        <v>317.54276561627643</v>
      </c>
      <c r="BJ94" s="62">
        <f t="shared" si="92"/>
        <v>238.92443174298893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-9.9316821433603781E-14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195.30963433439501</v>
      </c>
      <c r="CE94" s="62">
        <f t="shared" si="94"/>
        <v>185.00219255324504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3.8</v>
      </c>
      <c r="CT94" s="13">
        <f>IF('Données projet'!$A$140&gt;35,CT93+CS94-DB93,IF(A94&lt;'Données projet'!$A$140,$CQ$205^A94,IF(A94='Données projet'!$A$140,'Données projet'!$B$140,CT93+CS94-DB93)))</f>
        <v>196.79999999999981</v>
      </c>
      <c r="CU94" s="18">
        <f>CT94*VLOOKUP('Données projet'!$B$13,Paramètres!$A$1:$I$89,3,0)*VLOOKUP('Données projet'!$B$13,Paramètres!$A$1:$I$89,5,0)</f>
        <v>187.27487999999983</v>
      </c>
      <c r="CV94" s="14">
        <f t="shared" si="95"/>
        <v>46.936961883202464</v>
      </c>
      <c r="CW94" s="22">
        <f t="shared" si="67"/>
        <v>407.91895794657734</v>
      </c>
      <c r="CX94" s="62">
        <f t="shared" si="68"/>
        <v>701.25229127991065</v>
      </c>
      <c r="CY94" s="62">
        <f ca="1">AVERAGE(OFFSET($CX$3,0,0,'Données projet'!$E$13+1,1))-AVERAGE(OFFSET($H$3,0,0,'Données projet'!$E$13+1,1))</f>
        <v>293.996396026019</v>
      </c>
      <c r="CZ94" s="62">
        <f t="shared" si="96"/>
        <v>152.23954167722536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195.80903373714432</v>
      </c>
      <c r="T95" s="62">
        <f t="shared" si="88"/>
        <v>388.30721786668977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17.267166291658167</v>
      </c>
      <c r="AA95" s="23">
        <f>EXP(-LN(2)/25)*AA94+(1-EXP(-LN(2)/25))/(LN(2)/25)*Calculateur!V95*Calculateur!X95*VLOOKUP('Données projet'!$B$9,Paramètres!$A$1:$I$89,3,0)*0.475*44/12</f>
        <v>9.257259933932902</v>
      </c>
      <c r="AB95" s="23">
        <f>EXP(-LN(2)/2)*AB94+(1-EXP(-LN(2)/2))/(LN(2)/2)*V95*Y95*VLOOKUP('Données projet'!$B$9,Paramètres!$A$1:$I$89,3,0)*0.475*44/12</f>
        <v>8.3026271566450936E-8</v>
      </c>
      <c r="AC95" s="24">
        <f t="shared" si="57"/>
        <v>26.524426308617343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-4.9658410716801891E-14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303.33040062722074</v>
      </c>
      <c r="AO95" s="62">
        <f t="shared" si="90"/>
        <v>425.30058672361548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3.6272358361618382</v>
      </c>
      <c r="AV95" s="23">
        <f>EXP(-LN(2)/25)*AV94+(1-EXP(-LN(2)/25))/(LN(2)/25)*Calculateur!AQ95*Calculateur!AS95*VLOOKUP('Données projet'!$B$10,Paramètres!$A$1:$I$89,3,0)*0.475*44/12</f>
        <v>5.5156329230424648</v>
      </c>
      <c r="AW95" s="23">
        <f>EXP(-LN(2)/2)*AW94+(1-EXP(-LN(2)/2))/(LN(2)/2)*AQ95*AT95*VLOOKUP('Données projet'!$B$10,Paramètres!$A$1:$I$89,3,0)*0.475*44/12</f>
        <v>5.5187809389016759E-10</v>
      </c>
      <c r="AX95" s="23">
        <f t="shared" si="60"/>
        <v>9.1428687597561815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13</v>
      </c>
      <c r="BD95" s="13">
        <f>IF('Données projet'!$A$88&gt;35,BD94+BC95-BL94,IF(A95&lt;'Données projet'!$A$88,$BA$205^A95,IF(A95='Données projet'!$A$88,'Données projet'!$B$88,BD94+BC95-BL94)))</f>
        <v>499.00000000000045</v>
      </c>
      <c r="BE95" s="14">
        <f>BD95*VLOOKUP('Données projet'!$B$11,Paramètres!$A$1:$I$89,3,0)*VLOOKUP('Données projet'!$B$11,Paramètres!$A$1:$I$89,5,0)</f>
        <v>233.53200000000021</v>
      </c>
      <c r="BF95" s="14">
        <f t="shared" si="91"/>
        <v>57.04570382109813</v>
      </c>
      <c r="BG95" s="22">
        <f t="shared" si="61"/>
        <v>506.08950082174624</v>
      </c>
      <c r="BH95" s="62">
        <f t="shared" si="62"/>
        <v>799.4228341550795</v>
      </c>
      <c r="BI95" s="62">
        <f ca="1">AVERAGE(OFFSET($BH$3,0,0,'Données projet'!$E$11+1,1))-AVERAGE(OFFSET($H$3,0,0,'Données projet'!$E$11+1,1))</f>
        <v>317.54276561627643</v>
      </c>
      <c r="BJ95" s="62">
        <f t="shared" si="92"/>
        <v>238.92443174298893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-9.9316821433603781E-14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195.30963433439501</v>
      </c>
      <c r="CE95" s="62">
        <f t="shared" si="94"/>
        <v>185.00219255324504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3.8</v>
      </c>
      <c r="CT95" s="13">
        <f>IF('Données projet'!$A$140&gt;35,CT94+CS95-DB94,IF(A95&lt;'Données projet'!$A$140,$CQ$205^A95,IF(A95='Données projet'!$A$140,'Données projet'!$B$140,CT94+CS95-DB94)))</f>
        <v>200.59999999999982</v>
      </c>
      <c r="CU95" s="18">
        <f>CT95*VLOOKUP('Données projet'!$B$13,Paramètres!$A$1:$I$89,3,0)*VLOOKUP('Données projet'!$B$13,Paramètres!$A$1:$I$89,5,0)</f>
        <v>190.89095999999984</v>
      </c>
      <c r="CV95" s="14">
        <f t="shared" si="95"/>
        <v>47.736877792326297</v>
      </c>
      <c r="CW95" s="22">
        <f t="shared" si="67"/>
        <v>415.6101508216347</v>
      </c>
      <c r="CX95" s="62">
        <f t="shared" si="68"/>
        <v>708.94348415496802</v>
      </c>
      <c r="CY95" s="62">
        <f ca="1">AVERAGE(OFFSET($CX$3,0,0,'Données projet'!$E$13+1,1))-AVERAGE(OFFSET($H$3,0,0,'Données projet'!$E$13+1,1))</f>
        <v>293.996396026019</v>
      </c>
      <c r="CZ95" s="62">
        <f t="shared" si="96"/>
        <v>152.23954167722536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195.80903373714432</v>
      </c>
      <c r="T96" s="62">
        <f t="shared" si="88"/>
        <v>388.30721786668977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16.928567692610248</v>
      </c>
      <c r="AA96" s="23">
        <f>EXP(-LN(2)/25)*AA95+(1-EXP(-LN(2)/25))/(LN(2)/25)*Calculateur!V96*Calculateur!X96*VLOOKUP('Données projet'!$B$9,Paramètres!$A$1:$I$89,3,0)*0.475*44/12</f>
        <v>9.0041196742213643</v>
      </c>
      <c r="AB96" s="23">
        <f>EXP(-LN(2)/2)*AB95+(1-EXP(-LN(2)/2))/(LN(2)/2)*V96*Y96*VLOOKUP('Données projet'!$B$9,Paramètres!$A$1:$I$89,3,0)*0.475*44/12</f>
        <v>5.8708439641273301E-8</v>
      </c>
      <c r="AC96" s="24">
        <f t="shared" si="57"/>
        <v>25.932687425540053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-4.9658410716801891E-14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303.33040062722074</v>
      </c>
      <c r="AO96" s="62">
        <f t="shared" si="90"/>
        <v>425.30058672361548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3.5561079538101086</v>
      </c>
      <c r="AV96" s="23">
        <f>EXP(-LN(2)/25)*AV95+(1-EXP(-LN(2)/25))/(LN(2)/25)*Calculateur!AQ96*Calculateur!AS96*VLOOKUP('Données projet'!$B$10,Paramètres!$A$1:$I$89,3,0)*0.475*44/12</f>
        <v>5.3648076507073394</v>
      </c>
      <c r="AW96" s="23">
        <f>EXP(-LN(2)/2)*AW95+(1-EXP(-LN(2)/2))/(LN(2)/2)*AQ96*AT96*VLOOKUP('Données projet'!$B$10,Paramètres!$A$1:$I$89,3,0)*0.475*44/12</f>
        <v>3.9023674257804367E-10</v>
      </c>
      <c r="AX96" s="23">
        <f t="shared" si="60"/>
        <v>8.9209156049076856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13</v>
      </c>
      <c r="BD96" s="13">
        <f>IF('Données projet'!$A$88&gt;35,BD95+BC96-BL95,IF(A96&lt;'Données projet'!$A$88,$BA$205^A96,IF(A96='Données projet'!$A$88,'Données projet'!$B$88,BD95+BC96-BL95)))</f>
        <v>512.00000000000045</v>
      </c>
      <c r="BE96" s="14">
        <f>BD96*VLOOKUP('Données projet'!$B$11,Paramètres!$A$1:$I$89,3,0)*VLOOKUP('Données projet'!$B$11,Paramètres!$A$1:$I$89,5,0)</f>
        <v>239.61600000000021</v>
      </c>
      <c r="BF96" s="14">
        <f t="shared" si="91"/>
        <v>58.356903313490214</v>
      </c>
      <c r="BG96" s="22">
        <f t="shared" si="61"/>
        <v>518.96947327099576</v>
      </c>
      <c r="BH96" s="62">
        <f t="shared" si="62"/>
        <v>812.30280660432913</v>
      </c>
      <c r="BI96" s="62">
        <f ca="1">AVERAGE(OFFSET($BH$3,0,0,'Données projet'!$E$11+1,1))-AVERAGE(OFFSET($H$3,0,0,'Données projet'!$E$11+1,1))</f>
        <v>317.54276561627643</v>
      </c>
      <c r="BJ96" s="62">
        <f t="shared" si="92"/>
        <v>238.92443174298893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-9.9316821433603781E-14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195.30963433439501</v>
      </c>
      <c r="CE96" s="62">
        <f t="shared" si="94"/>
        <v>185.00219255324504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3.8</v>
      </c>
      <c r="CT96" s="13">
        <f>IF('Données projet'!$A$140&gt;35,CT95+CS96-DB95,IF(A96&lt;'Données projet'!$A$140,$CQ$205^A96,IF(A96='Données projet'!$A$140,'Données projet'!$B$140,CT95+CS96-DB95)))</f>
        <v>204.39999999999984</v>
      </c>
      <c r="CU96" s="18">
        <f>CT96*VLOOKUP('Données projet'!$B$13,Paramètres!$A$1:$I$89,3,0)*VLOOKUP('Données projet'!$B$13,Paramètres!$A$1:$I$89,5,0)</f>
        <v>194.50703999999985</v>
      </c>
      <c r="CV96" s="14">
        <f t="shared" si="95"/>
        <v>48.535031730585573</v>
      </c>
      <c r="CW96" s="22">
        <f t="shared" si="67"/>
        <v>423.29827493076959</v>
      </c>
      <c r="CX96" s="62">
        <f t="shared" si="68"/>
        <v>716.63160826410285</v>
      </c>
      <c r="CY96" s="62">
        <f ca="1">AVERAGE(OFFSET($CX$3,0,0,'Données projet'!$E$13+1,1))-AVERAGE(OFFSET($H$3,0,0,'Données projet'!$E$13+1,1))</f>
        <v>293.996396026019</v>
      </c>
      <c r="CZ96" s="62">
        <f t="shared" si="96"/>
        <v>152.23954167722536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195.80903373714432</v>
      </c>
      <c r="T97" s="62">
        <f t="shared" si="88"/>
        <v>388.30721786668977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16.596608805564905</v>
      </c>
      <c r="AA97" s="23">
        <f>EXP(-LN(2)/25)*AA96+(1-EXP(-LN(2)/25))/(LN(2)/25)*Calculateur!V97*Calculateur!X97*VLOOKUP('Données projet'!$B$9,Paramètres!$A$1:$I$89,3,0)*0.475*44/12</f>
        <v>8.7579015482237068</v>
      </c>
      <c r="AB97" s="23">
        <f>EXP(-LN(2)/2)*AB96+(1-EXP(-LN(2)/2))/(LN(2)/2)*V97*Y97*VLOOKUP('Données projet'!$B$9,Paramètres!$A$1:$I$89,3,0)*0.475*44/12</f>
        <v>4.1513135783225475E-8</v>
      </c>
      <c r="AC97" s="24">
        <f t="shared" si="57"/>
        <v>25.354510395301748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-4.9658410716801891E-14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303.33040062722074</v>
      </c>
      <c r="AO97" s="62">
        <f t="shared" si="90"/>
        <v>425.30058672361548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3.4863748458475721</v>
      </c>
      <c r="AV97" s="23">
        <f>EXP(-LN(2)/25)*AV96+(1-EXP(-LN(2)/25))/(LN(2)/25)*Calculateur!AQ97*Calculateur!AS97*VLOOKUP('Données projet'!$B$10,Paramètres!$A$1:$I$89,3,0)*0.475*44/12</f>
        <v>5.2181067033757742</v>
      </c>
      <c r="AW97" s="23">
        <f>EXP(-LN(2)/2)*AW96+(1-EXP(-LN(2)/2))/(LN(2)/2)*AQ97*AT97*VLOOKUP('Données projet'!$B$10,Paramètres!$A$1:$I$89,3,0)*0.475*44/12</f>
        <v>2.7593904694508379E-10</v>
      </c>
      <c r="AX97" s="23">
        <f t="shared" si="60"/>
        <v>8.7044815494992847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525</v>
      </c>
      <c r="BB97" s="13">
        <f>VLOOKUP(A97,'Données projet'!$A$87:$I$107,9,0)</f>
        <v>13</v>
      </c>
      <c r="BC97" s="13">
        <f t="array" ref="BC97">INDEX(BB:BB,MIN(IF(ISNUMBER(BB97:BB293),ROW(BB97:BB293),"")))</f>
        <v>13</v>
      </c>
      <c r="BD97" s="13">
        <f>IF('Données projet'!$A$88&gt;35,BD96+BC97-BL96,IF(A97&lt;'Données projet'!$A$88,$BA$205^A97,IF(A97='Données projet'!$A$88,'Données projet'!$B$88,BD96+BC97-BL96)))</f>
        <v>525.00000000000045</v>
      </c>
      <c r="BE97" s="14">
        <f>BD97*VLOOKUP('Données projet'!$B$11,Paramètres!$A$1:$I$89,3,0)*VLOOKUP('Données projet'!$B$11,Paramètres!$A$1:$I$89,5,0)</f>
        <v>245.70000000000022</v>
      </c>
      <c r="BF97" s="14">
        <f t="shared" si="91"/>
        <v>59.66423287821754</v>
      </c>
      <c r="BG97" s="22">
        <f t="shared" si="61"/>
        <v>531.84270559622928</v>
      </c>
      <c r="BH97" s="62">
        <f t="shared" si="62"/>
        <v>825.17603892956254</v>
      </c>
      <c r="BI97" s="62">
        <f ca="1">AVERAGE(OFFSET($BH$3,0,0,'Données projet'!$E$11+1,1))-AVERAGE(OFFSET($H$3,0,0,'Données projet'!$E$11+1,1))</f>
        <v>317.54276561627643</v>
      </c>
      <c r="BJ97" s="62">
        <f t="shared" si="92"/>
        <v>238.92443174298893</v>
      </c>
      <c r="BK97" s="16">
        <f>IF(ISNA(VLOOKUP(A97,'Données projet'!$A$87:$I$107,3,0)),0,VLOOKUP(A97,'Données projet'!$A$87:$I$107,3,0))</f>
        <v>17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-9.9316821433603781E-14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195.30963433439501</v>
      </c>
      <c r="CE97" s="62">
        <f t="shared" si="94"/>
        <v>185.00219255324504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3.8</v>
      </c>
      <c r="CT97" s="13">
        <f>IF('Données projet'!$A$140&gt;35,CT96+CS97-DB96,IF(A97&lt;'Données projet'!$A$140,$CQ$205^A97,IF(A97='Données projet'!$A$140,'Données projet'!$B$140,CT96+CS97-DB96)))</f>
        <v>208.19999999999985</v>
      </c>
      <c r="CU97" s="18">
        <f>CT97*VLOOKUP('Données projet'!$B$13,Paramètres!$A$1:$I$89,3,0)*VLOOKUP('Données projet'!$B$13,Paramètres!$A$1:$I$89,5,0)</f>
        <v>198.12311999999986</v>
      </c>
      <c r="CV97" s="14">
        <f t="shared" si="95"/>
        <v>49.331460232373296</v>
      </c>
      <c r="CW97" s="22">
        <f t="shared" si="67"/>
        <v>430.98339390471659</v>
      </c>
      <c r="CX97" s="62">
        <f t="shared" si="68"/>
        <v>724.31672723804991</v>
      </c>
      <c r="CY97" s="62">
        <f ca="1">AVERAGE(OFFSET($CX$3,0,0,'Données projet'!$E$13+1,1))-AVERAGE(OFFSET($H$3,0,0,'Données projet'!$E$13+1,1))</f>
        <v>293.996396026019</v>
      </c>
      <c r="CZ97" s="62">
        <f t="shared" si="96"/>
        <v>152.23954167722536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195.80903373714432</v>
      </c>
      <c r="T98" s="62">
        <f t="shared" si="88"/>
        <v>388.30721786668977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16.271159429819594</v>
      </c>
      <c r="AA98" s="23">
        <f>EXP(-LN(2)/25)*AA97+(1-EXP(-LN(2)/25))/(LN(2)/25)*Calculateur!V98*Calculateur!X98*VLOOKUP('Données projet'!$B$9,Paramètres!$A$1:$I$89,3,0)*0.475*44/12</f>
        <v>8.518416269829503</v>
      </c>
      <c r="AB98" s="23">
        <f>EXP(-LN(2)/2)*AB97+(1-EXP(-LN(2)/2))/(LN(2)/2)*V98*Y98*VLOOKUP('Données projet'!$B$9,Paramètres!$A$1:$I$89,3,0)*0.475*44/12</f>
        <v>2.9354219820636654E-8</v>
      </c>
      <c r="AC98" s="24">
        <f t="shared" si="57"/>
        <v>24.789575729003317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-4.9658410716801891E-14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303.33040062722074</v>
      </c>
      <c r="AO98" s="62">
        <f t="shared" si="90"/>
        <v>425.30058672361548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3.4180091615991848</v>
      </c>
      <c r="AV98" s="23">
        <f>EXP(-LN(2)/25)*AV97+(1-EXP(-LN(2)/25))/(LN(2)/25)*Calculateur!AQ98*Calculateur!AS98*VLOOKUP('Données projet'!$B$10,Paramètres!$A$1:$I$89,3,0)*0.475*44/12</f>
        <v>5.0754173011636583</v>
      </c>
      <c r="AW98" s="23">
        <f>EXP(-LN(2)/2)*AW97+(1-EXP(-LN(2)/2))/(LN(2)/2)*AQ98*AT98*VLOOKUP('Données projet'!$B$10,Paramètres!$A$1:$I$89,3,0)*0.475*44/12</f>
        <v>1.9511837128902183E-10</v>
      </c>
      <c r="AX98" s="23">
        <f t="shared" si="60"/>
        <v>8.4934264629579612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538</v>
      </c>
      <c r="BB98" s="13">
        <f>VLOOKUP(A98,'Données projet'!$A$87:$I$107,9,0)</f>
        <v>13</v>
      </c>
      <c r="BC98" s="13">
        <f t="array" ref="BC98">INDEX(BB:BB,MIN(IF(ISNUMBER(BB98:BB294),ROW(BB98:BB294),"")))</f>
        <v>13</v>
      </c>
      <c r="BD98" s="13">
        <f>IF('Données projet'!$A$88&gt;35,BD97+BC98-BL97,IF(A98&lt;'Données projet'!$A$88,$BA$205^A98,IF(A98='Données projet'!$A$88,'Données projet'!$B$88,BD97+BC98-BL97)))</f>
        <v>538.00000000000045</v>
      </c>
      <c r="BE98" s="14">
        <f>BD98*VLOOKUP('Données projet'!$B$11,Paramètres!$A$1:$I$89,3,0)*VLOOKUP('Données projet'!$B$11,Paramètres!$A$1:$I$89,5,0)</f>
        <v>251.78400000000019</v>
      </c>
      <c r="BF98" s="14">
        <f t="shared" si="91"/>
        <v>60.967799364357568</v>
      </c>
      <c r="BG98" s="22">
        <f t="shared" si="61"/>
        <v>544.70938389292303</v>
      </c>
      <c r="BH98" s="62">
        <f t="shared" si="62"/>
        <v>838.0427172262564</v>
      </c>
      <c r="BI98" s="62">
        <f ca="1">AVERAGE(OFFSET($BH$3,0,0,'Données projet'!$E$11+1,1))-AVERAGE(OFFSET($H$3,0,0,'Données projet'!$E$11+1,1))</f>
        <v>317.54276561627643</v>
      </c>
      <c r="BJ98" s="62">
        <f t="shared" si="92"/>
        <v>238.92443174298893</v>
      </c>
      <c r="BK98" s="16">
        <f>IF(ISNA(VLOOKUP(A98,'Données projet'!$A$87:$I$107,3,0)),0,VLOOKUP(A98,'Données projet'!$A$87:$I$107,3,0))</f>
        <v>18</v>
      </c>
      <c r="BL98" s="16">
        <f>IF(ISNA(VLOOKUP(A98,'Données projet'!$A$87:$I$107,4,0)),0,VLOOKUP(A98,'Données projet'!$A$87:$I$107,4,0))</f>
        <v>269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-9.9316821433603781E-14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195.30963433439501</v>
      </c>
      <c r="CE98" s="62">
        <f t="shared" si="94"/>
        <v>185.00219255324504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212</v>
      </c>
      <c r="CR98" s="13">
        <f>VLOOKUP(A98,'Données projet'!$A$139:$I$159,9,0)</f>
        <v>3.8</v>
      </c>
      <c r="CS98" s="13">
        <f t="array" ref="CS98">INDEX(CR:CR,MIN(IF(ISNUMBER(CR98:CR294),ROW(CR98:CR294),"")))</f>
        <v>3.8</v>
      </c>
      <c r="CT98" s="13">
        <f>IF('Données projet'!$A$140&gt;35,CT97+CS98-DB97,IF(A98&lt;'Données projet'!$A$140,$CQ$205^A98,IF(A98='Données projet'!$A$140,'Données projet'!$B$140,CT97+CS98-DB97)))</f>
        <v>211.99999999999986</v>
      </c>
      <c r="CU98" s="18">
        <f>CT98*VLOOKUP('Données projet'!$B$13,Paramètres!$A$1:$I$89,3,0)*VLOOKUP('Données projet'!$B$13,Paramètres!$A$1:$I$89,5,0)</f>
        <v>201.73919999999987</v>
      </c>
      <c r="CV98" s="14">
        <f t="shared" si="95"/>
        <v>50.126198422100671</v>
      </c>
      <c r="CW98" s="22">
        <f t="shared" si="67"/>
        <v>438.66556891849177</v>
      </c>
      <c r="CX98" s="62">
        <f t="shared" si="68"/>
        <v>731.99890225182503</v>
      </c>
      <c r="CY98" s="62">
        <f ca="1">AVERAGE(OFFSET($CX$3,0,0,'Données projet'!$E$13+1,1))-AVERAGE(OFFSET($H$3,0,0,'Données projet'!$E$13+1,1))</f>
        <v>293.996396026019</v>
      </c>
      <c r="CZ98" s="62">
        <f t="shared" si="96"/>
        <v>152.23954167722536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14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195.80903373714432</v>
      </c>
      <c r="T99" s="62">
        <f t="shared" si="88"/>
        <v>388.30721786668977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15.952091917828128</v>
      </c>
      <c r="AA99" s="23">
        <f>EXP(-LN(2)/25)*AA98+(1-EXP(-LN(2)/25))/(LN(2)/25)*Calculateur!V99*Calculateur!X99*VLOOKUP('Données projet'!$B$9,Paramètres!$A$1:$I$89,3,0)*0.475*44/12</f>
        <v>8.2854797289669726</v>
      </c>
      <c r="AB99" s="23">
        <f>EXP(-LN(2)/2)*AB98+(1-EXP(-LN(2)/2))/(LN(2)/2)*V99*Y99*VLOOKUP('Données projet'!$B$9,Paramètres!$A$1:$I$89,3,0)*0.475*44/12</f>
        <v>2.0756567891612741E-8</v>
      </c>
      <c r="AC99" s="24">
        <f t="shared" si="57"/>
        <v>24.237571667551666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-4.9658410716801891E-14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303.33040062722074</v>
      </c>
      <c r="AO99" s="62">
        <f t="shared" si="90"/>
        <v>425.30058672361548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3.3509840867199583</v>
      </c>
      <c r="AV99" s="23">
        <f>EXP(-LN(2)/25)*AV98+(1-EXP(-LN(2)/25))/(LN(2)/25)*Calculateur!AQ99*Calculateur!AS99*VLOOKUP('Données projet'!$B$10,Paramètres!$A$1:$I$89,3,0)*0.475*44/12</f>
        <v>4.936629748158742</v>
      </c>
      <c r="AW99" s="23">
        <f>EXP(-LN(2)/2)*AW98+(1-EXP(-LN(2)/2))/(LN(2)/2)*AQ99*AT99*VLOOKUP('Données projet'!$B$10,Paramètres!$A$1:$I$89,3,0)*0.475*44/12</f>
        <v>1.379695234725419E-10</v>
      </c>
      <c r="AX99" s="23">
        <f t="shared" si="60"/>
        <v>8.2876138350166695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>
        <f>VLOOKUP(A99,'Données projet'!$A$87:$I$107,2,0)</f>
        <v>280</v>
      </c>
      <c r="BB99" s="13">
        <f>VLOOKUP(A99,'Données projet'!$A$87:$I$107,9,0)</f>
        <v>11</v>
      </c>
      <c r="BC99" s="13">
        <f t="array" ref="BC99">INDEX(BB:BB,MIN(IF(ISNUMBER(BB99:BB295),ROW(BB99:BB295),"")))</f>
        <v>11</v>
      </c>
      <c r="BD99" s="13">
        <f>IF('Données projet'!$A$88&gt;35,BD98+BC99-BL98,IF(A99&lt;'Données projet'!$A$88,$BA$205^A99,IF(A99='Données projet'!$A$88,'Données projet'!$B$88,BD98+BC99-BL98)))</f>
        <v>280.00000000000045</v>
      </c>
      <c r="BE99" s="14">
        <f>BD99*VLOOKUP('Données projet'!$B$11,Paramètres!$A$1:$I$89,3,0)*VLOOKUP('Données projet'!$B$11,Paramètres!$A$1:$I$89,5,0)</f>
        <v>131.04000000000019</v>
      </c>
      <c r="BF99" s="14">
        <f t="shared" si="91"/>
        <v>34.236561238949953</v>
      </c>
      <c r="BG99" s="22">
        <f t="shared" si="61"/>
        <v>287.85667749117147</v>
      </c>
      <c r="BH99" s="62">
        <f t="shared" si="62"/>
        <v>581.19001082450472</v>
      </c>
      <c r="BI99" s="62">
        <f ca="1">AVERAGE(OFFSET($BH$3,0,0,'Données projet'!$E$11+1,1))-AVERAGE(OFFSET($H$3,0,0,'Données projet'!$E$11+1,1))</f>
        <v>317.54276561627643</v>
      </c>
      <c r="BJ99" s="62">
        <f t="shared" si="92"/>
        <v>238.92443174298893</v>
      </c>
      <c r="BK99" s="16">
        <f>IF(ISNA(VLOOKUP(A99,'Données projet'!$A$87:$I$107,3,0)),0,VLOOKUP(A99,'Données projet'!$A$87:$I$107,3,0))</f>
        <v>19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-9.9316821433603781E-14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195.30963433439501</v>
      </c>
      <c r="CE99" s="62">
        <f t="shared" si="94"/>
        <v>185.00219255324504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3.6</v>
      </c>
      <c r="CT99" s="13">
        <f>IF('Données projet'!$A$140&gt;35,CT98+CS99-DB98,IF(A99&lt;'Données projet'!$A$140,$CQ$205^A99,IF(A99='Données projet'!$A$140,'Données projet'!$B$140,CT98+CS99-DB98)))</f>
        <v>201.59999999999985</v>
      </c>
      <c r="CU99" s="18">
        <f>CT99*VLOOKUP('Données projet'!$B$13,Paramètres!$A$1:$I$89,3,0)*VLOOKUP('Données projet'!$B$13,Paramètres!$A$1:$I$89,5,0)</f>
        <v>191.84255999999988</v>
      </c>
      <c r="CV99" s="14">
        <f t="shared" si="95"/>
        <v>47.947087613384802</v>
      </c>
      <c r="CW99" s="22">
        <f t="shared" si="67"/>
        <v>417.63363625997835</v>
      </c>
      <c r="CX99" s="62">
        <f t="shared" si="68"/>
        <v>710.96696959331166</v>
      </c>
      <c r="CY99" s="62">
        <f ca="1">AVERAGE(OFFSET($CX$3,0,0,'Données projet'!$E$13+1,1))-AVERAGE(OFFSET($H$3,0,0,'Données projet'!$E$13+1,1))</f>
        <v>293.996396026019</v>
      </c>
      <c r="CZ99" s="62">
        <f t="shared" si="96"/>
        <v>152.23954167722536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195.80903373714432</v>
      </c>
      <c r="T100" s="62">
        <f t="shared" si="88"/>
        <v>388.30721786668977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15.639281125134849</v>
      </c>
      <c r="AA100" s="23">
        <f>EXP(-LN(2)/25)*AA99+(1-EXP(-LN(2)/25))/(LN(2)/25)*Calculateur!V100*Calculateur!X100*VLOOKUP('Données projet'!$B$9,Paramètres!$A$1:$I$89,3,0)*0.475*44/12</f>
        <v>8.058912850063928</v>
      </c>
      <c r="AB100" s="23">
        <f>EXP(-LN(2)/2)*AB99+(1-EXP(-LN(2)/2))/(LN(2)/2)*V100*Y100*VLOOKUP('Données projet'!$B$9,Paramètres!$A$1:$I$89,3,0)*0.475*44/12</f>
        <v>1.4677109910318329E-8</v>
      </c>
      <c r="AC100" s="24">
        <f t="shared" si="57"/>
        <v>23.698193989875886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-4.9658410716801891E-14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303.33040062722074</v>
      </c>
      <c r="AO100" s="62">
        <f t="shared" si="90"/>
        <v>425.30058672361548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3.2852733326778547</v>
      </c>
      <c r="AV100" s="23">
        <f>EXP(-LN(2)/25)*AV99+(1-EXP(-LN(2)/25))/(LN(2)/25)*Calculateur!AQ100*Calculateur!AS100*VLOOKUP('Données projet'!$B$10,Paramètres!$A$1:$I$89,3,0)*0.475*44/12</f>
        <v>4.8016373480892653</v>
      </c>
      <c r="AW100" s="23">
        <f>EXP(-LN(2)/2)*AW99+(1-EXP(-LN(2)/2))/(LN(2)/2)*AQ100*AT100*VLOOKUP('Données projet'!$B$10,Paramètres!$A$1:$I$89,3,0)*0.475*44/12</f>
        <v>9.7559185644510917E-11</v>
      </c>
      <c r="AX100" s="23">
        <f t="shared" si="60"/>
        <v>8.0869106808646798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8.5555555555555554</v>
      </c>
      <c r="BD100" s="13">
        <f>IF('Données projet'!$A$88&gt;35,BD99+BC100-BL99,IF(A100&lt;'Données projet'!$A$88,$BA$205^A100,IF(A100='Données projet'!$A$88,'Données projet'!$B$88,BD99+BC100-BL99)))</f>
        <v>288.555555555556</v>
      </c>
      <c r="BE100" s="14">
        <f>BD100*VLOOKUP('Données projet'!$B$11,Paramètres!$A$1:$I$89,3,0)*VLOOKUP('Données projet'!$B$11,Paramètres!$A$1:$I$89,5,0)</f>
        <v>135.04400000000021</v>
      </c>
      <c r="BF100" s="14">
        <f t="shared" si="91"/>
        <v>35.159284945629004</v>
      </c>
      <c r="BG100" s="22">
        <f t="shared" si="61"/>
        <v>296.43738794697089</v>
      </c>
      <c r="BH100" s="62">
        <f t="shared" si="62"/>
        <v>589.7707212803042</v>
      </c>
      <c r="BI100" s="62">
        <f ca="1">AVERAGE(OFFSET($BH$3,0,0,'Données projet'!$E$11+1,1))-AVERAGE(OFFSET($H$3,0,0,'Données projet'!$E$11+1,1))</f>
        <v>317.54276561627643</v>
      </c>
      <c r="BJ100" s="62">
        <f t="shared" si="92"/>
        <v>238.92443174298893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-9.9316821433603781E-14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195.30963433439501</v>
      </c>
      <c r="CE100" s="62">
        <f t="shared" si="94"/>
        <v>185.00219255324504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3.6</v>
      </c>
      <c r="CT100" s="13">
        <f>IF('Données projet'!$A$140&gt;35,CT99+CS100-DB99,IF(A100&lt;'Données projet'!$A$140,$CQ$205^A100,IF(A100='Données projet'!$A$140,'Données projet'!$B$140,CT99+CS100-DB99)))</f>
        <v>205.19999999999985</v>
      </c>
      <c r="CU100" s="18">
        <f>CT100*VLOOKUP('Données projet'!$B$13,Paramètres!$A$1:$I$89,3,0)*VLOOKUP('Données projet'!$B$13,Paramètres!$A$1:$I$89,5,0)</f>
        <v>195.26831999999985</v>
      </c>
      <c r="CV100" s="14">
        <f t="shared" si="95"/>
        <v>48.70284307850546</v>
      </c>
      <c r="CW100" s="22">
        <f t="shared" si="67"/>
        <v>424.91644236173005</v>
      </c>
      <c r="CX100" s="62">
        <f t="shared" si="68"/>
        <v>718.24977569506336</v>
      </c>
      <c r="CY100" s="62">
        <f ca="1">AVERAGE(OFFSET($CX$3,0,0,'Données projet'!$E$13+1,1))-AVERAGE(OFFSET($H$3,0,0,'Données projet'!$E$13+1,1))</f>
        <v>293.996396026019</v>
      </c>
      <c r="CZ100" s="62">
        <f t="shared" si="96"/>
        <v>152.23954167722536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195.80903373714432</v>
      </c>
      <c r="T101" s="62">
        <f t="shared" si="88"/>
        <v>388.30721786668977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15.33260436129054</v>
      </c>
      <c r="AA101" s="23">
        <f>EXP(-LN(2)/25)*AA100+(1-EXP(-LN(2)/25))/(LN(2)/25)*Calculateur!V101*Calculateur!X101*VLOOKUP('Données projet'!$B$9,Paramètres!$A$1:$I$89,3,0)*0.475*44/12</f>
        <v>7.8385414543791221</v>
      </c>
      <c r="AB101" s="23">
        <f>EXP(-LN(2)/2)*AB100+(1-EXP(-LN(2)/2))/(LN(2)/2)*V101*Y101*VLOOKUP('Données projet'!$B$9,Paramètres!$A$1:$I$89,3,0)*0.475*44/12</f>
        <v>1.0378283945806372E-8</v>
      </c>
      <c r="AC101" s="24">
        <f t="shared" si="57"/>
        <v>23.171145826047944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-4.9658410716801891E-14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303.33040062722074</v>
      </c>
      <c r="AO101" s="62">
        <f t="shared" si="90"/>
        <v>425.30058672361548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3.220851126442914</v>
      </c>
      <c r="AV101" s="23">
        <f>EXP(-LN(2)/25)*AV100+(1-EXP(-LN(2)/25))/(LN(2)/25)*Calculateur!AQ101*Calculateur!AS101*VLOOKUP('Données projet'!$B$10,Paramètres!$A$1:$I$89,3,0)*0.475*44/12</f>
        <v>4.6703363222986303</v>
      </c>
      <c r="AW101" s="23">
        <f>EXP(-LN(2)/2)*AW100+(1-EXP(-LN(2)/2))/(LN(2)/2)*AQ101*AT101*VLOOKUP('Données projet'!$B$10,Paramètres!$A$1:$I$89,3,0)*0.475*44/12</f>
        <v>6.8984761736270949E-11</v>
      </c>
      <c r="AX101" s="23">
        <f t="shared" si="60"/>
        <v>7.8911874488105287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8.5555555555555554</v>
      </c>
      <c r="BD101" s="13">
        <f>IF('Données projet'!$A$88&gt;35,BD100+BC101-BL100,IF(A101&lt;'Données projet'!$A$88,$BA$205^A101,IF(A101='Données projet'!$A$88,'Données projet'!$B$88,BD100+BC101-BL100)))</f>
        <v>297.11111111111154</v>
      </c>
      <c r="BE101" s="14">
        <f>BD101*VLOOKUP('Données projet'!$B$11,Paramètres!$A$1:$I$89,3,0)*VLOOKUP('Données projet'!$B$11,Paramètres!$A$1:$I$89,5,0)</f>
        <v>139.0480000000002</v>
      </c>
      <c r="BF101" s="14">
        <f t="shared" si="91"/>
        <v>36.078829132999324</v>
      </c>
      <c r="BG101" s="22">
        <f t="shared" si="61"/>
        <v>305.01256073997416</v>
      </c>
      <c r="BH101" s="62">
        <f t="shared" si="62"/>
        <v>598.34589407330748</v>
      </c>
      <c r="BI101" s="62">
        <f ca="1">AVERAGE(OFFSET($BH$3,0,0,'Données projet'!$E$11+1,1))-AVERAGE(OFFSET($H$3,0,0,'Données projet'!$E$11+1,1))</f>
        <v>317.54276561627643</v>
      </c>
      <c r="BJ101" s="62">
        <f t="shared" si="92"/>
        <v>238.92443174298893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-9.9316821433603781E-14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195.30963433439501</v>
      </c>
      <c r="CE101" s="62">
        <f t="shared" si="94"/>
        <v>185.00219255324504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3.6</v>
      </c>
      <c r="CT101" s="13">
        <f>IF('Données projet'!$A$140&gt;35,CT100+CS101-DB100,IF(A101&lt;'Données projet'!$A$140,$CQ$205^A101,IF(A101='Données projet'!$A$140,'Données projet'!$B$140,CT100+CS101-DB100)))</f>
        <v>208.79999999999984</v>
      </c>
      <c r="CU101" s="18">
        <f>CT101*VLOOKUP('Données projet'!$B$13,Paramètres!$A$1:$I$89,3,0)*VLOOKUP('Données projet'!$B$13,Paramètres!$A$1:$I$89,5,0)</f>
        <v>198.69407999999984</v>
      </c>
      <c r="CV101" s="14">
        <f t="shared" si="95"/>
        <v>49.457056702547348</v>
      </c>
      <c r="CW101" s="22">
        <f t="shared" si="67"/>
        <v>432.19656309026976</v>
      </c>
      <c r="CX101" s="62">
        <f t="shared" si="68"/>
        <v>725.52989642360308</v>
      </c>
      <c r="CY101" s="62">
        <f ca="1">AVERAGE(OFFSET($CX$3,0,0,'Données projet'!$E$13+1,1))-AVERAGE(OFFSET($H$3,0,0,'Données projet'!$E$13+1,1))</f>
        <v>293.996396026019</v>
      </c>
      <c r="CZ101" s="62">
        <f t="shared" si="96"/>
        <v>152.23954167722536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195.80903373714432</v>
      </c>
      <c r="T102" s="62">
        <f t="shared" si="88"/>
        <v>388.30721786668977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15.031941341730864</v>
      </c>
      <c r="AA102" s="23">
        <f>EXP(-LN(2)/25)*AA101+(1-EXP(-LN(2)/25))/(LN(2)/25)*Calculateur!V102*Calculateur!X102*VLOOKUP('Données projet'!$B$9,Paramètres!$A$1:$I$89,3,0)*0.475*44/12</f>
        <v>7.6241961260981448</v>
      </c>
      <c r="AB102" s="23">
        <f>EXP(-LN(2)/2)*AB101+(1-EXP(-LN(2)/2))/(LN(2)/2)*V102*Y102*VLOOKUP('Données projet'!$B$9,Paramètres!$A$1:$I$89,3,0)*0.475*44/12</f>
        <v>7.338554955159166E-9</v>
      </c>
      <c r="AC102" s="24">
        <f t="shared" si="57"/>
        <v>22.656137475167565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-4.9658410716801891E-14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303.33040062722074</v>
      </c>
      <c r="AO102" s="62">
        <f t="shared" si="90"/>
        <v>425.30058672361548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3.157692200378575</v>
      </c>
      <c r="AV102" s="23">
        <f>EXP(-LN(2)/25)*AV101+(1-EXP(-LN(2)/25))/(LN(2)/25)*Calculateur!AQ102*Calculateur!AS102*VLOOKUP('Données projet'!$B$10,Paramètres!$A$1:$I$89,3,0)*0.475*44/12</f>
        <v>4.5426257299630608</v>
      </c>
      <c r="AW102" s="23">
        <f>EXP(-LN(2)/2)*AW101+(1-EXP(-LN(2)/2))/(LN(2)/2)*AQ102*AT102*VLOOKUP('Données projet'!$B$10,Paramètres!$A$1:$I$89,3,0)*0.475*44/12</f>
        <v>4.8779592822255459E-11</v>
      </c>
      <c r="AX102" s="23">
        <f t="shared" si="60"/>
        <v>7.7003179303904155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8.5555555555555554</v>
      </c>
      <c r="BD102" s="13">
        <f>IF('Données projet'!$A$88&gt;35,BD101+BC102-BL101,IF(A102&lt;'Données projet'!$A$88,$BA$205^A102,IF(A102='Données projet'!$A$88,'Données projet'!$B$88,BD101+BC102-BL101)))</f>
        <v>305.66666666666708</v>
      </c>
      <c r="BE102" s="14">
        <f>BD102*VLOOKUP('Données projet'!$B$11,Paramètres!$A$1:$I$89,3,0)*VLOOKUP('Données projet'!$B$11,Paramètres!$A$1:$I$89,5,0)</f>
        <v>143.05200000000019</v>
      </c>
      <c r="BF102" s="14">
        <f t="shared" si="91"/>
        <v>36.995295872593921</v>
      </c>
      <c r="BG102" s="22">
        <f t="shared" si="61"/>
        <v>313.58237364476804</v>
      </c>
      <c r="BH102" s="62">
        <f t="shared" si="62"/>
        <v>606.9157069781013</v>
      </c>
      <c r="BI102" s="62">
        <f ca="1">AVERAGE(OFFSET($BH$3,0,0,'Données projet'!$E$11+1,1))-AVERAGE(OFFSET($H$3,0,0,'Données projet'!$E$11+1,1))</f>
        <v>317.54276561627643</v>
      </c>
      <c r="BJ102" s="62">
        <f t="shared" si="92"/>
        <v>238.92443174298893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-9.9316821433603781E-14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195.30963433439501</v>
      </c>
      <c r="CE102" s="62">
        <f t="shared" si="94"/>
        <v>185.00219255324504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3.6</v>
      </c>
      <c r="CT102" s="13">
        <f>IF('Données projet'!$A$140&gt;35,CT101+CS102-DB101,IF(A102&lt;'Données projet'!$A$140,$CQ$205^A102,IF(A102='Données projet'!$A$140,'Données projet'!$B$140,CT101+CS102-DB101)))</f>
        <v>212.39999999999984</v>
      </c>
      <c r="CU102" s="18">
        <f>CT102*VLOOKUP('Données projet'!$B$13,Paramètres!$A$1:$I$89,3,0)*VLOOKUP('Données projet'!$B$13,Paramètres!$A$1:$I$89,5,0)</f>
        <v>202.11983999999987</v>
      </c>
      <c r="CV102" s="14">
        <f t="shared" si="95"/>
        <v>50.209758136493654</v>
      </c>
      <c r="CW102" s="22">
        <f t="shared" si="67"/>
        <v>439.47405008772625</v>
      </c>
      <c r="CX102" s="62">
        <f t="shared" si="68"/>
        <v>732.80738342105951</v>
      </c>
      <c r="CY102" s="62">
        <f ca="1">AVERAGE(OFFSET($CX$3,0,0,'Données projet'!$E$13+1,1))-AVERAGE(OFFSET($H$3,0,0,'Données projet'!$E$13+1,1))</f>
        <v>293.996396026019</v>
      </c>
      <c r="CZ102" s="62">
        <f t="shared" si="96"/>
        <v>152.23954167722536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195.80903373714432</v>
      </c>
      <c r="T103" s="62">
        <f t="shared" si="88"/>
        <v>388.30721786668977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14.737174140598418</v>
      </c>
      <c r="AA103" s="23">
        <f>EXP(-LN(2)/25)*AA102+(1-EXP(-LN(2)/25))/(LN(2)/25)*Calculateur!V103*Calculateur!X103*VLOOKUP('Données projet'!$B$9,Paramètres!$A$1:$I$89,3,0)*0.475*44/12</f>
        <v>7.4157120820909421</v>
      </c>
      <c r="AB103" s="23">
        <f>EXP(-LN(2)/2)*AB102+(1-EXP(-LN(2)/2))/(LN(2)/2)*V103*Y103*VLOOKUP('Données projet'!$B$9,Paramètres!$A$1:$I$89,3,0)*0.475*44/12</f>
        <v>5.1891419729031868E-9</v>
      </c>
      <c r="AC103" s="24">
        <f t="shared" si="57"/>
        <v>22.152886227878504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-4.9658410716801891E-14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303.33040062722074</v>
      </c>
      <c r="AO103" s="62">
        <f t="shared" si="90"/>
        <v>425.30058672361548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3.0957717823312163</v>
      </c>
      <c r="AV103" s="23">
        <f>EXP(-LN(2)/25)*AV102+(1-EXP(-LN(2)/25))/(LN(2)/25)*Calculateur!AQ103*Calculateur!AS103*VLOOKUP('Données projet'!$B$10,Paramètres!$A$1:$I$89,3,0)*0.475*44/12</f>
        <v>4.4184073904909162</v>
      </c>
      <c r="AW103" s="23">
        <f>EXP(-LN(2)/2)*AW102+(1-EXP(-LN(2)/2))/(LN(2)/2)*AQ103*AT103*VLOOKUP('Données projet'!$B$10,Paramètres!$A$1:$I$89,3,0)*0.475*44/12</f>
        <v>3.4492380868135474E-11</v>
      </c>
      <c r="AX103" s="23">
        <f t="shared" si="60"/>
        <v>7.5141791728566245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8.5555555555555554</v>
      </c>
      <c r="BD103" s="13">
        <f>IF('Données projet'!$A$88&gt;35,BD102+BC103-BL102,IF(A103&lt;'Données projet'!$A$88,$BA$205^A103,IF(A103='Données projet'!$A$88,'Données projet'!$B$88,BD102+BC103-BL102)))</f>
        <v>314.22222222222263</v>
      </c>
      <c r="BE103" s="14">
        <f>BD103*VLOOKUP('Données projet'!$B$11,Paramètres!$A$1:$I$89,3,0)*VLOOKUP('Données projet'!$B$11,Paramètres!$A$1:$I$89,5,0)</f>
        <v>147.05600000000018</v>
      </c>
      <c r="BF103" s="14">
        <f t="shared" si="91"/>
        <v>37.908781196921652</v>
      </c>
      <c r="BG103" s="22">
        <f t="shared" si="61"/>
        <v>322.14699391797217</v>
      </c>
      <c r="BH103" s="62">
        <f t="shared" si="62"/>
        <v>615.48032725130543</v>
      </c>
      <c r="BI103" s="62">
        <f ca="1">AVERAGE(OFFSET($BH$3,0,0,'Données projet'!$E$11+1,1))-AVERAGE(OFFSET($H$3,0,0,'Données projet'!$E$11+1,1))</f>
        <v>317.54276561627643</v>
      </c>
      <c r="BJ103" s="62">
        <f t="shared" si="92"/>
        <v>238.92443174298893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-9.9316821433603781E-14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195.30963433439501</v>
      </c>
      <c r="CE103" s="62">
        <f t="shared" si="94"/>
        <v>185.00219255324504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216</v>
      </c>
      <c r="CR103" s="13">
        <f>VLOOKUP(A103,'Données projet'!$A$139:$I$159,9,0)</f>
        <v>3.6</v>
      </c>
      <c r="CS103" s="13">
        <f t="array" ref="CS103">INDEX(CR:CR,MIN(IF(ISNUMBER(CR103:CR299),ROW(CR103:CR299),"")))</f>
        <v>3.6</v>
      </c>
      <c r="CT103" s="13">
        <f>IF('Données projet'!$A$140&gt;35,CT102+CS103-DB102,IF(A103&lt;'Données projet'!$A$140,$CQ$205^A103,IF(A103='Données projet'!$A$140,'Données projet'!$B$140,CT102+CS103-DB102)))</f>
        <v>215.99999999999983</v>
      </c>
      <c r="CU103" s="18">
        <f>CT103*VLOOKUP('Données projet'!$B$13,Paramètres!$A$1:$I$89,3,0)*VLOOKUP('Données projet'!$B$13,Paramètres!$A$1:$I$89,5,0)</f>
        <v>205.54559999999987</v>
      </c>
      <c r="CV103" s="14">
        <f t="shared" si="95"/>
        <v>50.960975968608096</v>
      </c>
      <c r="CW103" s="22">
        <f t="shared" si="67"/>
        <v>446.74895314532552</v>
      </c>
      <c r="CX103" s="62">
        <f t="shared" si="68"/>
        <v>740.08228647865883</v>
      </c>
      <c r="CY103" s="62">
        <f ca="1">AVERAGE(OFFSET($CX$3,0,0,'Données projet'!$E$13+1,1))-AVERAGE(OFFSET($H$3,0,0,'Données projet'!$E$13+1,1))</f>
        <v>293.996396026019</v>
      </c>
      <c r="CZ103" s="62">
        <f t="shared" si="96"/>
        <v>152.23954167722536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13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195.80903373714432</v>
      </c>
      <c r="T104" s="62">
        <f t="shared" si="88"/>
        <v>388.30721786668977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14.448187144489939</v>
      </c>
      <c r="AA104" s="23">
        <f>EXP(-LN(2)/25)*AA103+(1-EXP(-LN(2)/25))/(LN(2)/25)*Calculateur!V104*Calculateur!X104*VLOOKUP('Données projet'!$B$9,Paramètres!$A$1:$I$89,3,0)*0.475*44/12</f>
        <v>7.2129290452308155</v>
      </c>
      <c r="AB104" s="23">
        <f>EXP(-LN(2)/2)*AB103+(1-EXP(-LN(2)/2))/(LN(2)/2)*V104*Y104*VLOOKUP('Données projet'!$B$9,Paramètres!$A$1:$I$89,3,0)*0.475*44/12</f>
        <v>3.6692774775795834E-9</v>
      </c>
      <c r="AC104" s="24">
        <f t="shared" si="57"/>
        <v>21.661116193390033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-4.9658410716801891E-14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303.33040062722074</v>
      </c>
      <c r="AO104" s="62">
        <f t="shared" si="90"/>
        <v>425.30058672361548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3.0350655859140407</v>
      </c>
      <c r="AV104" s="23">
        <f>EXP(-LN(2)/25)*AV103+(1-EXP(-LN(2)/25))/(LN(2)/25)*Calculateur!AQ104*Calculateur!AS104*VLOOKUP('Données projet'!$B$10,Paramètres!$A$1:$I$89,3,0)*0.475*44/12</f>
        <v>4.2975858080439959</v>
      </c>
      <c r="AW104" s="23">
        <f>EXP(-LN(2)/2)*AW103+(1-EXP(-LN(2)/2))/(LN(2)/2)*AQ104*AT104*VLOOKUP('Données projet'!$B$10,Paramètres!$A$1:$I$89,3,0)*0.475*44/12</f>
        <v>2.4389796411127729E-11</v>
      </c>
      <c r="AX104" s="23">
        <f t="shared" si="60"/>
        <v>7.3326513939824256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8.5555555555555554</v>
      </c>
      <c r="BD104" s="13">
        <f>IF('Données projet'!$A$88&gt;35,BD103+BC104-BL103,IF(A104&lt;'Données projet'!$A$88,$BA$205^A104,IF(A104='Données projet'!$A$88,'Données projet'!$B$88,BD103+BC104-BL103)))</f>
        <v>322.77777777777817</v>
      </c>
      <c r="BE104" s="14">
        <f>BD104*VLOOKUP('Données projet'!$B$11,Paramètres!$A$1:$I$89,3,0)*VLOOKUP('Données projet'!$B$11,Paramètres!$A$1:$I$89,5,0)</f>
        <v>151.06000000000017</v>
      </c>
      <c r="BF104" s="14">
        <f t="shared" si="91"/>
        <v>38.819375611338231</v>
      </c>
      <c r="BG104" s="22">
        <f t="shared" si="61"/>
        <v>330.70657918974769</v>
      </c>
      <c r="BH104" s="62">
        <f t="shared" si="62"/>
        <v>624.03991252308106</v>
      </c>
      <c r="BI104" s="62">
        <f ca="1">AVERAGE(OFFSET($BH$3,0,0,'Données projet'!$E$11+1,1))-AVERAGE(OFFSET($H$3,0,0,'Données projet'!$E$11+1,1))</f>
        <v>317.54276561627643</v>
      </c>
      <c r="BJ104" s="62">
        <f t="shared" si="92"/>
        <v>238.92443174298893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-9.9316821433603781E-14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195.30963433439501</v>
      </c>
      <c r="CE104" s="62">
        <f t="shared" si="94"/>
        <v>185.00219255324504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3.4</v>
      </c>
      <c r="CT104" s="13">
        <f>IF('Données projet'!$A$140&gt;35,CT103+CS104-DB103,IF(A104&lt;'Données projet'!$A$140,$CQ$205^A104,IF(A104='Données projet'!$A$140,'Données projet'!$B$140,CT103+CS104-DB103)))</f>
        <v>206.39999999999984</v>
      </c>
      <c r="CU104" s="18">
        <f>CT104*VLOOKUP('Données projet'!$B$13,Paramètres!$A$1:$I$89,3,0)*VLOOKUP('Données projet'!$B$13,Paramètres!$A$1:$I$89,5,0)</f>
        <v>196.41023999999985</v>
      </c>
      <c r="CV104" s="14">
        <f t="shared" si="95"/>
        <v>48.954417448783772</v>
      </c>
      <c r="CW104" s="22">
        <f t="shared" si="67"/>
        <v>427.34344505663142</v>
      </c>
      <c r="CX104" s="62">
        <f t="shared" si="68"/>
        <v>720.67677838996474</v>
      </c>
      <c r="CY104" s="62">
        <f ca="1">AVERAGE(OFFSET($CX$3,0,0,'Données projet'!$E$13+1,1))-AVERAGE(OFFSET($H$3,0,0,'Données projet'!$E$13+1,1))</f>
        <v>293.996396026019</v>
      </c>
      <c r="CZ104" s="62">
        <f t="shared" si="96"/>
        <v>152.23954167722536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195.80903373714432</v>
      </c>
      <c r="T105" s="62">
        <f t="shared" si="88"/>
        <v>388.30721786668977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14.164867007110486</v>
      </c>
      <c r="AA105" s="23">
        <f>EXP(-LN(2)/25)*AA104+(1-EXP(-LN(2)/25))/(LN(2)/25)*Calculateur!V105*Calculateur!X105*VLOOKUP('Données projet'!$B$9,Paramètres!$A$1:$I$89,3,0)*0.475*44/12</f>
        <v>7.0156911211775261</v>
      </c>
      <c r="AB105" s="23">
        <f>EXP(-LN(2)/2)*AB104+(1-EXP(-LN(2)/2))/(LN(2)/2)*V105*Y105*VLOOKUP('Données projet'!$B$9,Paramètres!$A$1:$I$89,3,0)*0.475*44/12</f>
        <v>2.5945709864515938E-9</v>
      </c>
      <c r="AC105" s="24">
        <f t="shared" si="57"/>
        <v>21.180558130882584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-4.9658410716801891E-14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303.33040062722074</v>
      </c>
      <c r="AO105" s="62">
        <f t="shared" si="90"/>
        <v>425.30058672361548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2.9755498009814825</v>
      </c>
      <c r="AV105" s="23">
        <f>EXP(-LN(2)/25)*AV104+(1-EXP(-LN(2)/25))/(LN(2)/25)*Calculateur!AQ105*Calculateur!AS105*VLOOKUP('Données projet'!$B$10,Paramètres!$A$1:$I$89,3,0)*0.475*44/12</f>
        <v>4.1800680981228178</v>
      </c>
      <c r="AW105" s="23">
        <f>EXP(-LN(2)/2)*AW104+(1-EXP(-LN(2)/2))/(LN(2)/2)*AQ105*AT105*VLOOKUP('Données projet'!$B$10,Paramètres!$A$1:$I$89,3,0)*0.475*44/12</f>
        <v>1.7246190434067737E-11</v>
      </c>
      <c r="AX105" s="23">
        <f t="shared" si="60"/>
        <v>7.1556178991215456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8.5555555555555554</v>
      </c>
      <c r="BD105" s="13">
        <f>IF('Données projet'!$A$88&gt;35,BD104+BC105-BL104,IF(A105&lt;'Données projet'!$A$88,$BA$205^A105,IF(A105='Données projet'!$A$88,'Données projet'!$B$88,BD104+BC105-BL104)))</f>
        <v>331.33333333333371</v>
      </c>
      <c r="BE105" s="14">
        <f>BD105*VLOOKUP('Données projet'!$B$11,Paramètres!$A$1:$I$89,3,0)*VLOOKUP('Données projet'!$B$11,Paramètres!$A$1:$I$89,5,0)</f>
        <v>155.06400000000016</v>
      </c>
      <c r="BF105" s="14">
        <f t="shared" si="91"/>
        <v>39.727164550120129</v>
      </c>
      <c r="BG105" s="22">
        <f t="shared" si="61"/>
        <v>339.2612782581262</v>
      </c>
      <c r="BH105" s="62">
        <f t="shared" si="62"/>
        <v>632.59461159145951</v>
      </c>
      <c r="BI105" s="62">
        <f ca="1">AVERAGE(OFFSET($BH$3,0,0,'Données projet'!$E$11+1,1))-AVERAGE(OFFSET($H$3,0,0,'Données projet'!$E$11+1,1))</f>
        <v>317.54276561627643</v>
      </c>
      <c r="BJ105" s="62">
        <f t="shared" si="92"/>
        <v>238.92443174298893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-9.9316821433603781E-14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195.30963433439501</v>
      </c>
      <c r="CE105" s="62">
        <f t="shared" si="94"/>
        <v>185.00219255324504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3.4</v>
      </c>
      <c r="CT105" s="13">
        <f>IF('Données projet'!$A$140&gt;35,CT104+CS105-DB104,IF(A105&lt;'Données projet'!$A$140,$CQ$205^A105,IF(A105='Données projet'!$A$140,'Données projet'!$B$140,CT104+CS105-DB104)))</f>
        <v>209.79999999999984</v>
      </c>
      <c r="CU105" s="18">
        <f>CT105*VLOOKUP('Données projet'!$B$13,Paramètres!$A$1:$I$89,3,0)*VLOOKUP('Données projet'!$B$13,Paramètres!$A$1:$I$89,5,0)</f>
        <v>199.64567999999986</v>
      </c>
      <c r="CV105" s="14">
        <f t="shared" si="95"/>
        <v>49.666290879455694</v>
      </c>
      <c r="CW105" s="22">
        <f t="shared" si="67"/>
        <v>434.21834928171842</v>
      </c>
      <c r="CX105" s="62">
        <f t="shared" si="68"/>
        <v>727.55168261505173</v>
      </c>
      <c r="CY105" s="62">
        <f ca="1">AVERAGE(OFFSET($CX$3,0,0,'Données projet'!$E$13+1,1))-AVERAGE(OFFSET($H$3,0,0,'Données projet'!$E$13+1,1))</f>
        <v>293.996396026019</v>
      </c>
      <c r="CZ105" s="62">
        <f t="shared" si="96"/>
        <v>152.23954167722536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195.80903373714432</v>
      </c>
      <c r="T106" s="62">
        <f t="shared" si="88"/>
        <v>388.30721786668977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13.887102604816823</v>
      </c>
      <c r="AA106" s="23">
        <f>EXP(-LN(2)/25)*AA105+(1-EXP(-LN(2)/25))/(LN(2)/25)*Calculateur!V106*Calculateur!X106*VLOOKUP('Données projet'!$B$9,Paramètres!$A$1:$I$89,3,0)*0.475*44/12</f>
        <v>6.8238466785297653</v>
      </c>
      <c r="AB106" s="23">
        <f>EXP(-LN(2)/2)*AB105+(1-EXP(-LN(2)/2))/(LN(2)/2)*V106*Y106*VLOOKUP('Données projet'!$B$9,Paramètres!$A$1:$I$89,3,0)*0.475*44/12</f>
        <v>1.8346387387897921E-9</v>
      </c>
      <c r="AC106" s="24">
        <f t="shared" si="57"/>
        <v>20.710949285181226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-4.9658410716801891E-14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303.33040062722074</v>
      </c>
      <c r="AO106" s="62">
        <f t="shared" si="90"/>
        <v>425.30058672361548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2.917201084290407</v>
      </c>
      <c r="AV106" s="23">
        <f>EXP(-LN(2)/25)*AV105+(1-EXP(-LN(2)/25))/(LN(2)/25)*Calculateur!AQ106*Calculateur!AS106*VLOOKUP('Données projet'!$B$10,Paramètres!$A$1:$I$89,3,0)*0.475*44/12</f>
        <v>4.0657639161594217</v>
      </c>
      <c r="AW106" s="23">
        <f>EXP(-LN(2)/2)*AW105+(1-EXP(-LN(2)/2))/(LN(2)/2)*AQ106*AT106*VLOOKUP('Données projet'!$B$10,Paramètres!$A$1:$I$89,3,0)*0.475*44/12</f>
        <v>1.2194898205563865E-11</v>
      </c>
      <c r="AX106" s="23">
        <f t="shared" si="60"/>
        <v>6.9829650004620234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8.5555555555555554</v>
      </c>
      <c r="BD106" s="13">
        <f>IF('Données projet'!$A$88&gt;35,BD105+BC106-BL105,IF(A106&lt;'Données projet'!$A$88,$BA$205^A106,IF(A106='Données projet'!$A$88,'Données projet'!$B$88,BD105+BC106-BL105)))</f>
        <v>339.88888888888926</v>
      </c>
      <c r="BE106" s="14">
        <f>BD106*VLOOKUP('Données projet'!$B$11,Paramètres!$A$1:$I$89,3,0)*VLOOKUP('Données projet'!$B$11,Paramètres!$A$1:$I$89,5,0)</f>
        <v>159.06800000000018</v>
      </c>
      <c r="BF106" s="14">
        <f t="shared" si="91"/>
        <v>40.632228784106786</v>
      </c>
      <c r="BG106" s="22">
        <f t="shared" si="61"/>
        <v>347.81123179898628</v>
      </c>
      <c r="BH106" s="62">
        <f t="shared" si="62"/>
        <v>641.1445651323196</v>
      </c>
      <c r="BI106" s="62">
        <f ca="1">AVERAGE(OFFSET($BH$3,0,0,'Données projet'!$E$11+1,1))-AVERAGE(OFFSET($H$3,0,0,'Données projet'!$E$11+1,1))</f>
        <v>317.54276561627643</v>
      </c>
      <c r="BJ106" s="62">
        <f t="shared" si="92"/>
        <v>238.92443174298893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-9.9316821433603781E-14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195.30963433439501</v>
      </c>
      <c r="CE106" s="62">
        <f t="shared" si="94"/>
        <v>185.00219255324504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3.4</v>
      </c>
      <c r="CT106" s="13">
        <f>IF('Données projet'!$A$140&gt;35,CT105+CS106-DB105,IF(A106&lt;'Données projet'!$A$140,$CQ$205^A106,IF(A106='Données projet'!$A$140,'Données projet'!$B$140,CT105+CS106-DB105)))</f>
        <v>213.19999999999985</v>
      </c>
      <c r="CU106" s="18">
        <f>CT106*VLOOKUP('Données projet'!$B$13,Paramètres!$A$1:$I$89,3,0)*VLOOKUP('Données projet'!$B$13,Paramètres!$A$1:$I$89,5,0)</f>
        <v>202.88111999999987</v>
      </c>
      <c r="CV106" s="14">
        <f t="shared" si="95"/>
        <v>50.376822658563313</v>
      </c>
      <c r="CW106" s="22">
        <f t="shared" si="67"/>
        <v>441.09091679699753</v>
      </c>
      <c r="CX106" s="62">
        <f t="shared" si="68"/>
        <v>734.42425013033085</v>
      </c>
      <c r="CY106" s="62">
        <f ca="1">AVERAGE(OFFSET($CX$3,0,0,'Données projet'!$E$13+1,1))-AVERAGE(OFFSET($H$3,0,0,'Données projet'!$E$13+1,1))</f>
        <v>293.996396026019</v>
      </c>
      <c r="CZ106" s="62">
        <f t="shared" si="96"/>
        <v>152.23954167722536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195.80903373714432</v>
      </c>
      <c r="T107" s="62">
        <f t="shared" si="88"/>
        <v>388.30721786668977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13.614784993032581</v>
      </c>
      <c r="AA107" s="23">
        <f>EXP(-LN(2)/25)*AA106+(1-EXP(-LN(2)/25))/(LN(2)/25)*Calculateur!V107*Calculateur!X107*VLOOKUP('Données projet'!$B$9,Paramètres!$A$1:$I$89,3,0)*0.475*44/12</f>
        <v>6.6372482322548683</v>
      </c>
      <c r="AB107" s="23">
        <f>EXP(-LN(2)/2)*AB106+(1-EXP(-LN(2)/2))/(LN(2)/2)*V107*Y107*VLOOKUP('Données projet'!$B$9,Paramètres!$A$1:$I$89,3,0)*0.475*44/12</f>
        <v>1.2972854932257971E-9</v>
      </c>
      <c r="AC107" s="24">
        <f t="shared" si="57"/>
        <v>20.252033226584732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-4.9658410716801891E-14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303.33040062722074</v>
      </c>
      <c r="AO107" s="62">
        <f t="shared" si="90"/>
        <v>425.30058672361548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2.8599965503444404</v>
      </c>
      <c r="AV107" s="23">
        <f>EXP(-LN(2)/25)*AV106+(1-EXP(-LN(2)/25))/(LN(2)/25)*Calculateur!AQ107*Calculateur!AS107*VLOOKUP('Données projet'!$B$10,Paramètres!$A$1:$I$89,3,0)*0.475*44/12</f>
        <v>3.9545853880628106</v>
      </c>
      <c r="AW107" s="23">
        <f>EXP(-LN(2)/2)*AW106+(1-EXP(-LN(2)/2))/(LN(2)/2)*AQ107*AT107*VLOOKUP('Données projet'!$B$10,Paramètres!$A$1:$I$89,3,0)*0.475*44/12</f>
        <v>8.6230952170338686E-12</v>
      </c>
      <c r="AX107" s="23">
        <f t="shared" si="60"/>
        <v>6.8145819384158743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8.5555555555555554</v>
      </c>
      <c r="BD107" s="13">
        <f>IF('Données projet'!$A$88&gt;35,BD106+BC107-BL106,IF(A107&lt;'Données projet'!$A$88,$BA$205^A107,IF(A107='Données projet'!$A$88,'Données projet'!$B$88,BD106+BC107-BL106)))</f>
        <v>348.4444444444448</v>
      </c>
      <c r="BE107" s="14">
        <f>BD107*VLOOKUP('Données projet'!$B$11,Paramètres!$A$1:$I$89,3,0)*VLOOKUP('Données projet'!$B$11,Paramètres!$A$1:$I$89,5,0)</f>
        <v>163.07200000000017</v>
      </c>
      <c r="BF107" s="14">
        <f t="shared" si="91"/>
        <v>41.53464478614341</v>
      </c>
      <c r="BG107" s="22">
        <f t="shared" si="61"/>
        <v>356.35657300253342</v>
      </c>
      <c r="BH107" s="62">
        <f t="shared" si="62"/>
        <v>649.68990633586668</v>
      </c>
      <c r="BI107" s="62">
        <f ca="1">AVERAGE(OFFSET($BH$3,0,0,'Données projet'!$E$11+1,1))-AVERAGE(OFFSET($H$3,0,0,'Données projet'!$E$11+1,1))</f>
        <v>317.54276561627643</v>
      </c>
      <c r="BJ107" s="62">
        <f t="shared" si="92"/>
        <v>238.92443174298893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-9.9316821433603781E-14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195.30963433439501</v>
      </c>
      <c r="CE107" s="62">
        <f t="shared" si="94"/>
        <v>185.00219255324504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3.4</v>
      </c>
      <c r="CT107" s="13">
        <f>IF('Données projet'!$A$140&gt;35,CT106+CS107-DB106,IF(A107&lt;'Données projet'!$A$140,$CQ$205^A107,IF(A107='Données projet'!$A$140,'Données projet'!$B$140,CT106+CS107-DB106)))</f>
        <v>216.59999999999985</v>
      </c>
      <c r="CU107" s="18">
        <f>CT107*VLOOKUP('Données projet'!$B$13,Paramètres!$A$1:$I$89,3,0)*VLOOKUP('Données projet'!$B$13,Paramètres!$A$1:$I$89,5,0)</f>
        <v>206.11655999999988</v>
      </c>
      <c r="CV107" s="14">
        <f t="shared" si="95"/>
        <v>51.086036652420326</v>
      </c>
      <c r="CW107" s="22">
        <f t="shared" si="67"/>
        <v>447.96118916963178</v>
      </c>
      <c r="CX107" s="62">
        <f t="shared" si="68"/>
        <v>741.29452250296504</v>
      </c>
      <c r="CY107" s="62">
        <f ca="1">AVERAGE(OFFSET($CX$3,0,0,'Données projet'!$E$13+1,1))-AVERAGE(OFFSET($H$3,0,0,'Données projet'!$E$13+1,1))</f>
        <v>293.996396026019</v>
      </c>
      <c r="CZ107" s="62">
        <f t="shared" si="96"/>
        <v>152.23954167722536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195.80903373714432</v>
      </c>
      <c r="T108" s="62">
        <f t="shared" si="88"/>
        <v>388.30721786668977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13.347807363518086</v>
      </c>
      <c r="AA108" s="23">
        <f>EXP(-LN(2)/25)*AA107+(1-EXP(-LN(2)/25))/(LN(2)/25)*Calculateur!V108*Calculateur!X108*VLOOKUP('Données projet'!$B$9,Paramètres!$A$1:$I$89,3,0)*0.475*44/12</f>
        <v>6.4557523303061437</v>
      </c>
      <c r="AB108" s="23">
        <f>EXP(-LN(2)/2)*AB107+(1-EXP(-LN(2)/2))/(LN(2)/2)*V108*Y108*VLOOKUP('Données projet'!$B$9,Paramètres!$A$1:$I$89,3,0)*0.475*44/12</f>
        <v>9.1731936939489616E-10</v>
      </c>
      <c r="AC108" s="24">
        <f t="shared" si="57"/>
        <v>19.803559694741548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-4.9658410716801891E-14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303.33040062722074</v>
      </c>
      <c r="AO108" s="62">
        <f t="shared" si="90"/>
        <v>425.30058672361548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2.8039137624178339</v>
      </c>
      <c r="AV108" s="23">
        <f>EXP(-LN(2)/25)*AV107+(1-EXP(-LN(2)/25))/(LN(2)/25)*Calculateur!AQ108*Calculateur!AS108*VLOOKUP('Données projet'!$B$10,Paramètres!$A$1:$I$89,3,0)*0.475*44/12</f>
        <v>3.8464470426636259</v>
      </c>
      <c r="AW108" s="23">
        <f>EXP(-LN(2)/2)*AW107+(1-EXP(-LN(2)/2))/(LN(2)/2)*AQ108*AT108*VLOOKUP('Données projet'!$B$10,Paramètres!$A$1:$I$89,3,0)*0.475*44/12</f>
        <v>6.0974491027819323E-12</v>
      </c>
      <c r="AX108" s="23">
        <f t="shared" si="60"/>
        <v>6.6503608050875576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357</v>
      </c>
      <c r="BB108" s="13">
        <f>VLOOKUP(A108,'Données projet'!$A$87:$I$107,9,0)</f>
        <v>8.5555555555555554</v>
      </c>
      <c r="BC108" s="13">
        <f t="array" ref="BC108">INDEX(BB:BB,MIN(IF(ISNUMBER(BB108:BB304),ROW(BB108:BB304),"")))</f>
        <v>8.5555555555555554</v>
      </c>
      <c r="BD108" s="13">
        <f>IF('Données projet'!$A$88&gt;35,BD107+BC108-BL107,IF(A108&lt;'Données projet'!$A$88,$BA$205^A108,IF(A108='Données projet'!$A$88,'Données projet'!$B$88,BD107+BC108-BL107)))</f>
        <v>357.00000000000034</v>
      </c>
      <c r="BE108" s="14">
        <f>BD108*VLOOKUP('Données projet'!$B$11,Paramètres!$A$1:$I$89,3,0)*VLOOKUP('Données projet'!$B$11,Paramètres!$A$1:$I$89,5,0)</f>
        <v>167.07600000000016</v>
      </c>
      <c r="BF108" s="14">
        <f t="shared" si="91"/>
        <v>42.434485059621714</v>
      </c>
      <c r="BG108" s="22">
        <f t="shared" si="61"/>
        <v>364.89742814550806</v>
      </c>
      <c r="BH108" s="62">
        <f t="shared" si="62"/>
        <v>658.23076147884137</v>
      </c>
      <c r="BI108" s="62">
        <f ca="1">AVERAGE(OFFSET($BH$3,0,0,'Données projet'!$E$11+1,1))-AVERAGE(OFFSET($H$3,0,0,'Données projet'!$E$11+1,1))</f>
        <v>317.54276561627643</v>
      </c>
      <c r="BJ108" s="62">
        <f t="shared" si="92"/>
        <v>238.92443174298893</v>
      </c>
      <c r="BK108" s="16">
        <f>IF(ISNA(VLOOKUP(A108,'Données projet'!$A$87:$I$107,3,0)),0,VLOOKUP(A108,'Données projet'!$A$87:$I$107,3,0))</f>
        <v>20</v>
      </c>
      <c r="BL108" s="16">
        <f>IF(ISNA(VLOOKUP(A108,'Données projet'!$A$87:$I$107,4,0)),0,VLOOKUP(A108,'Données projet'!$A$87:$I$107,4,0))</f>
        <v>357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-9.9316821433603781E-14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195.30963433439501</v>
      </c>
      <c r="CE108" s="62">
        <f t="shared" si="94"/>
        <v>185.00219255324504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220</v>
      </c>
      <c r="CR108" s="13">
        <f>VLOOKUP(A108,'Données projet'!$A$139:$I$159,9,0)</f>
        <v>3.4</v>
      </c>
      <c r="CS108" s="13">
        <f t="array" ref="CS108">INDEX(CR:CR,MIN(IF(ISNUMBER(CR108:CR304),ROW(CR108:CR304),"")))</f>
        <v>3.4</v>
      </c>
      <c r="CT108" s="13">
        <f>IF('Données projet'!$A$140&gt;35,CT107+CS108-DB107,IF(A108&lt;'Données projet'!$A$140,$CQ$205^A108,IF(A108='Données projet'!$A$140,'Données projet'!$B$140,CT107+CS108-DB107)))</f>
        <v>219.99999999999986</v>
      </c>
      <c r="CU108" s="18">
        <f>CT108*VLOOKUP('Données projet'!$B$13,Paramètres!$A$1:$I$89,3,0)*VLOOKUP('Données projet'!$B$13,Paramètres!$A$1:$I$89,5,0)</f>
        <v>209.35199999999986</v>
      </c>
      <c r="CV108" s="14">
        <f t="shared" si="95"/>
        <v>51.79395593509436</v>
      </c>
      <c r="CW108" s="22">
        <f t="shared" si="67"/>
        <v>454.82920658695576</v>
      </c>
      <c r="CX108" s="62">
        <f t="shared" si="68"/>
        <v>748.16253992028908</v>
      </c>
      <c r="CY108" s="62">
        <f ca="1">AVERAGE(OFFSET($CX$3,0,0,'Données projet'!$E$13+1,1))-AVERAGE(OFFSET($H$3,0,0,'Données projet'!$E$13+1,1))</f>
        <v>293.996396026019</v>
      </c>
      <c r="CZ108" s="62">
        <f t="shared" si="96"/>
        <v>152.23954167722536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13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195.80903373714432</v>
      </c>
      <c r="T109" s="62">
        <f t="shared" si="88"/>
        <v>388.30721786668977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13.086065002478096</v>
      </c>
      <c r="AA109" s="23">
        <f>EXP(-LN(2)/25)*AA108+(1-EXP(-LN(2)/25))/(LN(2)/25)*Calculateur!V109*Calculateur!X109*VLOOKUP('Données projet'!$B$9,Paramètres!$A$1:$I$89,3,0)*0.475*44/12</f>
        <v>6.2792194433406623</v>
      </c>
      <c r="AB109" s="23">
        <f>EXP(-LN(2)/2)*AB108+(1-EXP(-LN(2)/2))/(LN(2)/2)*V109*Y109*VLOOKUP('Données projet'!$B$9,Paramètres!$A$1:$I$89,3,0)*0.475*44/12</f>
        <v>6.4864274661289866E-10</v>
      </c>
      <c r="AC109" s="24">
        <f t="shared" si="57"/>
        <v>19.365284446467403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-4.9658410716801891E-14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303.33040062722074</v>
      </c>
      <c r="AO109" s="62">
        <f t="shared" si="90"/>
        <v>425.30058672361548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2.7489307237553451</v>
      </c>
      <c r="AV109" s="23">
        <f>EXP(-LN(2)/25)*AV108+(1-EXP(-LN(2)/25))/(LN(2)/25)*Calculateur!AQ109*Calculateur!AS109*VLOOKUP('Données projet'!$B$10,Paramètres!$A$1:$I$89,3,0)*0.475*44/12</f>
        <v>3.74126574600613</v>
      </c>
      <c r="AW109" s="23">
        <f>EXP(-LN(2)/2)*AW108+(1-EXP(-LN(2)/2))/(LN(2)/2)*AQ109*AT109*VLOOKUP('Données projet'!$B$10,Paramètres!$A$1:$I$89,3,0)*0.475*44/12</f>
        <v>4.3115476085169343E-12</v>
      </c>
      <c r="AX109" s="23">
        <f t="shared" si="60"/>
        <v>6.4901964697657863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1.5961632016114892E-13</v>
      </c>
      <c r="BF109" s="14">
        <f t="shared" si="91"/>
        <v>2.2708641912150958E-12</v>
      </c>
      <c r="BG109" s="22">
        <f t="shared" si="61"/>
        <v>4.2330868906469593E-12</v>
      </c>
      <c r="BH109" s="62">
        <f t="shared" si="62"/>
        <v>293.33333333333752</v>
      </c>
      <c r="BI109" s="62">
        <f ca="1">AVERAGE(OFFSET($BH$3,0,0,'Données projet'!$E$11+1,1))-AVERAGE(OFFSET($H$3,0,0,'Données projet'!$E$11+1,1))</f>
        <v>317.54276561627643</v>
      </c>
      <c r="BJ109" s="62">
        <f t="shared" si="92"/>
        <v>238.92443174298893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-9.9316821433603781E-14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195.30963433439501</v>
      </c>
      <c r="CE109" s="62">
        <f t="shared" si="94"/>
        <v>185.00219255324504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</v>
      </c>
      <c r="CT109" s="13">
        <f>IF('Données projet'!$A$140&gt;35,CT108+CS109-DB108,IF(A109&lt;'Données projet'!$A$140,$CQ$205^A109,IF(A109='Données projet'!$A$140,'Données projet'!$B$140,CT108+CS109-DB108)))</f>
        <v>209.99999999999986</v>
      </c>
      <c r="CU109" s="18">
        <f>CT109*VLOOKUP('Données projet'!$B$13,Paramètres!$A$1:$I$89,3,0)*VLOOKUP('Données projet'!$B$13,Paramètres!$A$1:$I$89,5,0)</f>
        <v>199.83599999999987</v>
      </c>
      <c r="CV109" s="14">
        <f t="shared" si="95"/>
        <v>49.708123768564562</v>
      </c>
      <c r="CW109" s="22">
        <f t="shared" si="67"/>
        <v>434.62268223024967</v>
      </c>
      <c r="CX109" s="62">
        <f t="shared" si="68"/>
        <v>727.95601556358292</v>
      </c>
      <c r="CY109" s="62">
        <f ca="1">AVERAGE(OFFSET($CX$3,0,0,'Données projet'!$E$13+1,1))-AVERAGE(OFFSET($H$3,0,0,'Données projet'!$E$13+1,1))</f>
        <v>293.996396026019</v>
      </c>
      <c r="CZ109" s="62">
        <f t="shared" si="96"/>
        <v>152.23954167722536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195.80903373714432</v>
      </c>
      <c r="T110" s="62">
        <f t="shared" si="88"/>
        <v>388.30721786668977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12.829455249491023</v>
      </c>
      <c r="AA110" s="23">
        <f>EXP(-LN(2)/25)*AA109+(1-EXP(-LN(2)/25))/(LN(2)/25)*Calculateur!V110*Calculateur!X110*VLOOKUP('Données projet'!$B$9,Paramètres!$A$1:$I$89,3,0)*0.475*44/12</f>
        <v>6.1075138574527124</v>
      </c>
      <c r="AB110" s="23">
        <f>EXP(-LN(2)/2)*AB109+(1-EXP(-LN(2)/2))/(LN(2)/2)*V110*Y110*VLOOKUP('Données projet'!$B$9,Paramètres!$A$1:$I$89,3,0)*0.475*44/12</f>
        <v>4.5865968469744813E-10</v>
      </c>
      <c r="AC110" s="24">
        <f t="shared" si="57"/>
        <v>18.936969107402394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-4.9658410716801891E-14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303.33040062722074</v>
      </c>
      <c r="AO110" s="62">
        <f t="shared" si="90"/>
        <v>425.30058672361548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2.6950258689446858</v>
      </c>
      <c r="AV110" s="23">
        <f>EXP(-LN(2)/25)*AV109+(1-EXP(-LN(2)/25))/(LN(2)/25)*Calculateur!AQ110*Calculateur!AS110*VLOOKUP('Données projet'!$B$10,Paramètres!$A$1:$I$89,3,0)*0.475*44/12</f>
        <v>3.6389606374369774</v>
      </c>
      <c r="AW110" s="23">
        <f>EXP(-LN(2)/2)*AW109+(1-EXP(-LN(2)/2))/(LN(2)/2)*AQ110*AT110*VLOOKUP('Données projet'!$B$10,Paramètres!$A$1:$I$89,3,0)*0.475*44/12</f>
        <v>3.0487245513909662E-12</v>
      </c>
      <c r="AX110" s="23">
        <f t="shared" si="60"/>
        <v>6.3339865063847123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1.5961632016114892E-13</v>
      </c>
      <c r="BF110" s="14">
        <f t="shared" si="91"/>
        <v>2.2708641912150958E-12</v>
      </c>
      <c r="BG110" s="22">
        <f t="shared" si="61"/>
        <v>4.2330868906469593E-12</v>
      </c>
      <c r="BH110" s="62">
        <f t="shared" si="62"/>
        <v>293.33333333333752</v>
      </c>
      <c r="BI110" s="62">
        <f ca="1">AVERAGE(OFFSET($BH$3,0,0,'Données projet'!$E$11+1,1))-AVERAGE(OFFSET($H$3,0,0,'Données projet'!$E$11+1,1))</f>
        <v>317.54276561627643</v>
      </c>
      <c r="BJ110" s="62">
        <f t="shared" si="92"/>
        <v>238.92443174298893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-9.9316821433603781E-14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195.30963433439501</v>
      </c>
      <c r="CE110" s="62">
        <f t="shared" si="94"/>
        <v>185.00219255324504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</v>
      </c>
      <c r="CT110" s="13">
        <f>IF('Données projet'!$A$140&gt;35,CT109+CS110-DB109,IF(A110&lt;'Données projet'!$A$140,$CQ$205^A110,IF(A110='Données projet'!$A$140,'Données projet'!$B$140,CT109+CS110-DB109)))</f>
        <v>212.99999999999986</v>
      </c>
      <c r="CU110" s="18">
        <f>CT110*VLOOKUP('Données projet'!$B$13,Paramètres!$A$1:$I$89,3,0)*VLOOKUP('Données projet'!$B$13,Paramètres!$A$1:$I$89,5,0)</f>
        <v>202.69079999999988</v>
      </c>
      <c r="CV110" s="14">
        <f t="shared" si="95"/>
        <v>50.335063379382063</v>
      </c>
      <c r="CW110" s="22">
        <f t="shared" si="67"/>
        <v>440.6867120524235</v>
      </c>
      <c r="CX110" s="62">
        <f t="shared" si="68"/>
        <v>734.02004538575682</v>
      </c>
      <c r="CY110" s="62">
        <f ca="1">AVERAGE(OFFSET($CX$3,0,0,'Données projet'!$E$13+1,1))-AVERAGE(OFFSET($H$3,0,0,'Données projet'!$E$13+1,1))</f>
        <v>293.996396026019</v>
      </c>
      <c r="CZ110" s="62">
        <f t="shared" si="96"/>
        <v>152.23954167722536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195.80903373714432</v>
      </c>
      <c r="T111" s="62">
        <f t="shared" si="88"/>
        <v>388.30721786668977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12.577877457243533</v>
      </c>
      <c r="AA111" s="23">
        <f>EXP(-LN(2)/25)*AA110+(1-EXP(-LN(2)/25))/(LN(2)/25)*Calculateur!V111*Calculateur!X111*VLOOKUP('Données projet'!$B$9,Paramètres!$A$1:$I$89,3,0)*0.475*44/12</f>
        <v>5.9405035698404731</v>
      </c>
      <c r="AB111" s="23">
        <f>EXP(-LN(2)/2)*AB110+(1-EXP(-LN(2)/2))/(LN(2)/2)*V111*Y111*VLOOKUP('Données projet'!$B$9,Paramètres!$A$1:$I$89,3,0)*0.475*44/12</f>
        <v>3.2432137330644938E-10</v>
      </c>
      <c r="AC111" s="24">
        <f t="shared" si="57"/>
        <v>18.518381027408324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-4.9658410716801891E-14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303.33040062722074</v>
      </c>
      <c r="AO111" s="62">
        <f t="shared" si="90"/>
        <v>425.30058672361548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2.6421780554581482</v>
      </c>
      <c r="AV111" s="23">
        <f>EXP(-LN(2)/25)*AV110+(1-EXP(-LN(2)/25))/(LN(2)/25)*Calculateur!AQ111*Calculateur!AS111*VLOOKUP('Données projet'!$B$10,Paramètres!$A$1:$I$89,3,0)*0.475*44/12</f>
        <v>3.5394530674416402</v>
      </c>
      <c r="AW111" s="23">
        <f>EXP(-LN(2)/2)*AW110+(1-EXP(-LN(2)/2))/(LN(2)/2)*AQ111*AT111*VLOOKUP('Données projet'!$B$10,Paramètres!$A$1:$I$89,3,0)*0.475*44/12</f>
        <v>2.1557738042584671E-12</v>
      </c>
      <c r="AX111" s="23">
        <f t="shared" si="60"/>
        <v>6.1816311229019441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1.5961632016114892E-13</v>
      </c>
      <c r="BF111" s="14">
        <f t="shared" si="91"/>
        <v>2.2708641912150958E-12</v>
      </c>
      <c r="BG111" s="22">
        <f t="shared" si="61"/>
        <v>4.2330868906469593E-12</v>
      </c>
      <c r="BH111" s="62">
        <f t="shared" si="62"/>
        <v>293.33333333333752</v>
      </c>
      <c r="BI111" s="62">
        <f ca="1">AVERAGE(OFFSET($BH$3,0,0,'Données projet'!$E$11+1,1))-AVERAGE(OFFSET($H$3,0,0,'Données projet'!$E$11+1,1))</f>
        <v>317.54276561627643</v>
      </c>
      <c r="BJ111" s="62">
        <f t="shared" si="92"/>
        <v>238.92443174298893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-9.9316821433603781E-14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195.30963433439501</v>
      </c>
      <c r="CE111" s="62">
        <f t="shared" si="94"/>
        <v>185.00219255324504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</v>
      </c>
      <c r="CT111" s="13">
        <f>IF('Données projet'!$A$140&gt;35,CT110+CS111-DB110,IF(A111&lt;'Données projet'!$A$140,$CQ$205^A111,IF(A111='Données projet'!$A$140,'Données projet'!$B$140,CT110+CS111-DB110)))</f>
        <v>215.99999999999986</v>
      </c>
      <c r="CU111" s="18">
        <f>CT111*VLOOKUP('Données projet'!$B$13,Paramètres!$A$1:$I$89,3,0)*VLOOKUP('Données projet'!$B$13,Paramètres!$A$1:$I$89,5,0)</f>
        <v>205.54559999999987</v>
      </c>
      <c r="CV111" s="14">
        <f t="shared" si="95"/>
        <v>50.960975968608096</v>
      </c>
      <c r="CW111" s="22">
        <f t="shared" si="67"/>
        <v>446.74895314532552</v>
      </c>
      <c r="CX111" s="62">
        <f t="shared" si="68"/>
        <v>740.08228647865883</v>
      </c>
      <c r="CY111" s="62">
        <f ca="1">AVERAGE(OFFSET($CX$3,0,0,'Données projet'!$E$13+1,1))-AVERAGE(OFFSET($H$3,0,0,'Données projet'!$E$13+1,1))</f>
        <v>293.996396026019</v>
      </c>
      <c r="CZ111" s="62">
        <f t="shared" si="96"/>
        <v>152.23954167722536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195.80903373714432</v>
      </c>
      <c r="T112" s="62">
        <f t="shared" si="88"/>
        <v>388.30721786668977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12.331232952054714</v>
      </c>
      <c r="AA112" s="23">
        <f>EXP(-LN(2)/25)*AA111+(1-EXP(-LN(2)/25))/(LN(2)/25)*Calculateur!V112*Calculateur!X112*VLOOKUP('Données projet'!$B$9,Paramètres!$A$1:$I$89,3,0)*0.475*44/12</f>
        <v>5.7780601873256803</v>
      </c>
      <c r="AB112" s="23">
        <f>EXP(-LN(2)/2)*AB111+(1-EXP(-LN(2)/2))/(LN(2)/2)*V112*Y112*VLOOKUP('Données projet'!$B$9,Paramètres!$A$1:$I$89,3,0)*0.475*44/12</f>
        <v>2.2932984234872412E-10</v>
      </c>
      <c r="AC112" s="24">
        <f t="shared" si="57"/>
        <v>18.109293139609726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-4.9658410716801891E-14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303.33040062722074</v>
      </c>
      <c r="AO112" s="62">
        <f t="shared" si="90"/>
        <v>425.30058672361548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2.5903665553600983</v>
      </c>
      <c r="AV112" s="23">
        <f>EXP(-LN(2)/25)*AV111+(1-EXP(-LN(2)/25))/(LN(2)/25)*Calculateur!AQ112*Calculateur!AS112*VLOOKUP('Données projet'!$B$10,Paramètres!$A$1:$I$89,3,0)*0.475*44/12</f>
        <v>3.4426665371807013</v>
      </c>
      <c r="AW112" s="23">
        <f>EXP(-LN(2)/2)*AW111+(1-EXP(-LN(2)/2))/(LN(2)/2)*AQ112*AT112*VLOOKUP('Données projet'!$B$10,Paramètres!$A$1:$I$89,3,0)*0.475*44/12</f>
        <v>1.5243622756954831E-12</v>
      </c>
      <c r="AX112" s="23">
        <f t="shared" si="60"/>
        <v>6.0330330925423237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1.5961632016114892E-13</v>
      </c>
      <c r="BF112" s="14">
        <f t="shared" si="91"/>
        <v>2.2708641912150958E-12</v>
      </c>
      <c r="BG112" s="22">
        <f t="shared" si="61"/>
        <v>4.2330868906469593E-12</v>
      </c>
      <c r="BH112" s="62">
        <f t="shared" si="62"/>
        <v>293.33333333333752</v>
      </c>
      <c r="BI112" s="62">
        <f ca="1">AVERAGE(OFFSET($BH$3,0,0,'Données projet'!$E$11+1,1))-AVERAGE(OFFSET($H$3,0,0,'Données projet'!$E$11+1,1))</f>
        <v>317.54276561627643</v>
      </c>
      <c r="BJ112" s="62">
        <f t="shared" si="92"/>
        <v>238.92443174298893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-9.9316821433603781E-14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195.30963433439501</v>
      </c>
      <c r="CE112" s="62">
        <f t="shared" si="94"/>
        <v>185.00219255324504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</v>
      </c>
      <c r="CT112" s="13">
        <f>IF('Données projet'!$A$140&gt;35,CT111+CS112-DB111,IF(A112&lt;'Données projet'!$A$140,$CQ$205^A112,IF(A112='Données projet'!$A$140,'Données projet'!$B$140,CT111+CS112-DB111)))</f>
        <v>218.99999999999986</v>
      </c>
      <c r="CU112" s="18">
        <f>CT112*VLOOKUP('Données projet'!$B$13,Paramètres!$A$1:$I$89,3,0)*VLOOKUP('Données projet'!$B$13,Paramètres!$A$1:$I$89,5,0)</f>
        <v>208.40039999999988</v>
      </c>
      <c r="CV112" s="14">
        <f t="shared" si="95"/>
        <v>51.585877448947201</v>
      </c>
      <c r="CW112" s="22">
        <f t="shared" si="67"/>
        <v>452.8094332235828</v>
      </c>
      <c r="CX112" s="62">
        <f t="shared" si="68"/>
        <v>746.14276655691606</v>
      </c>
      <c r="CY112" s="62">
        <f ca="1">AVERAGE(OFFSET($CX$3,0,0,'Données projet'!$E$13+1,1))-AVERAGE(OFFSET($H$3,0,0,'Données projet'!$E$13+1,1))</f>
        <v>293.996396026019</v>
      </c>
      <c r="CZ112" s="62">
        <f t="shared" si="96"/>
        <v>152.23954167722536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195.80903373714432</v>
      </c>
      <c r="T113" s="62">
        <f t="shared" si="88"/>
        <v>388.30721786668977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12.089424995174355</v>
      </c>
      <c r="AA113" s="23">
        <f>EXP(-LN(2)/25)*AA112+(1-EXP(-LN(2)/25))/(LN(2)/25)*Calculateur!V113*Calculateur!X113*VLOOKUP('Données projet'!$B$9,Paramètres!$A$1:$I$89,3,0)*0.475*44/12</f>
        <v>5.6200588276482799</v>
      </c>
      <c r="AB113" s="23">
        <f>EXP(-LN(2)/2)*AB112+(1-EXP(-LN(2)/2))/(LN(2)/2)*V113*Y113*VLOOKUP('Données projet'!$B$9,Paramètres!$A$1:$I$89,3,0)*0.475*44/12</f>
        <v>1.6216068665322472E-10</v>
      </c>
      <c r="AC113" s="24">
        <f t="shared" si="57"/>
        <v>17.709483822984794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-4.9658410716801891E-14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303.33040062722074</v>
      </c>
      <c r="AO113" s="62">
        <f t="shared" si="90"/>
        <v>425.30058672361548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2.5395710471770765</v>
      </c>
      <c r="AV113" s="23">
        <f>EXP(-LN(2)/25)*AV112+(1-EXP(-LN(2)/25))/(LN(2)/25)*Calculateur!AQ113*Calculateur!AS113*VLOOKUP('Données projet'!$B$10,Paramètres!$A$1:$I$89,3,0)*0.475*44/12</f>
        <v>3.3485266396795299</v>
      </c>
      <c r="AW113" s="23">
        <f>EXP(-LN(2)/2)*AW112+(1-EXP(-LN(2)/2))/(LN(2)/2)*AQ113*AT113*VLOOKUP('Données projet'!$B$10,Paramètres!$A$1:$I$89,3,0)*0.475*44/12</f>
        <v>1.0778869021292336E-12</v>
      </c>
      <c r="AX113" s="23">
        <f t="shared" si="60"/>
        <v>5.8880976868576846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1.5961632016114892E-13</v>
      </c>
      <c r="BF113" s="14">
        <f t="shared" si="91"/>
        <v>2.2708641912150958E-12</v>
      </c>
      <c r="BG113" s="22">
        <f t="shared" si="61"/>
        <v>4.2330868906469593E-12</v>
      </c>
      <c r="BH113" s="62">
        <f t="shared" si="62"/>
        <v>293.33333333333752</v>
      </c>
      <c r="BI113" s="62">
        <f ca="1">AVERAGE(OFFSET($BH$3,0,0,'Données projet'!$E$11+1,1))-AVERAGE(OFFSET($H$3,0,0,'Données projet'!$E$11+1,1))</f>
        <v>317.54276561627643</v>
      </c>
      <c r="BJ113" s="62">
        <f t="shared" si="92"/>
        <v>238.92443174298893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-9.9316821433603781E-14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195.30963433439501</v>
      </c>
      <c r="CE113" s="62">
        <f t="shared" si="94"/>
        <v>185.00219255324504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222</v>
      </c>
      <c r="CR113" s="13">
        <f>VLOOKUP(A113,'Données projet'!$A$139:$I$159,9,0)</f>
        <v>3</v>
      </c>
      <c r="CS113" s="13">
        <f t="array" ref="CS113">INDEX(CR:CR,MIN(IF(ISNUMBER(CR113:CR309),ROW(CR113:CR309),"")))</f>
        <v>3</v>
      </c>
      <c r="CT113" s="13">
        <f>IF('Données projet'!$A$140&gt;35,CT112+CS113-DB112,IF(A113&lt;'Données projet'!$A$140,$CQ$205^A113,IF(A113='Données projet'!$A$140,'Données projet'!$B$140,CT112+CS113-DB112)))</f>
        <v>221.99999999999986</v>
      </c>
      <c r="CU113" s="18">
        <f>CT113*VLOOKUP('Données projet'!$B$13,Paramètres!$A$1:$I$89,3,0)*VLOOKUP('Données projet'!$B$13,Paramètres!$A$1:$I$89,5,0)</f>
        <v>211.25519999999986</v>
      </c>
      <c r="CV113" s="14">
        <f t="shared" si="95"/>
        <v>52.209783272090966</v>
      </c>
      <c r="CW113" s="22">
        <f t="shared" si="67"/>
        <v>458.86817919889148</v>
      </c>
      <c r="CX113" s="62">
        <f t="shared" si="68"/>
        <v>752.2015125322248</v>
      </c>
      <c r="CY113" s="62">
        <f ca="1">AVERAGE(OFFSET($CX$3,0,0,'Données projet'!$E$13+1,1))-AVERAGE(OFFSET($H$3,0,0,'Données projet'!$E$13+1,1))</f>
        <v>293.996396026019</v>
      </c>
      <c r="CZ113" s="62">
        <f t="shared" si="96"/>
        <v>152.23954167722536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13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195.80903373714432</v>
      </c>
      <c r="T114" s="62">
        <f t="shared" si="88"/>
        <v>388.30721786668977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11.852358744840128</v>
      </c>
      <c r="AA114" s="23">
        <f>EXP(-LN(2)/25)*AA113+(1-EXP(-LN(2)/25))/(LN(2)/25)*Calculateur!V114*Calculateur!X114*VLOOKUP('Données projet'!$B$9,Paramètres!$A$1:$I$89,3,0)*0.475*44/12</f>
        <v>5.4663780234601891</v>
      </c>
      <c r="AB114" s="23">
        <f>EXP(-LN(2)/2)*AB113+(1-EXP(-LN(2)/2))/(LN(2)/2)*V114*Y114*VLOOKUP('Données projet'!$B$9,Paramètres!$A$1:$I$89,3,0)*0.475*44/12</f>
        <v>1.1466492117436207E-10</v>
      </c>
      <c r="AC114" s="24">
        <f t="shared" si="57"/>
        <v>17.318736768414983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-4.9658410716801891E-14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303.33040062722074</v>
      </c>
      <c r="AO114" s="62">
        <f t="shared" si="90"/>
        <v>425.30058672361548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2.4897716079273233</v>
      </c>
      <c r="AV114" s="23">
        <f>EXP(-LN(2)/25)*AV113+(1-EXP(-LN(2)/25))/(LN(2)/25)*Calculateur!AQ114*Calculateur!AS114*VLOOKUP('Données projet'!$B$10,Paramètres!$A$1:$I$89,3,0)*0.475*44/12</f>
        <v>3.2569610026261304</v>
      </c>
      <c r="AW114" s="23">
        <f>EXP(-LN(2)/2)*AW113+(1-EXP(-LN(2)/2))/(LN(2)/2)*AQ114*AT114*VLOOKUP('Données projet'!$B$10,Paramètres!$A$1:$I$89,3,0)*0.475*44/12</f>
        <v>7.6218113784774154E-13</v>
      </c>
      <c r="AX114" s="23">
        <f t="shared" si="60"/>
        <v>5.7467326105542158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1.5961632016114892E-13</v>
      </c>
      <c r="BF114" s="14">
        <f t="shared" si="91"/>
        <v>2.2708641912150958E-12</v>
      </c>
      <c r="BG114" s="22">
        <f t="shared" si="61"/>
        <v>4.2330868906469593E-12</v>
      </c>
      <c r="BH114" s="62">
        <f t="shared" si="62"/>
        <v>293.33333333333752</v>
      </c>
      <c r="BI114" s="62">
        <f ca="1">AVERAGE(OFFSET($BH$3,0,0,'Données projet'!$E$11+1,1))-AVERAGE(OFFSET($H$3,0,0,'Données projet'!$E$11+1,1))</f>
        <v>317.54276561627643</v>
      </c>
      <c r="BJ114" s="62">
        <f t="shared" si="92"/>
        <v>238.92443174298893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-9.9316821433603781E-14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195.30963433439501</v>
      </c>
      <c r="CE114" s="62">
        <f t="shared" si="94"/>
        <v>185.00219255324504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2.8</v>
      </c>
      <c r="CT114" s="13">
        <f>IF('Données projet'!$A$140&gt;35,CT113+CS114-DB113,IF(A114&lt;'Données projet'!$A$140,$CQ$205^A114,IF(A114='Données projet'!$A$140,'Données projet'!$B$140,CT113+CS114-DB113)))</f>
        <v>211.79999999999987</v>
      </c>
      <c r="CU114" s="18">
        <f>CT114*VLOOKUP('Données projet'!$B$13,Paramètres!$A$1:$I$89,3,0)*VLOOKUP('Données projet'!$B$13,Paramètres!$A$1:$I$89,5,0)</f>
        <v>201.54887999999988</v>
      </c>
      <c r="CV114" s="14">
        <f t="shared" si="95"/>
        <v>50.084411684709657</v>
      </c>
      <c r="CW114" s="22">
        <f t="shared" si="67"/>
        <v>438.26131635086909</v>
      </c>
      <c r="CX114" s="62">
        <f t="shared" si="68"/>
        <v>731.59464968420241</v>
      </c>
      <c r="CY114" s="62">
        <f ca="1">AVERAGE(OFFSET($CX$3,0,0,'Données projet'!$E$13+1,1))-AVERAGE(OFFSET($H$3,0,0,'Données projet'!$E$13+1,1))</f>
        <v>293.996396026019</v>
      </c>
      <c r="CZ114" s="62">
        <f t="shared" si="96"/>
        <v>152.23954167722536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195.80903373714432</v>
      </c>
      <c r="T115" s="62">
        <f t="shared" si="88"/>
        <v>388.30721786668977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11.619941219078822</v>
      </c>
      <c r="AA115" s="23">
        <f>EXP(-LN(2)/25)*AA114+(1-EXP(-LN(2)/25))/(LN(2)/25)*Calculateur!V115*Calculateur!X115*VLOOKUP('Données projet'!$B$9,Paramètres!$A$1:$I$89,3,0)*0.475*44/12</f>
        <v>5.3168996289443431</v>
      </c>
      <c r="AB115" s="23">
        <f>EXP(-LN(2)/2)*AB114+(1-EXP(-LN(2)/2))/(LN(2)/2)*V115*Y115*VLOOKUP('Données projet'!$B$9,Paramètres!$A$1:$I$89,3,0)*0.475*44/12</f>
        <v>8.1080343326612372E-11</v>
      </c>
      <c r="AC115" s="24">
        <f t="shared" si="57"/>
        <v>16.936840848104247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-4.9658410716801891E-14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303.33040062722074</v>
      </c>
      <c r="AO115" s="62">
        <f t="shared" si="90"/>
        <v>425.30058672361548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2.440948705306599</v>
      </c>
      <c r="AV115" s="23">
        <f>EXP(-LN(2)/25)*AV114+(1-EXP(-LN(2)/25))/(LN(2)/25)*Calculateur!AQ115*Calculateur!AS115*VLOOKUP('Données projet'!$B$10,Paramètres!$A$1:$I$89,3,0)*0.475*44/12</f>
        <v>3.1678992327331836</v>
      </c>
      <c r="AW115" s="23">
        <f>EXP(-LN(2)/2)*AW114+(1-EXP(-LN(2)/2))/(LN(2)/2)*AQ115*AT115*VLOOKUP('Données projet'!$B$10,Paramètres!$A$1:$I$89,3,0)*0.475*44/12</f>
        <v>5.3894345106461679E-13</v>
      </c>
      <c r="AX115" s="23">
        <f t="shared" si="60"/>
        <v>5.6088479380403218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1.5961632016114892E-13</v>
      </c>
      <c r="BF115" s="14">
        <f t="shared" si="91"/>
        <v>2.2708641912150958E-12</v>
      </c>
      <c r="BG115" s="22">
        <f t="shared" si="61"/>
        <v>4.2330868906469593E-12</v>
      </c>
      <c r="BH115" s="62">
        <f t="shared" si="62"/>
        <v>293.33333333333752</v>
      </c>
      <c r="BI115" s="62">
        <f ca="1">AVERAGE(OFFSET($BH$3,0,0,'Données projet'!$E$11+1,1))-AVERAGE(OFFSET($H$3,0,0,'Données projet'!$E$11+1,1))</f>
        <v>317.54276561627643</v>
      </c>
      <c r="BJ115" s="62">
        <f t="shared" si="92"/>
        <v>238.92443174298893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-9.9316821433603781E-14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195.30963433439501</v>
      </c>
      <c r="CE115" s="62">
        <f t="shared" si="94"/>
        <v>185.00219255324504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2.8</v>
      </c>
      <c r="CT115" s="13">
        <f>IF('Données projet'!$A$140&gt;35,CT114+CS115-DB114,IF(A115&lt;'Données projet'!$A$140,$CQ$205^A115,IF(A115='Données projet'!$A$140,'Données projet'!$B$140,CT114+CS115-DB114)))</f>
        <v>214.59999999999988</v>
      </c>
      <c r="CU115" s="18">
        <f>CT115*VLOOKUP('Données projet'!$B$13,Paramètres!$A$1:$I$89,3,0)*VLOOKUP('Données projet'!$B$13,Paramètres!$A$1:$I$89,5,0)</f>
        <v>204.21335999999988</v>
      </c>
      <c r="CV115" s="14">
        <f t="shared" si="95"/>
        <v>50.669010210991793</v>
      </c>
      <c r="CW115" s="22">
        <f t="shared" si="67"/>
        <v>443.92012811747713</v>
      </c>
      <c r="CX115" s="62">
        <f t="shared" si="68"/>
        <v>737.25346145081039</v>
      </c>
      <c r="CY115" s="62">
        <f ca="1">AVERAGE(OFFSET($CX$3,0,0,'Données projet'!$E$13+1,1))-AVERAGE(OFFSET($H$3,0,0,'Données projet'!$E$13+1,1))</f>
        <v>293.996396026019</v>
      </c>
      <c r="CZ115" s="62">
        <f t="shared" si="96"/>
        <v>152.23954167722536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195.80903373714432</v>
      </c>
      <c r="T116" s="62">
        <f t="shared" si="88"/>
        <v>388.30721786668977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11.392081259237001</v>
      </c>
      <c r="AA116" s="23">
        <f>EXP(-LN(2)/25)*AA115+(1-EXP(-LN(2)/25))/(LN(2)/25)*Calculateur!V116*Calculateur!X116*VLOOKUP('Données projet'!$B$9,Paramètres!$A$1:$I$89,3,0)*0.475*44/12</f>
        <v>5.1715087289872601</v>
      </c>
      <c r="AB116" s="23">
        <f>EXP(-LN(2)/2)*AB115+(1-EXP(-LN(2)/2))/(LN(2)/2)*V116*Y116*VLOOKUP('Données projet'!$B$9,Paramètres!$A$1:$I$89,3,0)*0.475*44/12</f>
        <v>5.7332460587181049E-11</v>
      </c>
      <c r="AC116" s="24">
        <f t="shared" si="57"/>
        <v>16.563589988281596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-4.9658410716801891E-14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303.33040062722074</v>
      </c>
      <c r="AO116" s="62">
        <f t="shared" si="90"/>
        <v>425.30058672361548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2.3930831900272369</v>
      </c>
      <c r="AV116" s="23">
        <f>EXP(-LN(2)/25)*AV115+(1-EXP(-LN(2)/25))/(LN(2)/25)*Calculateur!AQ116*Calculateur!AS116*VLOOKUP('Données projet'!$B$10,Paramètres!$A$1:$I$89,3,0)*0.475*44/12</f>
        <v>3.0812728616215144</v>
      </c>
      <c r="AW116" s="23">
        <f>EXP(-LN(2)/2)*AW115+(1-EXP(-LN(2)/2))/(LN(2)/2)*AQ116*AT116*VLOOKUP('Données projet'!$B$10,Paramètres!$A$1:$I$89,3,0)*0.475*44/12</f>
        <v>3.8109056892387077E-13</v>
      </c>
      <c r="AX116" s="23">
        <f t="shared" si="60"/>
        <v>5.4743560516491323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1.5961632016114892E-13</v>
      </c>
      <c r="BF116" s="14">
        <f t="shared" si="91"/>
        <v>2.2708641912150958E-12</v>
      </c>
      <c r="BG116" s="22">
        <f t="shared" si="61"/>
        <v>4.2330868906469593E-12</v>
      </c>
      <c r="BH116" s="62">
        <f t="shared" si="62"/>
        <v>293.33333333333752</v>
      </c>
      <c r="BI116" s="62">
        <f ca="1">AVERAGE(OFFSET($BH$3,0,0,'Données projet'!$E$11+1,1))-AVERAGE(OFFSET($H$3,0,0,'Données projet'!$E$11+1,1))</f>
        <v>317.54276561627643</v>
      </c>
      <c r="BJ116" s="62">
        <f t="shared" si="92"/>
        <v>238.92443174298893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-9.9316821433603781E-14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195.30963433439501</v>
      </c>
      <c r="CE116" s="62">
        <f t="shared" si="94"/>
        <v>185.00219255324504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2.8</v>
      </c>
      <c r="CT116" s="13">
        <f>IF('Données projet'!$A$140&gt;35,CT115+CS116-DB115,IF(A116&lt;'Données projet'!$A$140,$CQ$205^A116,IF(A116='Données projet'!$A$140,'Données projet'!$B$140,CT115+CS116-DB115)))</f>
        <v>217.39999999999989</v>
      </c>
      <c r="CU116" s="18">
        <f>CT116*VLOOKUP('Données projet'!$B$13,Paramètres!$A$1:$I$89,3,0)*VLOOKUP('Données projet'!$B$13,Paramètres!$A$1:$I$89,5,0)</f>
        <v>206.87783999999988</v>
      </c>
      <c r="CV116" s="14">
        <f t="shared" si="95"/>
        <v>51.252721535720333</v>
      </c>
      <c r="CW116" s="22">
        <f t="shared" si="67"/>
        <v>449.57739467471271</v>
      </c>
      <c r="CX116" s="62">
        <f t="shared" si="68"/>
        <v>742.91072800804602</v>
      </c>
      <c r="CY116" s="62">
        <f ca="1">AVERAGE(OFFSET($CX$3,0,0,'Données projet'!$E$13+1,1))-AVERAGE(OFFSET($H$3,0,0,'Données projet'!$E$13+1,1))</f>
        <v>293.996396026019</v>
      </c>
      <c r="CZ116" s="62">
        <f t="shared" si="96"/>
        <v>152.23954167722536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195.80903373714432</v>
      </c>
      <c r="T117" s="62">
        <f t="shared" si="88"/>
        <v>388.30721786668977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11.168689494226825</v>
      </c>
      <c r="AA117" s="23">
        <f>EXP(-LN(2)/25)*AA116+(1-EXP(-LN(2)/25))/(LN(2)/25)*Calculateur!V117*Calculateur!X117*VLOOKUP('Données projet'!$B$9,Paramètres!$A$1:$I$89,3,0)*0.475*44/12</f>
        <v>5.0300935508352786</v>
      </c>
      <c r="AB117" s="23">
        <f>EXP(-LN(2)/2)*AB116+(1-EXP(-LN(2)/2))/(LN(2)/2)*V117*Y117*VLOOKUP('Données projet'!$B$9,Paramètres!$A$1:$I$89,3,0)*0.475*44/12</f>
        <v>4.0540171663306192E-11</v>
      </c>
      <c r="AC117" s="24">
        <f t="shared" si="57"/>
        <v>16.198783045102644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-4.9658410716801891E-14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303.33040062722074</v>
      </c>
      <c r="AO117" s="62">
        <f t="shared" si="90"/>
        <v>425.30058672361548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2.3461562883074216</v>
      </c>
      <c r="AV117" s="23">
        <f>EXP(-LN(2)/25)*AV116+(1-EXP(-LN(2)/25))/(LN(2)/25)*Calculateur!AQ117*Calculateur!AS117*VLOOKUP('Données projet'!$B$10,Paramètres!$A$1:$I$89,3,0)*0.475*44/12</f>
        <v>2.9970152931833764</v>
      </c>
      <c r="AW117" s="23">
        <f>EXP(-LN(2)/2)*AW116+(1-EXP(-LN(2)/2))/(LN(2)/2)*AQ117*AT117*VLOOKUP('Données projet'!$B$10,Paramètres!$A$1:$I$89,3,0)*0.475*44/12</f>
        <v>2.6947172553230839E-13</v>
      </c>
      <c r="AX117" s="23">
        <f t="shared" si="60"/>
        <v>5.3431715814910676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1.5961632016114892E-13</v>
      </c>
      <c r="BF117" s="14">
        <f t="shared" si="91"/>
        <v>2.2708641912150958E-12</v>
      </c>
      <c r="BG117" s="22">
        <f t="shared" si="61"/>
        <v>4.2330868906469593E-12</v>
      </c>
      <c r="BH117" s="62">
        <f t="shared" si="62"/>
        <v>293.33333333333752</v>
      </c>
      <c r="BI117" s="62">
        <f ca="1">AVERAGE(OFFSET($BH$3,0,0,'Données projet'!$E$11+1,1))-AVERAGE(OFFSET($H$3,0,0,'Données projet'!$E$11+1,1))</f>
        <v>317.54276561627643</v>
      </c>
      <c r="BJ117" s="62">
        <f t="shared" si="92"/>
        <v>238.92443174298893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-9.9316821433603781E-14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195.30963433439501</v>
      </c>
      <c r="CE117" s="62">
        <f t="shared" si="94"/>
        <v>185.00219255324504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2.8</v>
      </c>
      <c r="CT117" s="13">
        <f>IF('Données projet'!$A$140&gt;35,CT116+CS117-DB116,IF(A117&lt;'Données projet'!$A$140,$CQ$205^A117,IF(A117='Données projet'!$A$140,'Données projet'!$B$140,CT116+CS117-DB116)))</f>
        <v>220.1999999999999</v>
      </c>
      <c r="CU117" s="18">
        <f>CT117*VLOOKUP('Données projet'!$B$13,Paramètres!$A$1:$I$89,3,0)*VLOOKUP('Données projet'!$B$13,Paramètres!$A$1:$I$89,5,0)</f>
        <v>209.54231999999993</v>
      </c>
      <c r="CV117" s="14">
        <f t="shared" si="95"/>
        <v>51.835558406813547</v>
      </c>
      <c r="CW117" s="22">
        <f t="shared" si="67"/>
        <v>455.23313822520009</v>
      </c>
      <c r="CX117" s="62">
        <f t="shared" si="68"/>
        <v>748.56647155853341</v>
      </c>
      <c r="CY117" s="62">
        <f ca="1">AVERAGE(OFFSET($CX$3,0,0,'Données projet'!$E$13+1,1))-AVERAGE(OFFSET($H$3,0,0,'Données projet'!$E$13+1,1))</f>
        <v>293.996396026019</v>
      </c>
      <c r="CZ117" s="62">
        <f t="shared" si="96"/>
        <v>152.23954167722536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195.80903373714432</v>
      </c>
      <c r="T118" s="62">
        <f t="shared" si="88"/>
        <v>388.30721786668977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10.949678305472977</v>
      </c>
      <c r="AA118" s="23">
        <f>EXP(-LN(2)/25)*AA117+(1-EXP(-LN(2)/25))/(LN(2)/25)*Calculateur!V118*Calculateur!X118*VLOOKUP('Données projet'!$B$9,Paramètres!$A$1:$I$89,3,0)*0.475*44/12</f>
        <v>4.8925453781665649</v>
      </c>
      <c r="AB118" s="23">
        <f>EXP(-LN(2)/2)*AB117+(1-EXP(-LN(2)/2))/(LN(2)/2)*V118*Y118*VLOOKUP('Données projet'!$B$9,Paramètres!$A$1:$I$89,3,0)*0.475*44/12</f>
        <v>2.8666230293590528E-11</v>
      </c>
      <c r="AC118" s="24">
        <f t="shared" si="57"/>
        <v>15.842223683668209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-4.9658410716801891E-14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303.33040062722074</v>
      </c>
      <c r="AO118" s="62">
        <f t="shared" si="90"/>
        <v>425.30058672361548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2.3001495945077481</v>
      </c>
      <c r="AV118" s="23">
        <f>EXP(-LN(2)/25)*AV117+(1-EXP(-LN(2)/25))/(LN(2)/25)*Calculateur!AQ118*Calculateur!AS118*VLOOKUP('Données projet'!$B$10,Paramètres!$A$1:$I$89,3,0)*0.475*44/12</f>
        <v>2.9150617523850926</v>
      </c>
      <c r="AW118" s="23">
        <f>EXP(-LN(2)/2)*AW117+(1-EXP(-LN(2)/2))/(LN(2)/2)*AQ118*AT118*VLOOKUP('Données projet'!$B$10,Paramètres!$A$1:$I$89,3,0)*0.475*44/12</f>
        <v>1.9054528446193538E-13</v>
      </c>
      <c r="AX118" s="23">
        <f t="shared" si="60"/>
        <v>5.2152113468930317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1.5961632016114892E-13</v>
      </c>
      <c r="BF118" s="14">
        <f t="shared" si="91"/>
        <v>2.2708641912150958E-12</v>
      </c>
      <c r="BG118" s="22">
        <f t="shared" si="61"/>
        <v>4.2330868906469593E-12</v>
      </c>
      <c r="BH118" s="62">
        <f t="shared" si="62"/>
        <v>293.33333333333752</v>
      </c>
      <c r="BI118" s="62">
        <f ca="1">AVERAGE(OFFSET($BH$3,0,0,'Données projet'!$E$11+1,1))-AVERAGE(OFFSET($H$3,0,0,'Données projet'!$E$11+1,1))</f>
        <v>317.54276561627643</v>
      </c>
      <c r="BJ118" s="62">
        <f t="shared" si="92"/>
        <v>238.92443174298893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-9.9316821433603781E-14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195.30963433439501</v>
      </c>
      <c r="CE118" s="62">
        <f t="shared" si="94"/>
        <v>185.00219255324504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223</v>
      </c>
      <c r="CR118" s="13">
        <f>VLOOKUP(A118,'Données projet'!$A$139:$I$159,9,0)</f>
        <v>2.8</v>
      </c>
      <c r="CS118" s="13">
        <f t="array" ref="CS118">INDEX(CR:CR,MIN(IF(ISNUMBER(CR118:CR314),ROW(CR118:CR314),"")))</f>
        <v>2.8</v>
      </c>
      <c r="CT118" s="13">
        <f>IF('Données projet'!$A$140&gt;35,CT117+CS118-DB117,IF(A118&lt;'Données projet'!$A$140,$CQ$205^A118,IF(A118='Données projet'!$A$140,'Données projet'!$B$140,CT117+CS118-DB117)))</f>
        <v>222.99999999999991</v>
      </c>
      <c r="CU118" s="18">
        <f>CT118*VLOOKUP('Données projet'!$B$13,Paramètres!$A$1:$I$89,3,0)*VLOOKUP('Données projet'!$B$13,Paramètres!$A$1:$I$89,5,0)</f>
        <v>212.20679999999993</v>
      </c>
      <c r="CV118" s="14">
        <f t="shared" si="95"/>
        <v>52.417533229349637</v>
      </c>
      <c r="CW118" s="22">
        <f t="shared" si="67"/>
        <v>460.88738037445046</v>
      </c>
      <c r="CX118" s="62">
        <f t="shared" si="68"/>
        <v>754.22071370778372</v>
      </c>
      <c r="CY118" s="62">
        <f ca="1">AVERAGE(OFFSET($CX$3,0,0,'Données projet'!$E$13+1,1))-AVERAGE(OFFSET($H$3,0,0,'Données projet'!$E$13+1,1))</f>
        <v>293.996396026019</v>
      </c>
      <c r="CZ118" s="62">
        <f t="shared" si="96"/>
        <v>152.23954167722536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13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195.80903373714432</v>
      </c>
      <c r="T119" s="62">
        <f t="shared" si="88"/>
        <v>388.30721786668977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10.734961792546956</v>
      </c>
      <c r="AA119" s="23">
        <f>EXP(-LN(2)/25)*AA118+(1-EXP(-LN(2)/25))/(LN(2)/25)*Calculateur!V119*Calculateur!X119*VLOOKUP('Données projet'!$B$9,Paramètres!$A$1:$I$89,3,0)*0.475*44/12</f>
        <v>4.7587584675128207</v>
      </c>
      <c r="AB119" s="23">
        <f>EXP(-LN(2)/2)*AB118+(1-EXP(-LN(2)/2))/(LN(2)/2)*V119*Y119*VLOOKUP('Données projet'!$B$9,Paramètres!$A$1:$I$89,3,0)*0.475*44/12</f>
        <v>2.0270085831653099E-11</v>
      </c>
      <c r="AC119" s="24">
        <f t="shared" si="57"/>
        <v>15.493720260080048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-4.9658410716801891E-14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303.33040062722074</v>
      </c>
      <c r="AO119" s="62">
        <f t="shared" si="90"/>
        <v>425.30058672361548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2.2550450639121737</v>
      </c>
      <c r="AV119" s="23">
        <f>EXP(-LN(2)/25)*AV118+(1-EXP(-LN(2)/25))/(LN(2)/25)*Calculateur!AQ119*Calculateur!AS119*VLOOKUP('Données projet'!$B$10,Paramètres!$A$1:$I$89,3,0)*0.475*44/12</f>
        <v>2.8353492354696872</v>
      </c>
      <c r="AW119" s="23">
        <f>EXP(-LN(2)/2)*AW118+(1-EXP(-LN(2)/2))/(LN(2)/2)*AQ119*AT119*VLOOKUP('Données projet'!$B$10,Paramètres!$A$1:$I$89,3,0)*0.475*44/12</f>
        <v>1.347358627661542E-13</v>
      </c>
      <c r="AX119" s="23">
        <f t="shared" si="60"/>
        <v>5.0903942993819964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1.5961632016114892E-13</v>
      </c>
      <c r="BF119" s="14">
        <f t="shared" si="91"/>
        <v>2.2708641912150958E-12</v>
      </c>
      <c r="BG119" s="22">
        <f t="shared" si="61"/>
        <v>4.2330868906469593E-12</v>
      </c>
      <c r="BH119" s="62">
        <f t="shared" si="62"/>
        <v>293.33333333333752</v>
      </c>
      <c r="BI119" s="62">
        <f ca="1">AVERAGE(OFFSET($BH$3,0,0,'Données projet'!$E$11+1,1))-AVERAGE(OFFSET($H$3,0,0,'Données projet'!$E$11+1,1))</f>
        <v>317.54276561627643</v>
      </c>
      <c r="BJ119" s="62">
        <f t="shared" si="92"/>
        <v>238.92443174298893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-9.9316821433603781E-14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195.30963433439501</v>
      </c>
      <c r="CE119" s="62">
        <f t="shared" si="94"/>
        <v>185.00219255324504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2.4</v>
      </c>
      <c r="CT119" s="13">
        <f>IF('Données projet'!$A$140&gt;35,CT118+CS119-DB118,IF(A119&lt;'Données projet'!$A$140,$CQ$205^A119,IF(A119='Données projet'!$A$140,'Données projet'!$B$140,CT118+CS119-DB118)))</f>
        <v>212.39999999999992</v>
      </c>
      <c r="CU119" s="18">
        <f>CT119*VLOOKUP('Données projet'!$B$13,Paramètres!$A$1:$I$89,3,0)*VLOOKUP('Données projet'!$B$13,Paramètres!$A$1:$I$89,5,0)</f>
        <v>202.1198399999999</v>
      </c>
      <c r="CV119" s="14">
        <f t="shared" si="95"/>
        <v>50.209758136493654</v>
      </c>
      <c r="CW119" s="22">
        <f t="shared" si="67"/>
        <v>439.47405008772625</v>
      </c>
      <c r="CX119" s="62">
        <f t="shared" si="68"/>
        <v>732.80738342105951</v>
      </c>
      <c r="CY119" s="62">
        <f ca="1">AVERAGE(OFFSET($CX$3,0,0,'Données projet'!$E$13+1,1))-AVERAGE(OFFSET($H$3,0,0,'Données projet'!$E$13+1,1))</f>
        <v>293.996396026019</v>
      </c>
      <c r="CZ119" s="62">
        <f t="shared" si="96"/>
        <v>152.23954167722536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195.80903373714432</v>
      </c>
      <c r="T120" s="62">
        <f t="shared" si="88"/>
        <v>388.30721786668977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10.524455739475274</v>
      </c>
      <c r="AA120" s="23">
        <f>EXP(-LN(2)/25)*AA119+(1-EXP(-LN(2)/25))/(LN(2)/25)*Calculateur!V120*Calculateur!X120*VLOOKUP('Données projet'!$B$9,Paramètres!$A$1:$I$89,3,0)*0.475*44/12</f>
        <v>4.628629966966451</v>
      </c>
      <c r="AB120" s="23">
        <f>EXP(-LN(2)/2)*AB119+(1-EXP(-LN(2)/2))/(LN(2)/2)*V120*Y120*VLOOKUP('Données projet'!$B$9,Paramètres!$A$1:$I$89,3,0)*0.475*44/12</f>
        <v>1.4333115146795267E-11</v>
      </c>
      <c r="AC120" s="24">
        <f t="shared" si="57"/>
        <v>15.153085706456059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-4.9658410716801891E-14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303.33040062722074</v>
      </c>
      <c r="AO120" s="62">
        <f t="shared" si="90"/>
        <v>425.30058672361548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2.2108250056505314</v>
      </c>
      <c r="AV120" s="23">
        <f>EXP(-LN(2)/25)*AV119+(1-EXP(-LN(2)/25))/(LN(2)/25)*Calculateur!AQ120*Calculateur!AS120*VLOOKUP('Données projet'!$B$10,Paramètres!$A$1:$I$89,3,0)*0.475*44/12</f>
        <v>2.7578164615212324</v>
      </c>
      <c r="AW120" s="23">
        <f>EXP(-LN(2)/2)*AW119+(1-EXP(-LN(2)/2))/(LN(2)/2)*AQ120*AT120*VLOOKUP('Données projet'!$B$10,Paramètres!$A$1:$I$89,3,0)*0.475*44/12</f>
        <v>9.5272642230967692E-14</v>
      </c>
      <c r="AX120" s="23">
        <f t="shared" si="60"/>
        <v>4.9686414671718593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1.5961632016114892E-13</v>
      </c>
      <c r="BF120" s="14">
        <f t="shared" si="91"/>
        <v>2.2708641912150958E-12</v>
      </c>
      <c r="BG120" s="22">
        <f t="shared" si="61"/>
        <v>4.2330868906469593E-12</v>
      </c>
      <c r="BH120" s="62">
        <f t="shared" si="62"/>
        <v>293.33333333333752</v>
      </c>
      <c r="BI120" s="62">
        <f ca="1">AVERAGE(OFFSET($BH$3,0,0,'Données projet'!$E$11+1,1))-AVERAGE(OFFSET($H$3,0,0,'Données projet'!$E$11+1,1))</f>
        <v>317.54276561627643</v>
      </c>
      <c r="BJ120" s="62">
        <f t="shared" si="92"/>
        <v>238.92443174298893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-9.9316821433603781E-14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195.30963433439501</v>
      </c>
      <c r="CE120" s="62">
        <f t="shared" si="94"/>
        <v>185.00219255324504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2.4</v>
      </c>
      <c r="CT120" s="13">
        <f>IF('Données projet'!$A$140&gt;35,CT119+CS120-DB119,IF(A120&lt;'Données projet'!$A$140,$CQ$205^A120,IF(A120='Données projet'!$A$140,'Données projet'!$B$140,CT119+CS120-DB119)))</f>
        <v>214.79999999999993</v>
      </c>
      <c r="CU120" s="18">
        <f>CT120*VLOOKUP('Données projet'!$B$13,Paramètres!$A$1:$I$89,3,0)*VLOOKUP('Données projet'!$B$13,Paramètres!$A$1:$I$89,5,0)</f>
        <v>204.40367999999995</v>
      </c>
      <c r="CV120" s="14">
        <f t="shared" si="95"/>
        <v>50.710733146553501</v>
      </c>
      <c r="CW120" s="22">
        <f t="shared" si="67"/>
        <v>444.32426956358057</v>
      </c>
      <c r="CX120" s="62">
        <f t="shared" si="68"/>
        <v>737.65760289691389</v>
      </c>
      <c r="CY120" s="62">
        <f ca="1">AVERAGE(OFFSET($CX$3,0,0,'Données projet'!$E$13+1,1))-AVERAGE(OFFSET($H$3,0,0,'Données projet'!$E$13+1,1))</f>
        <v>293.996396026019</v>
      </c>
      <c r="CZ120" s="62">
        <f t="shared" si="96"/>
        <v>152.23954167722536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195.80903373714432</v>
      </c>
      <c r="T121" s="62">
        <f t="shared" si="88"/>
        <v>388.30721786668977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10.318077581708312</v>
      </c>
      <c r="AA121" s="23">
        <f>EXP(-LN(2)/25)*AA120+(1-EXP(-LN(2)/25))/(LN(2)/25)*Calculateur!V121*Calculateur!X121*VLOOKUP('Données projet'!$B$9,Paramètres!$A$1:$I$89,3,0)*0.475*44/12</f>
        <v>4.5020598371106821</v>
      </c>
      <c r="AB121" s="23">
        <f>EXP(-LN(2)/2)*AB120+(1-EXP(-LN(2)/2))/(LN(2)/2)*V121*Y121*VLOOKUP('Données projet'!$B$9,Paramètres!$A$1:$I$89,3,0)*0.475*44/12</f>
        <v>1.0135042915826551E-11</v>
      </c>
      <c r="AC121" s="24">
        <f t="shared" si="57"/>
        <v>14.82013741882913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-4.9658410716801891E-14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303.33040062722074</v>
      </c>
      <c r="AO121" s="62">
        <f t="shared" si="90"/>
        <v>425.30058672361548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2.1674720757598274</v>
      </c>
      <c r="AV121" s="23">
        <f>EXP(-LN(2)/25)*AV120+(1-EXP(-LN(2)/25))/(LN(2)/25)*Calculateur!AQ121*Calculateur!AS121*VLOOKUP('Données projet'!$B$10,Paramètres!$A$1:$I$89,3,0)*0.475*44/12</f>
        <v>2.6824038253536697</v>
      </c>
      <c r="AW121" s="23">
        <f>EXP(-LN(2)/2)*AW120+(1-EXP(-LN(2)/2))/(LN(2)/2)*AQ121*AT121*VLOOKUP('Données projet'!$B$10,Paramètres!$A$1:$I$89,3,0)*0.475*44/12</f>
        <v>6.7367931383077098E-14</v>
      </c>
      <c r="AX121" s="23">
        <f t="shared" si="60"/>
        <v>4.849875901113565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1.5961632016114892E-13</v>
      </c>
      <c r="BF121" s="14">
        <f t="shared" si="91"/>
        <v>2.2708641912150958E-12</v>
      </c>
      <c r="BG121" s="22">
        <f t="shared" si="61"/>
        <v>4.2330868906469593E-12</v>
      </c>
      <c r="BH121" s="62">
        <f t="shared" si="62"/>
        <v>293.33333333333752</v>
      </c>
      <c r="BI121" s="62">
        <f ca="1">AVERAGE(OFFSET($BH$3,0,0,'Données projet'!$E$11+1,1))-AVERAGE(OFFSET($H$3,0,0,'Données projet'!$E$11+1,1))</f>
        <v>317.54276561627643</v>
      </c>
      <c r="BJ121" s="62">
        <f t="shared" si="92"/>
        <v>238.92443174298893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-9.9316821433603781E-14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195.30963433439501</v>
      </c>
      <c r="CE121" s="62">
        <f t="shared" si="94"/>
        <v>185.00219255324504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2.4</v>
      </c>
      <c r="CT121" s="13">
        <f>IF('Données projet'!$A$140&gt;35,CT120+CS121-DB120,IF(A121&lt;'Données projet'!$A$140,$CQ$205^A121,IF(A121='Données projet'!$A$140,'Données projet'!$B$140,CT120+CS121-DB120)))</f>
        <v>217.19999999999993</v>
      </c>
      <c r="CU121" s="18">
        <f>CT121*VLOOKUP('Données projet'!$B$13,Paramètres!$A$1:$I$89,3,0)*VLOOKUP('Données projet'!$B$13,Paramètres!$A$1:$I$89,5,0)</f>
        <v>206.68751999999995</v>
      </c>
      <c r="CV121" s="14">
        <f t="shared" si="95"/>
        <v>51.211057018402521</v>
      </c>
      <c r="CW121" s="22">
        <f t="shared" si="67"/>
        <v>449.17335497371761</v>
      </c>
      <c r="CX121" s="62">
        <f t="shared" si="68"/>
        <v>742.50668830705092</v>
      </c>
      <c r="CY121" s="62">
        <f ca="1">AVERAGE(OFFSET($CX$3,0,0,'Données projet'!$E$13+1,1))-AVERAGE(OFFSET($H$3,0,0,'Données projet'!$E$13+1,1))</f>
        <v>293.996396026019</v>
      </c>
      <c r="CZ121" s="62">
        <f t="shared" si="96"/>
        <v>152.23954167722536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195.80903373714432</v>
      </c>
      <c r="T122" s="62">
        <f t="shared" si="88"/>
        <v>388.30721786668977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10.115746373736915</v>
      </c>
      <c r="AA122" s="23">
        <f>EXP(-LN(2)/25)*AA121+(1-EXP(-LN(2)/25))/(LN(2)/25)*Calculateur!V122*Calculateur!X122*VLOOKUP('Données projet'!$B$9,Paramètres!$A$1:$I$89,3,0)*0.475*44/12</f>
        <v>4.3789507741118534</v>
      </c>
      <c r="AB122" s="23">
        <f>EXP(-LN(2)/2)*AB121+(1-EXP(-LN(2)/2))/(LN(2)/2)*V122*Y122*VLOOKUP('Données projet'!$B$9,Paramètres!$A$1:$I$89,3,0)*0.475*44/12</f>
        <v>7.1665575733976343E-12</v>
      </c>
      <c r="AC122" s="24">
        <f t="shared" si="57"/>
        <v>14.494697147855934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-4.9658410716801891E-14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303.33040062722074</v>
      </c>
      <c r="AO122" s="62">
        <f t="shared" si="90"/>
        <v>425.30058672361548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2.1249692703816039</v>
      </c>
      <c r="AV122" s="23">
        <f>EXP(-LN(2)/25)*AV121+(1-EXP(-LN(2)/25))/(LN(2)/25)*Calculateur!AQ122*Calculateur!AS122*VLOOKUP('Données projet'!$B$10,Paramètres!$A$1:$I$89,3,0)*0.475*44/12</f>
        <v>2.6090533516878871</v>
      </c>
      <c r="AW122" s="23">
        <f>EXP(-LN(2)/2)*AW121+(1-EXP(-LN(2)/2))/(LN(2)/2)*AQ122*AT122*VLOOKUP('Données projet'!$B$10,Paramètres!$A$1:$I$89,3,0)*0.475*44/12</f>
        <v>4.7636321115483846E-14</v>
      </c>
      <c r="AX122" s="23">
        <f t="shared" si="60"/>
        <v>4.7340226220695385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1.5961632016114892E-13</v>
      </c>
      <c r="BF122" s="14">
        <f t="shared" si="91"/>
        <v>2.2708641912150958E-12</v>
      </c>
      <c r="BG122" s="22">
        <f t="shared" si="61"/>
        <v>4.2330868906469593E-12</v>
      </c>
      <c r="BH122" s="62">
        <f t="shared" si="62"/>
        <v>293.33333333333752</v>
      </c>
      <c r="BI122" s="62">
        <f ca="1">AVERAGE(OFFSET($BH$3,0,0,'Données projet'!$E$11+1,1))-AVERAGE(OFFSET($H$3,0,0,'Données projet'!$E$11+1,1))</f>
        <v>317.54276561627643</v>
      </c>
      <c r="BJ122" s="62">
        <f t="shared" si="92"/>
        <v>238.92443174298893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-9.9316821433603781E-14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195.30963433439501</v>
      </c>
      <c r="CE122" s="62">
        <f t="shared" si="94"/>
        <v>185.00219255324504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2.4</v>
      </c>
      <c r="CT122" s="13">
        <f>IF('Données projet'!$A$140&gt;35,CT121+CS122-DB121,IF(A122&lt;'Données projet'!$A$140,$CQ$205^A122,IF(A122='Données projet'!$A$140,'Données projet'!$B$140,CT121+CS122-DB121)))</f>
        <v>219.59999999999994</v>
      </c>
      <c r="CU122" s="18">
        <f>CT122*VLOOKUP('Données projet'!$B$13,Paramètres!$A$1:$I$89,3,0)*VLOOKUP('Données projet'!$B$13,Paramètres!$A$1:$I$89,5,0)</f>
        <v>208.97135999999995</v>
      </c>
      <c r="CV122" s="14">
        <f t="shared" si="95"/>
        <v>51.710737779589067</v>
      </c>
      <c r="CW122" s="22">
        <f t="shared" si="67"/>
        <v>454.02132029945079</v>
      </c>
      <c r="CX122" s="62">
        <f t="shared" si="68"/>
        <v>747.35465363278411</v>
      </c>
      <c r="CY122" s="62">
        <f ca="1">AVERAGE(OFFSET($CX$3,0,0,'Données projet'!$E$13+1,1))-AVERAGE(OFFSET($H$3,0,0,'Données projet'!$E$13+1,1))</f>
        <v>293.996396026019</v>
      </c>
      <c r="CZ122" s="62">
        <f t="shared" si="96"/>
        <v>152.23954167722536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195.80903373714432</v>
      </c>
      <c r="T123" s="62">
        <f t="shared" si="88"/>
        <v>388.30721786668977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9.9173827573439848</v>
      </c>
      <c r="AA123" s="23">
        <f>EXP(-LN(2)/25)*AA122+(1-EXP(-LN(2)/25))/(LN(2)/25)*Calculateur!V123*Calculateur!X123*VLOOKUP('Données projet'!$B$9,Paramètres!$A$1:$I$89,3,0)*0.475*44/12</f>
        <v>4.2592081349147515</v>
      </c>
      <c r="AB123" s="23">
        <f>EXP(-LN(2)/2)*AB122+(1-EXP(-LN(2)/2))/(LN(2)/2)*V123*Y123*VLOOKUP('Données projet'!$B$9,Paramètres!$A$1:$I$89,3,0)*0.475*44/12</f>
        <v>5.0675214579132765E-12</v>
      </c>
      <c r="AC123" s="24">
        <f t="shared" si="57"/>
        <v>14.176590892263805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-4.9658410716801891E-14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303.33040062722074</v>
      </c>
      <c r="AO123" s="62">
        <f t="shared" si="90"/>
        <v>425.30058672361548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2.083299919092696</v>
      </c>
      <c r="AV123" s="23">
        <f>EXP(-LN(2)/25)*AV122+(1-EXP(-LN(2)/25))/(LN(2)/25)*Calculateur!AQ123*Calculateur!AS123*VLOOKUP('Données projet'!$B$10,Paramètres!$A$1:$I$89,3,0)*0.475*44/12</f>
        <v>2.5377086505818292</v>
      </c>
      <c r="AW123" s="23">
        <f>EXP(-LN(2)/2)*AW122+(1-EXP(-LN(2)/2))/(LN(2)/2)*AQ123*AT123*VLOOKUP('Données projet'!$B$10,Paramètres!$A$1:$I$89,3,0)*0.475*44/12</f>
        <v>3.3683965691538549E-14</v>
      </c>
      <c r="AX123" s="23">
        <f t="shared" si="60"/>
        <v>4.6210085696745589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1.5961632016114892E-13</v>
      </c>
      <c r="BF123" s="14">
        <f t="shared" si="91"/>
        <v>2.2708641912150958E-12</v>
      </c>
      <c r="BG123" s="22">
        <f t="shared" si="61"/>
        <v>4.2330868906469593E-12</v>
      </c>
      <c r="BH123" s="62">
        <f t="shared" si="62"/>
        <v>293.33333333333752</v>
      </c>
      <c r="BI123" s="62">
        <f ca="1">AVERAGE(OFFSET($BH$3,0,0,'Données projet'!$E$11+1,1))-AVERAGE(OFFSET($H$3,0,0,'Données projet'!$E$11+1,1))</f>
        <v>317.54276561627643</v>
      </c>
      <c r="BJ123" s="62">
        <f t="shared" si="92"/>
        <v>238.92443174298893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-9.9316821433603781E-14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195.30963433439501</v>
      </c>
      <c r="CE123" s="62">
        <f t="shared" si="94"/>
        <v>185.00219255324504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222</v>
      </c>
      <c r="CR123" s="13">
        <f>VLOOKUP(A123,'Données projet'!$A$139:$I$159,9,0)</f>
        <v>2.4</v>
      </c>
      <c r="CS123" s="13">
        <f t="array" ref="CS123">INDEX(CR:CR,MIN(IF(ISNUMBER(CR123:CR319),ROW(CR123:CR319),"")))</f>
        <v>2.4</v>
      </c>
      <c r="CT123" s="13">
        <f>IF('Données projet'!$A$140&gt;35,CT122+CS123-DB122,IF(A123&lt;'Données projet'!$A$140,$CQ$205^A123,IF(A123='Données projet'!$A$140,'Données projet'!$B$140,CT122+CS123-DB122)))</f>
        <v>221.99999999999994</v>
      </c>
      <c r="CU123" s="18">
        <f>CT123*VLOOKUP('Données projet'!$B$13,Paramètres!$A$1:$I$89,3,0)*VLOOKUP('Données projet'!$B$13,Paramètres!$A$1:$I$89,5,0)</f>
        <v>211.25519999999995</v>
      </c>
      <c r="CV123" s="14">
        <f t="shared" si="95"/>
        <v>52.209783272091016</v>
      </c>
      <c r="CW123" s="22">
        <f t="shared" si="67"/>
        <v>458.86817919889177</v>
      </c>
      <c r="CX123" s="62">
        <f t="shared" si="68"/>
        <v>752.20151253222502</v>
      </c>
      <c r="CY123" s="62">
        <f ca="1">AVERAGE(OFFSET($CX$3,0,0,'Données projet'!$E$13+1,1))-AVERAGE(OFFSET($H$3,0,0,'Données projet'!$E$13+1,1))</f>
        <v>293.996396026019</v>
      </c>
      <c r="CZ123" s="62">
        <f t="shared" si="96"/>
        <v>152.23954167722536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222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195.80903373714432</v>
      </c>
      <c r="T124" s="62">
        <f t="shared" si="88"/>
        <v>388.30721786668977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9.7229089304786616</v>
      </c>
      <c r="AA124" s="23">
        <f>EXP(-LN(2)/25)*AA123+(1-EXP(-LN(2)/25))/(LN(2)/25)*Calculateur!V124*Calculateur!X124*VLOOKUP('Données projet'!$B$9,Paramètres!$A$1:$I$89,3,0)*0.475*44/12</f>
        <v>4.1427398644834863</v>
      </c>
      <c r="AB124" s="23">
        <f>EXP(-LN(2)/2)*AB123+(1-EXP(-LN(2)/2))/(LN(2)/2)*V124*Y124*VLOOKUP('Données projet'!$B$9,Paramètres!$A$1:$I$89,3,0)*0.475*44/12</f>
        <v>3.5832787866988176E-12</v>
      </c>
      <c r="AC124" s="24">
        <f t="shared" si="57"/>
        <v>13.865648794965731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-4.9658410716801891E-14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303.33040062722074</v>
      </c>
      <c r="AO124" s="62">
        <f t="shared" si="90"/>
        <v>425.30058672361548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2.0424476783667687</v>
      </c>
      <c r="AV124" s="23">
        <f>EXP(-LN(2)/25)*AV123+(1-EXP(-LN(2)/25))/(LN(2)/25)*Calculateur!AQ124*Calculateur!AS124*VLOOKUP('Données projet'!$B$10,Paramètres!$A$1:$I$89,3,0)*0.475*44/12</f>
        <v>2.468314874079371</v>
      </c>
      <c r="AW124" s="23">
        <f>EXP(-LN(2)/2)*AW123+(1-EXP(-LN(2)/2))/(LN(2)/2)*AQ124*AT124*VLOOKUP('Données projet'!$B$10,Paramètres!$A$1:$I$89,3,0)*0.475*44/12</f>
        <v>2.3818160557741923E-14</v>
      </c>
      <c r="AX124" s="23">
        <f t="shared" si="60"/>
        <v>4.5107625524461641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1.5961632016114892E-13</v>
      </c>
      <c r="BF124" s="14">
        <f t="shared" si="91"/>
        <v>2.2708641912150958E-12</v>
      </c>
      <c r="BG124" s="22">
        <f t="shared" si="61"/>
        <v>4.2330868906469593E-12</v>
      </c>
      <c r="BH124" s="62">
        <f t="shared" si="62"/>
        <v>293.33333333333752</v>
      </c>
      <c r="BI124" s="62">
        <f ca="1">AVERAGE(OFFSET($BH$3,0,0,'Données projet'!$E$11+1,1))-AVERAGE(OFFSET($H$3,0,0,'Données projet'!$E$11+1,1))</f>
        <v>317.54276561627643</v>
      </c>
      <c r="BJ124" s="62">
        <f t="shared" si="92"/>
        <v>238.92443174298893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-9.9316821433603781E-14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195.30963433439501</v>
      </c>
      <c r="CE124" s="62">
        <f t="shared" si="94"/>
        <v>185.00219255324504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-5.4092197387944907E-14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293.996396026019</v>
      </c>
      <c r="CZ124" s="62">
        <f t="shared" si="96"/>
        <v>152.23954167722536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195.80903373714432</v>
      </c>
      <c r="T125" s="62">
        <f t="shared" si="88"/>
        <v>388.30721786668977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9.532248616740846</v>
      </c>
      <c r="AA125" s="23">
        <f>EXP(-LN(2)/25)*AA124+(1-EXP(-LN(2)/25))/(LN(2)/25)*Calculateur!V125*Calculateur!X125*VLOOKUP('Données projet'!$B$9,Paramètres!$A$1:$I$89,3,0)*0.475*44/12</f>
        <v>4.029456425031964</v>
      </c>
      <c r="AB125" s="23">
        <f>EXP(-LN(2)/2)*AB124+(1-EXP(-LN(2)/2))/(LN(2)/2)*V125*Y125*VLOOKUP('Données projet'!$B$9,Paramètres!$A$1:$I$89,3,0)*0.475*44/12</f>
        <v>2.5337607289566386E-12</v>
      </c>
      <c r="AC125" s="24">
        <f t="shared" si="57"/>
        <v>13.561705041775344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-4.9658410716801891E-14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303.33040062722074</v>
      </c>
      <c r="AO125" s="62">
        <f t="shared" si="90"/>
        <v>425.30058672361548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2.0023965251640705</v>
      </c>
      <c r="AV125" s="23">
        <f>EXP(-LN(2)/25)*AV124+(1-EXP(-LN(2)/25))/(LN(2)/25)*Calculateur!AQ125*Calculateur!AS125*VLOOKUP('Données projet'!$B$10,Paramètres!$A$1:$I$89,3,0)*0.475*44/12</f>
        <v>2.4008186740446327</v>
      </c>
      <c r="AW125" s="23">
        <f>EXP(-LN(2)/2)*AW124+(1-EXP(-LN(2)/2))/(LN(2)/2)*AQ125*AT125*VLOOKUP('Données projet'!$B$10,Paramètres!$A$1:$I$89,3,0)*0.475*44/12</f>
        <v>1.6841982845769275E-14</v>
      </c>
      <c r="AX125" s="23">
        <f t="shared" si="60"/>
        <v>4.4032151992087201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1.5961632016114892E-13</v>
      </c>
      <c r="BF125" s="14">
        <f t="shared" si="91"/>
        <v>2.2708641912150958E-12</v>
      </c>
      <c r="BG125" s="22">
        <f t="shared" si="61"/>
        <v>4.2330868906469593E-12</v>
      </c>
      <c r="BH125" s="62">
        <f t="shared" si="62"/>
        <v>293.33333333333752</v>
      </c>
      <c r="BI125" s="62">
        <f ca="1">AVERAGE(OFFSET($BH$3,0,0,'Données projet'!$E$11+1,1))-AVERAGE(OFFSET($H$3,0,0,'Données projet'!$E$11+1,1))</f>
        <v>317.54276561627643</v>
      </c>
      <c r="BJ125" s="62">
        <f t="shared" si="92"/>
        <v>238.92443174298893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-9.9316821433603781E-14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195.30963433439501</v>
      </c>
      <c r="CE125" s="62">
        <f t="shared" si="94"/>
        <v>185.00219255324504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-5.4092197387944907E-14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293.996396026019</v>
      </c>
      <c r="CZ125" s="62">
        <f t="shared" si="96"/>
        <v>152.23954167722536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195.80903373714432</v>
      </c>
      <c r="T126" s="62">
        <f t="shared" si="88"/>
        <v>388.30721786668977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9.3453270354641198</v>
      </c>
      <c r="AA126" s="23">
        <f>EXP(-LN(2)/25)*AA125+(1-EXP(-LN(2)/25))/(LN(2)/25)*Calculateur!V126*Calculateur!X126*VLOOKUP('Données projet'!$B$9,Paramètres!$A$1:$I$89,3,0)*0.475*44/12</f>
        <v>3.919270727189561</v>
      </c>
      <c r="AB126" s="23">
        <f>EXP(-LN(2)/2)*AB125+(1-EXP(-LN(2)/2))/(LN(2)/2)*V126*Y126*VLOOKUP('Données projet'!$B$9,Paramètres!$A$1:$I$89,3,0)*0.475*44/12</f>
        <v>1.7916393933494092E-12</v>
      </c>
      <c r="AC126" s="24">
        <f t="shared" si="57"/>
        <v>13.264597762655473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-4.9658410716801891E-14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303.33040062722074</v>
      </c>
      <c r="AO126" s="62">
        <f t="shared" si="90"/>
        <v>425.30058672361548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1.963130750646886</v>
      </c>
      <c r="AV126" s="23">
        <f>EXP(-LN(2)/25)*AV125+(1-EXP(-LN(2)/25))/(LN(2)/25)*Calculateur!AQ126*Calculateur!AS126*VLOOKUP('Données projet'!$B$10,Paramètres!$A$1:$I$89,3,0)*0.475*44/12</f>
        <v>2.3351681611493151</v>
      </c>
      <c r="AW126" s="23">
        <f>EXP(-LN(2)/2)*AW125+(1-EXP(-LN(2)/2))/(LN(2)/2)*AQ126*AT126*VLOOKUP('Données projet'!$B$10,Paramètres!$A$1:$I$89,3,0)*0.475*44/12</f>
        <v>1.1909080278870962E-14</v>
      </c>
      <c r="AX126" s="23">
        <f t="shared" si="60"/>
        <v>4.2982989117962127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1.5961632016114892E-13</v>
      </c>
      <c r="BF126" s="14">
        <f t="shared" si="91"/>
        <v>2.2708641912150958E-12</v>
      </c>
      <c r="BG126" s="22">
        <f t="shared" si="61"/>
        <v>4.2330868906469593E-12</v>
      </c>
      <c r="BH126" s="62">
        <f t="shared" si="62"/>
        <v>293.33333333333752</v>
      </c>
      <c r="BI126" s="62">
        <f ca="1">AVERAGE(OFFSET($BH$3,0,0,'Données projet'!$E$11+1,1))-AVERAGE(OFFSET($H$3,0,0,'Données projet'!$E$11+1,1))</f>
        <v>317.54276561627643</v>
      </c>
      <c r="BJ126" s="62">
        <f t="shared" si="92"/>
        <v>238.92443174298893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-9.9316821433603781E-14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195.30963433439501</v>
      </c>
      <c r="CE126" s="62">
        <f t="shared" si="94"/>
        <v>185.00219255324504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-5.4092197387944907E-14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293.996396026019</v>
      </c>
      <c r="CZ126" s="62">
        <f t="shared" si="96"/>
        <v>152.23954167722536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195.80903373714432</v>
      </c>
      <c r="T127" s="62">
        <f t="shared" si="88"/>
        <v>388.30721786668977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9.162070872385323</v>
      </c>
      <c r="AA127" s="23">
        <f>EXP(-LN(2)/25)*AA126+(1-EXP(-LN(2)/25))/(LN(2)/25)*Calculateur!V127*Calculateur!X127*VLOOKUP('Données projet'!$B$9,Paramètres!$A$1:$I$89,3,0)*0.475*44/12</f>
        <v>3.8120980630490724</v>
      </c>
      <c r="AB127" s="23">
        <f>EXP(-LN(2)/2)*AB126+(1-EXP(-LN(2)/2))/(LN(2)/2)*V127*Y127*VLOOKUP('Données projet'!$B$9,Paramètres!$A$1:$I$89,3,0)*0.475*44/12</f>
        <v>1.2668803644783195E-12</v>
      </c>
      <c r="AC127" s="24">
        <f t="shared" si="57"/>
        <v>12.974168935435662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-4.9658410716801891E-14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303.33040062722074</v>
      </c>
      <c r="AO127" s="62">
        <f t="shared" si="90"/>
        <v>425.30058672361548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1.9246349540182259</v>
      </c>
      <c r="AV127" s="23">
        <f>EXP(-LN(2)/25)*AV126+(1-EXP(-LN(2)/25))/(LN(2)/25)*Calculateur!AQ127*Calculateur!AS127*VLOOKUP('Données projet'!$B$10,Paramètres!$A$1:$I$89,3,0)*0.475*44/12</f>
        <v>2.2713128649815304</v>
      </c>
      <c r="AW127" s="23">
        <f>EXP(-LN(2)/2)*AW126+(1-EXP(-LN(2)/2))/(LN(2)/2)*AQ127*AT127*VLOOKUP('Données projet'!$B$10,Paramètres!$A$1:$I$89,3,0)*0.475*44/12</f>
        <v>8.4209914228846373E-15</v>
      </c>
      <c r="AX127" s="23">
        <f t="shared" si="60"/>
        <v>4.1959478189997643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1.5961632016114892E-13</v>
      </c>
      <c r="BF127" s="14">
        <f t="shared" si="91"/>
        <v>2.2708641912150958E-12</v>
      </c>
      <c r="BG127" s="22">
        <f t="shared" si="61"/>
        <v>4.2330868906469593E-12</v>
      </c>
      <c r="BH127" s="62">
        <f t="shared" si="62"/>
        <v>293.33333333333752</v>
      </c>
      <c r="BI127" s="62">
        <f ca="1">AVERAGE(OFFSET($BH$3,0,0,'Données projet'!$E$11+1,1))-AVERAGE(OFFSET($H$3,0,0,'Données projet'!$E$11+1,1))</f>
        <v>317.54276561627643</v>
      </c>
      <c r="BJ127" s="62">
        <f t="shared" si="92"/>
        <v>238.92443174298893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-9.9316821433603781E-14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195.30963433439501</v>
      </c>
      <c r="CE127" s="62">
        <f t="shared" si="94"/>
        <v>185.00219255324504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-5.4092197387944907E-14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293.996396026019</v>
      </c>
      <c r="CZ127" s="62">
        <f t="shared" si="96"/>
        <v>152.23954167722536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195.80903373714432</v>
      </c>
      <c r="T128" s="62">
        <f t="shared" si="88"/>
        <v>388.30721786668977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8.9824082508892786</v>
      </c>
      <c r="AA128" s="23">
        <f>EXP(-LN(2)/25)*AA127+(1-EXP(-LN(2)/25))/(LN(2)/25)*Calculateur!V128*Calculateur!X128*VLOOKUP('Données projet'!$B$9,Paramètres!$A$1:$I$89,3,0)*0.475*44/12</f>
        <v>3.7078560410454711</v>
      </c>
      <c r="AB128" s="23">
        <f>EXP(-LN(2)/2)*AB127+(1-EXP(-LN(2)/2))/(LN(2)/2)*V128*Y128*VLOOKUP('Données projet'!$B$9,Paramètres!$A$1:$I$89,3,0)*0.475*44/12</f>
        <v>8.958196966747047E-13</v>
      </c>
      <c r="AC128" s="24">
        <f t="shared" si="57"/>
        <v>12.690264291935645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-4.9658410716801891E-14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303.33040062722074</v>
      </c>
      <c r="AO128" s="62">
        <f t="shared" si="90"/>
        <v>425.30058672361548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1.8868940364813362</v>
      </c>
      <c r="AV128" s="23">
        <f>EXP(-LN(2)/25)*AV127+(1-EXP(-LN(2)/25))/(LN(2)/25)*Calculateur!AQ128*Calculateur!AS128*VLOOKUP('Données projet'!$B$10,Paramètres!$A$1:$I$89,3,0)*0.475*44/12</f>
        <v>2.2092036952454581</v>
      </c>
      <c r="AW128" s="23">
        <f>EXP(-LN(2)/2)*AW127+(1-EXP(-LN(2)/2))/(LN(2)/2)*AQ128*AT128*VLOOKUP('Données projet'!$B$10,Paramètres!$A$1:$I$89,3,0)*0.475*44/12</f>
        <v>5.9545401394354808E-15</v>
      </c>
      <c r="AX128" s="23">
        <f t="shared" si="60"/>
        <v>4.0960977317268004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1.5961632016114892E-13</v>
      </c>
      <c r="BF128" s="14">
        <f t="shared" si="91"/>
        <v>2.2708641912150958E-12</v>
      </c>
      <c r="BG128" s="22">
        <f t="shared" si="61"/>
        <v>4.2330868906469593E-12</v>
      </c>
      <c r="BH128" s="62">
        <f t="shared" si="62"/>
        <v>293.33333333333752</v>
      </c>
      <c r="BI128" s="62">
        <f ca="1">AVERAGE(OFFSET($BH$3,0,0,'Données projet'!$E$11+1,1))-AVERAGE(OFFSET($H$3,0,0,'Données projet'!$E$11+1,1))</f>
        <v>317.54276561627643</v>
      </c>
      <c r="BJ128" s="62">
        <f t="shared" si="92"/>
        <v>238.92443174298893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-9.9316821433603781E-14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195.30963433439501</v>
      </c>
      <c r="CE128" s="62">
        <f t="shared" si="94"/>
        <v>185.00219255324504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-5.4092197387944907E-14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293.996396026019</v>
      </c>
      <c r="CZ128" s="62">
        <f t="shared" si="96"/>
        <v>152.23954167722536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195.80903373714432</v>
      </c>
      <c r="T129" s="62">
        <f t="shared" si="88"/>
        <v>388.30721786668977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8.806268703817393</v>
      </c>
      <c r="AA129" s="23">
        <f>EXP(-LN(2)/25)*AA128+(1-EXP(-LN(2)/25))/(LN(2)/25)*Calculateur!V129*Calculateur!X129*VLOOKUP('Données projet'!$B$9,Paramètres!$A$1:$I$89,3,0)*0.475*44/12</f>
        <v>3.6064645226154077</v>
      </c>
      <c r="AB129" s="23">
        <f>EXP(-LN(2)/2)*AB128+(1-EXP(-LN(2)/2))/(LN(2)/2)*V129*Y129*VLOOKUP('Données projet'!$B$9,Paramètres!$A$1:$I$89,3,0)*0.475*44/12</f>
        <v>6.3344018223915986E-13</v>
      </c>
      <c r="AC129" s="24">
        <f t="shared" si="57"/>
        <v>12.412733226433435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-4.9658410716801891E-14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303.33040062722074</v>
      </c>
      <c r="AO129" s="62">
        <f t="shared" si="90"/>
        <v>425.30058672361548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1.8498931953176583</v>
      </c>
      <c r="AV129" s="23">
        <f>EXP(-LN(2)/25)*AV128+(1-EXP(-LN(2)/25))/(LN(2)/25)*Calculateur!AQ129*Calculateur!AS129*VLOOKUP('Données projet'!$B$10,Paramètres!$A$1:$I$89,3,0)*0.475*44/12</f>
        <v>2.148792904021998</v>
      </c>
      <c r="AW129" s="23">
        <f>EXP(-LN(2)/2)*AW128+(1-EXP(-LN(2)/2))/(LN(2)/2)*AQ129*AT129*VLOOKUP('Données projet'!$B$10,Paramètres!$A$1:$I$89,3,0)*0.475*44/12</f>
        <v>4.2104957114423186E-15</v>
      </c>
      <c r="AX129" s="23">
        <f t="shared" si="60"/>
        <v>3.9986860993396602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1.5961632016114892E-13</v>
      </c>
      <c r="BF129" s="14">
        <f t="shared" si="91"/>
        <v>2.2708641912150958E-12</v>
      </c>
      <c r="BG129" s="22">
        <f t="shared" si="61"/>
        <v>4.2330868906469593E-12</v>
      </c>
      <c r="BH129" s="62">
        <f t="shared" si="62"/>
        <v>293.33333333333752</v>
      </c>
      <c r="BI129" s="62">
        <f ca="1">AVERAGE(OFFSET($BH$3,0,0,'Données projet'!$E$11+1,1))-AVERAGE(OFFSET($H$3,0,0,'Données projet'!$E$11+1,1))</f>
        <v>317.54276561627643</v>
      </c>
      <c r="BJ129" s="62">
        <f t="shared" si="92"/>
        <v>238.92443174298893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-9.9316821433603781E-14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195.30963433439501</v>
      </c>
      <c r="CE129" s="62">
        <f t="shared" si="94"/>
        <v>185.00219255324504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-5.4092197387944907E-14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293.996396026019</v>
      </c>
      <c r="CZ129" s="62">
        <f t="shared" si="96"/>
        <v>152.23954167722536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195.80903373714432</v>
      </c>
      <c r="T130" s="62">
        <f t="shared" si="88"/>
        <v>388.30721786668977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8.6335831458290713</v>
      </c>
      <c r="AA130" s="23">
        <f>EXP(-LN(2)/25)*AA129+(1-EXP(-LN(2)/25))/(LN(2)/25)*Calculateur!V130*Calculateur!X130*VLOOKUP('Données projet'!$B$9,Paramètres!$A$1:$I$89,3,0)*0.475*44/12</f>
        <v>3.5078455605887631</v>
      </c>
      <c r="AB130" s="23">
        <f>EXP(-LN(2)/2)*AB129+(1-EXP(-LN(2)/2))/(LN(2)/2)*V130*Y130*VLOOKUP('Données projet'!$B$9,Paramètres!$A$1:$I$89,3,0)*0.475*44/12</f>
        <v>4.4790984833735245E-13</v>
      </c>
      <c r="AC130" s="24">
        <f t="shared" si="57"/>
        <v>12.141428706418282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-4.9658410716801891E-14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303.33040062722074</v>
      </c>
      <c r="AO130" s="62">
        <f t="shared" si="90"/>
        <v>425.30058672361548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1.8136179180809155</v>
      </c>
      <c r="AV130" s="23">
        <f>EXP(-LN(2)/25)*AV129+(1-EXP(-LN(2)/25))/(LN(2)/25)*Calculateur!AQ130*Calculateur!AS130*VLOOKUP('Données projet'!$B$10,Paramètres!$A$1:$I$89,3,0)*0.475*44/12</f>
        <v>2.0900340490614089</v>
      </c>
      <c r="AW130" s="23">
        <f>EXP(-LN(2)/2)*AW129+(1-EXP(-LN(2)/2))/(LN(2)/2)*AQ130*AT130*VLOOKUP('Données projet'!$B$10,Paramètres!$A$1:$I$89,3,0)*0.475*44/12</f>
        <v>2.9772700697177404E-15</v>
      </c>
      <c r="AX130" s="23">
        <f t="shared" si="60"/>
        <v>3.9036519671423275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1.5961632016114892E-13</v>
      </c>
      <c r="BF130" s="14">
        <f t="shared" si="91"/>
        <v>2.2708641912150958E-12</v>
      </c>
      <c r="BG130" s="22">
        <f t="shared" si="61"/>
        <v>4.2330868906469593E-12</v>
      </c>
      <c r="BH130" s="62">
        <f t="shared" si="62"/>
        <v>293.33333333333752</v>
      </c>
      <c r="BI130" s="62">
        <f ca="1">AVERAGE(OFFSET($BH$3,0,0,'Données projet'!$E$11+1,1))-AVERAGE(OFFSET($H$3,0,0,'Données projet'!$E$11+1,1))</f>
        <v>317.54276561627643</v>
      </c>
      <c r="BJ130" s="62">
        <f t="shared" si="92"/>
        <v>238.92443174298893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-9.9316821433603781E-14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195.30963433439501</v>
      </c>
      <c r="CE130" s="62">
        <f t="shared" si="94"/>
        <v>185.00219255324504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-5.4092197387944907E-14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293.996396026019</v>
      </c>
      <c r="CZ130" s="62">
        <f t="shared" si="96"/>
        <v>152.23954167722536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195.80903373714432</v>
      </c>
      <c r="T131" s="62">
        <f t="shared" si="88"/>
        <v>388.30721786668977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8.4642838463051113</v>
      </c>
      <c r="AA131" s="23">
        <f>EXP(-LN(2)/25)*AA130+(1-EXP(-LN(2)/25))/(LN(2)/25)*Calculateur!V131*Calculateur!X131*VLOOKUP('Données projet'!$B$9,Paramètres!$A$1:$I$89,3,0)*0.475*44/12</f>
        <v>3.4119233392648827</v>
      </c>
      <c r="AB131" s="23">
        <f>EXP(-LN(2)/2)*AB130+(1-EXP(-LN(2)/2))/(LN(2)/2)*V131*Y131*VLOOKUP('Données projet'!$B$9,Paramètres!$A$1:$I$89,3,0)*0.475*44/12</f>
        <v>3.1672009111957998E-13</v>
      </c>
      <c r="AC131" s="24">
        <f t="shared" si="57"/>
        <v>11.87620718557031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-4.9658410716801891E-14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303.33040062722074</v>
      </c>
      <c r="AO131" s="62">
        <f t="shared" si="90"/>
        <v>425.30058672361548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1.778053976905051</v>
      </c>
      <c r="AV131" s="23">
        <f>EXP(-LN(2)/25)*AV130+(1-EXP(-LN(2)/25))/(LN(2)/25)*Calculateur!AQ131*Calculateur!AS131*VLOOKUP('Données projet'!$B$10,Paramètres!$A$1:$I$89,3,0)*0.475*44/12</f>
        <v>2.0328819580797108</v>
      </c>
      <c r="AW131" s="23">
        <f>EXP(-LN(2)/2)*AW130+(1-EXP(-LN(2)/2))/(LN(2)/2)*AQ131*AT131*VLOOKUP('Données projet'!$B$10,Paramètres!$A$1:$I$89,3,0)*0.475*44/12</f>
        <v>2.1052478557211593E-15</v>
      </c>
      <c r="AX131" s="23">
        <f t="shared" si="60"/>
        <v>3.810935934984764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1.5961632016114892E-13</v>
      </c>
      <c r="BF131" s="14">
        <f t="shared" si="91"/>
        <v>2.2708641912150958E-12</v>
      </c>
      <c r="BG131" s="22">
        <f t="shared" si="61"/>
        <v>4.2330868906469593E-12</v>
      </c>
      <c r="BH131" s="62">
        <f t="shared" si="62"/>
        <v>293.33333333333752</v>
      </c>
      <c r="BI131" s="62">
        <f ca="1">AVERAGE(OFFSET($BH$3,0,0,'Données projet'!$E$11+1,1))-AVERAGE(OFFSET($H$3,0,0,'Données projet'!$E$11+1,1))</f>
        <v>317.54276561627643</v>
      </c>
      <c r="BJ131" s="62">
        <f t="shared" si="92"/>
        <v>238.92443174298893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-9.9316821433603781E-14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195.30963433439501</v>
      </c>
      <c r="CE131" s="62">
        <f t="shared" si="94"/>
        <v>185.00219255324504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-5.4092197387944907E-14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293.996396026019</v>
      </c>
      <c r="CZ131" s="62">
        <f t="shared" si="96"/>
        <v>152.23954167722536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195.80903373714432</v>
      </c>
      <c r="T132" s="62">
        <f t="shared" si="88"/>
        <v>388.30721786668977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8.2983044027824402</v>
      </c>
      <c r="AA132" s="23">
        <f>EXP(-LN(2)/25)*AA131+(1-EXP(-LN(2)/25))/(LN(2)/25)*Calculateur!V132*Calculateur!X132*VLOOKUP('Données projet'!$B$9,Paramètres!$A$1:$I$89,3,0)*0.475*44/12</f>
        <v>3.3186241161274341</v>
      </c>
      <c r="AB132" s="23">
        <f>EXP(-LN(2)/2)*AB131+(1-EXP(-LN(2)/2))/(LN(2)/2)*V132*Y132*VLOOKUP('Données projet'!$B$9,Paramètres!$A$1:$I$89,3,0)*0.475*44/12</f>
        <v>2.2395492416867625E-13</v>
      </c>
      <c r="AC132" s="24">
        <f t="shared" ref="AC132:AC153" si="111">SUM(Z132:AB132)</f>
        <v>11.616928518910099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-4.9658410716801891E-14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303.33040062722074</v>
      </c>
      <c r="AO132" s="62">
        <f t="shared" si="90"/>
        <v>425.30058672361548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1.7431874229237827</v>
      </c>
      <c r="AV132" s="23">
        <f>EXP(-LN(2)/25)*AV131+(1-EXP(-LN(2)/25))/(LN(2)/25)*Calculateur!AQ132*Calculateur!AS132*VLOOKUP('Données projet'!$B$10,Paramètres!$A$1:$I$89,3,0)*0.475*44/12</f>
        <v>1.9772926940314053</v>
      </c>
      <c r="AW132" s="23">
        <f>EXP(-LN(2)/2)*AW131+(1-EXP(-LN(2)/2))/(LN(2)/2)*AQ132*AT132*VLOOKUP('Données projet'!$B$10,Paramètres!$A$1:$I$89,3,0)*0.475*44/12</f>
        <v>1.4886350348588702E-15</v>
      </c>
      <c r="AX132" s="23">
        <f t="shared" ref="AX132:AX153" si="114">SUM(AU132:AW132)</f>
        <v>3.7204801169551893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1.5961632016114892E-13</v>
      </c>
      <c r="BF132" s="14">
        <f t="shared" si="91"/>
        <v>2.2708641912150958E-12</v>
      </c>
      <c r="BG132" s="22">
        <f t="shared" ref="BG132:BG153" si="115">(BE132+BF132)*0.475*44/12</f>
        <v>4.2330868906469593E-12</v>
      </c>
      <c r="BH132" s="62">
        <f t="shared" ref="BH132:BH195" si="116">BG132+(AY132+AZ132)*44/12</f>
        <v>293.33333333333752</v>
      </c>
      <c r="BI132" s="62">
        <f ca="1">AVERAGE(OFFSET($BH$3,0,0,'Données projet'!$E$11+1,1))-AVERAGE(OFFSET($H$3,0,0,'Données projet'!$E$11+1,1))</f>
        <v>317.54276561627643</v>
      </c>
      <c r="BJ132" s="62">
        <f t="shared" si="92"/>
        <v>238.92443174298893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-9.9316821433603781E-14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195.30963433439501</v>
      </c>
      <c r="CE132" s="62">
        <f t="shared" si="94"/>
        <v>185.00219255324504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-5.4092197387944907E-14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293.996396026019</v>
      </c>
      <c r="CZ132" s="62">
        <f t="shared" si="96"/>
        <v>152.23954167722536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195.80903373714432</v>
      </c>
      <c r="T133" s="62">
        <f t="shared" ref="T133:T196" si="142">$T$3</f>
        <v>388.30721786668977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8.1355797149097846</v>
      </c>
      <c r="AA133" s="23">
        <f>EXP(-LN(2)/25)*AA132+(1-EXP(-LN(2)/25))/(LN(2)/25)*Calculateur!V133*Calculateur!X133*VLOOKUP('Données projet'!$B$9,Paramètres!$A$1:$I$89,3,0)*0.475*44/12</f>
        <v>3.2278761651530719</v>
      </c>
      <c r="AB133" s="23">
        <f>EXP(-LN(2)/2)*AB132+(1-EXP(-LN(2)/2))/(LN(2)/2)*V133*Y133*VLOOKUP('Données projet'!$B$9,Paramètres!$A$1:$I$89,3,0)*0.475*44/12</f>
        <v>1.5836004555979002E-13</v>
      </c>
      <c r="AC133" s="24">
        <f t="shared" si="111"/>
        <v>11.363455880063015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-4.9658410716801891E-14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303.33040062722074</v>
      </c>
      <c r="AO133" s="62">
        <f t="shared" ref="AO133:AO196" si="144">$AO$3</f>
        <v>425.30058672361548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1.7090045807995891</v>
      </c>
      <c r="AV133" s="23">
        <f>EXP(-LN(2)/25)*AV132+(1-EXP(-LN(2)/25))/(LN(2)/25)*Calculateur!AQ133*Calculateur!AS133*VLOOKUP('Données projet'!$B$10,Paramètres!$A$1:$I$89,3,0)*0.475*44/12</f>
        <v>1.923223521331813</v>
      </c>
      <c r="AW133" s="23">
        <f>EXP(-LN(2)/2)*AW132+(1-EXP(-LN(2)/2))/(LN(2)/2)*AQ133*AT133*VLOOKUP('Données projet'!$B$10,Paramètres!$A$1:$I$89,3,0)*0.475*44/12</f>
        <v>1.0526239278605797E-15</v>
      </c>
      <c r="AX133" s="23">
        <f t="shared" si="114"/>
        <v>3.6322281021314029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1.5961632016114892E-13</v>
      </c>
      <c r="BF133" s="14">
        <f t="shared" ref="BF133:BF153" si="145">EXP(-1.0587+0.8836*LN(BE133)+0.284)</f>
        <v>2.2708641912150958E-12</v>
      </c>
      <c r="BG133" s="22">
        <f t="shared" si="115"/>
        <v>4.2330868906469593E-12</v>
      </c>
      <c r="BH133" s="62">
        <f t="shared" si="116"/>
        <v>293.33333333333752</v>
      </c>
      <c r="BI133" s="62">
        <f ca="1">AVERAGE(OFFSET($BH$3,0,0,'Données projet'!$E$11+1,1))-AVERAGE(OFFSET($H$3,0,0,'Données projet'!$E$11+1,1))</f>
        <v>317.54276561627643</v>
      </c>
      <c r="BJ133" s="62">
        <f t="shared" ref="BJ133:BJ196" si="146">$BJ$3</f>
        <v>238.92443174298893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-9.9316821433603781E-14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195.30963433439501</v>
      </c>
      <c r="CE133" s="62">
        <f t="shared" ref="CE133:CE196" si="148">$CE$3</f>
        <v>185.00219255324504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-5.4092197387944907E-14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293.996396026019</v>
      </c>
      <c r="CZ133" s="62">
        <f t="shared" ref="CZ133:CZ196" si="150">$CZ$3</f>
        <v>152.23954167722536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195.80903373714432</v>
      </c>
      <c r="T134" s="62">
        <f t="shared" si="142"/>
        <v>388.30721786668977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7.9760459589140522</v>
      </c>
      <c r="AA134" s="23">
        <f>EXP(-LN(2)/25)*AA133+(1-EXP(-LN(2)/25))/(LN(2)/25)*Calculateur!V134*Calculateur!X134*VLOOKUP('Données projet'!$B$9,Paramètres!$A$1:$I$89,3,0)*0.475*44/12</f>
        <v>3.1396097216703311</v>
      </c>
      <c r="AB134" s="23">
        <f>EXP(-LN(2)/2)*AB133+(1-EXP(-LN(2)/2))/(LN(2)/2)*V134*Y134*VLOOKUP('Données projet'!$B$9,Paramètres!$A$1:$I$89,3,0)*0.475*44/12</f>
        <v>1.1197746208433814E-13</v>
      </c>
      <c r="AC134" s="24">
        <f t="shared" si="111"/>
        <v>11.115655680584496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-4.9658410716801891E-14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303.33040062722074</v>
      </c>
      <c r="AO134" s="62">
        <f t="shared" si="144"/>
        <v>425.30058672361548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1.675492043359976</v>
      </c>
      <c r="AV134" s="23">
        <f>EXP(-LN(2)/25)*AV133+(1-EXP(-LN(2)/25))/(LN(2)/25)*Calculateur!AQ134*Calculateur!AS134*VLOOKUP('Données projet'!$B$10,Paramètres!$A$1:$I$89,3,0)*0.475*44/12</f>
        <v>1.870632873003065</v>
      </c>
      <c r="AW134" s="23">
        <f>EXP(-LN(2)/2)*AW133+(1-EXP(-LN(2)/2))/(LN(2)/2)*AQ134*AT134*VLOOKUP('Données projet'!$B$10,Paramètres!$A$1:$I$89,3,0)*0.475*44/12</f>
        <v>7.443175174294351E-16</v>
      </c>
      <c r="AX134" s="23">
        <f t="shared" si="114"/>
        <v>3.5461249163630422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1.5961632016114892E-13</v>
      </c>
      <c r="BF134" s="14">
        <f t="shared" si="145"/>
        <v>2.2708641912150958E-12</v>
      </c>
      <c r="BG134" s="22">
        <f t="shared" si="115"/>
        <v>4.2330868906469593E-12</v>
      </c>
      <c r="BH134" s="62">
        <f t="shared" si="116"/>
        <v>293.33333333333752</v>
      </c>
      <c r="BI134" s="62">
        <f ca="1">AVERAGE(OFFSET($BH$3,0,0,'Données projet'!$E$11+1,1))-AVERAGE(OFFSET($H$3,0,0,'Données projet'!$E$11+1,1))</f>
        <v>317.54276561627643</v>
      </c>
      <c r="BJ134" s="62">
        <f t="shared" si="146"/>
        <v>238.92443174298893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-9.9316821433603781E-14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195.30963433439501</v>
      </c>
      <c r="CE134" s="62">
        <f t="shared" si="148"/>
        <v>185.00219255324504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-5.4092197387944907E-14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293.996396026019</v>
      </c>
      <c r="CZ134" s="62">
        <f t="shared" si="150"/>
        <v>152.23954167722536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195.80903373714432</v>
      </c>
      <c r="T135" s="62">
        <f t="shared" si="142"/>
        <v>388.30721786668977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7.8196405625674128</v>
      </c>
      <c r="AA135" s="23">
        <f>EXP(-LN(2)/25)*AA134+(1-EXP(-LN(2)/25))/(LN(2)/25)*Calculateur!V135*Calculateur!X135*VLOOKUP('Données projet'!$B$9,Paramètres!$A$1:$I$89,3,0)*0.475*44/12</f>
        <v>3.0537569287263562</v>
      </c>
      <c r="AB135" s="23">
        <f>EXP(-LN(2)/2)*AB134+(1-EXP(-LN(2)/2))/(LN(2)/2)*V135*Y135*VLOOKUP('Données projet'!$B$9,Paramètres!$A$1:$I$89,3,0)*0.475*44/12</f>
        <v>7.9180022779895021E-14</v>
      </c>
      <c r="AC135" s="24">
        <f t="shared" si="111"/>
        <v>10.873397491293849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-4.9658410716801891E-14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303.33040062722074</v>
      </c>
      <c r="AO135" s="62">
        <f t="shared" si="144"/>
        <v>425.30058672361548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1.6426366663389242</v>
      </c>
      <c r="AV135" s="23">
        <f>EXP(-LN(2)/25)*AV134+(1-EXP(-LN(2)/25))/(LN(2)/25)*Calculateur!AQ135*Calculateur!AS135*VLOOKUP('Données projet'!$B$10,Paramètres!$A$1:$I$89,3,0)*0.475*44/12</f>
        <v>1.8194803187184887</v>
      </c>
      <c r="AW135" s="23">
        <f>EXP(-LN(2)/2)*AW134+(1-EXP(-LN(2)/2))/(LN(2)/2)*AQ135*AT135*VLOOKUP('Données projet'!$B$10,Paramètres!$A$1:$I$89,3,0)*0.475*44/12</f>
        <v>5.2631196393028983E-16</v>
      </c>
      <c r="AX135" s="23">
        <f t="shared" si="114"/>
        <v>3.4621169850574134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1.5961632016114892E-13</v>
      </c>
      <c r="BF135" s="14">
        <f t="shared" si="145"/>
        <v>2.2708641912150958E-12</v>
      </c>
      <c r="BG135" s="22">
        <f t="shared" si="115"/>
        <v>4.2330868906469593E-12</v>
      </c>
      <c r="BH135" s="62">
        <f t="shared" si="116"/>
        <v>293.33333333333752</v>
      </c>
      <c r="BI135" s="62">
        <f ca="1">AVERAGE(OFFSET($BH$3,0,0,'Données projet'!$E$11+1,1))-AVERAGE(OFFSET($H$3,0,0,'Données projet'!$E$11+1,1))</f>
        <v>317.54276561627643</v>
      </c>
      <c r="BJ135" s="62">
        <f t="shared" si="146"/>
        <v>238.92443174298893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-9.9316821433603781E-14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195.30963433439501</v>
      </c>
      <c r="CE135" s="62">
        <f t="shared" si="148"/>
        <v>185.00219255324504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-5.4092197387944907E-14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293.996396026019</v>
      </c>
      <c r="CZ135" s="62">
        <f t="shared" si="150"/>
        <v>152.23954167722536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195.80903373714432</v>
      </c>
      <c r="T136" s="62">
        <f t="shared" si="142"/>
        <v>388.30721786668977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7.6663021806452587</v>
      </c>
      <c r="AA136" s="23">
        <f>EXP(-LN(2)/25)*AA135+(1-EXP(-LN(2)/25))/(LN(2)/25)*Calculateur!V136*Calculateur!X136*VLOOKUP('Données projet'!$B$9,Paramètres!$A$1:$I$89,3,0)*0.475*44/12</f>
        <v>2.9702517849202366</v>
      </c>
      <c r="AB136" s="23">
        <f>EXP(-LN(2)/2)*AB135+(1-EXP(-LN(2)/2))/(LN(2)/2)*V136*Y136*VLOOKUP('Données projet'!$B$9,Paramètres!$A$1:$I$89,3,0)*0.475*44/12</f>
        <v>5.5988731042169081E-14</v>
      </c>
      <c r="AC136" s="24">
        <f t="shared" si="111"/>
        <v>10.636553965565552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-4.9658410716801891E-14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303.33040062722074</v>
      </c>
      <c r="AO136" s="62">
        <f t="shared" si="144"/>
        <v>425.30058672361548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1.6104255632214541</v>
      </c>
      <c r="AV136" s="23">
        <f>EXP(-LN(2)/25)*AV135+(1-EXP(-LN(2)/25))/(LN(2)/25)*Calculateur!AQ136*Calculateur!AS136*VLOOKUP('Données projet'!$B$10,Paramètres!$A$1:$I$89,3,0)*0.475*44/12</f>
        <v>1.7697265337208201</v>
      </c>
      <c r="AW136" s="23">
        <f>EXP(-LN(2)/2)*AW135+(1-EXP(-LN(2)/2))/(LN(2)/2)*AQ136*AT136*VLOOKUP('Données projet'!$B$10,Paramètres!$A$1:$I$89,3,0)*0.475*44/12</f>
        <v>3.7215875871471755E-16</v>
      </c>
      <c r="AX136" s="23">
        <f t="shared" si="114"/>
        <v>3.3801520969422749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1.5961632016114892E-13</v>
      </c>
      <c r="BF136" s="14">
        <f t="shared" si="145"/>
        <v>2.2708641912150958E-12</v>
      </c>
      <c r="BG136" s="22">
        <f t="shared" si="115"/>
        <v>4.2330868906469593E-12</v>
      </c>
      <c r="BH136" s="62">
        <f t="shared" si="116"/>
        <v>293.33333333333752</v>
      </c>
      <c r="BI136" s="62">
        <f ca="1">AVERAGE(OFFSET($BH$3,0,0,'Données projet'!$E$11+1,1))-AVERAGE(OFFSET($H$3,0,0,'Données projet'!$E$11+1,1))</f>
        <v>317.54276561627643</v>
      </c>
      <c r="BJ136" s="62">
        <f t="shared" si="146"/>
        <v>238.92443174298893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-9.9316821433603781E-14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195.30963433439501</v>
      </c>
      <c r="CE136" s="62">
        <f t="shared" si="148"/>
        <v>185.00219255324504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-5.4092197387944907E-14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293.996396026019</v>
      </c>
      <c r="CZ136" s="62">
        <f t="shared" si="150"/>
        <v>152.23954167722536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195.80903373714432</v>
      </c>
      <c r="T137" s="62">
        <f t="shared" si="142"/>
        <v>388.30721786668977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7.5159706708654204</v>
      </c>
      <c r="AA137" s="23">
        <f>EXP(-LN(2)/25)*AA136+(1-EXP(-LN(2)/25))/(LN(2)/25)*Calculateur!V137*Calculateur!X137*VLOOKUP('Données projet'!$B$9,Paramètres!$A$1:$I$89,3,0)*0.475*44/12</f>
        <v>2.8890300936628401</v>
      </c>
      <c r="AB137" s="23">
        <f>EXP(-LN(2)/2)*AB136+(1-EXP(-LN(2)/2))/(LN(2)/2)*V137*Y137*VLOOKUP('Données projet'!$B$9,Paramètres!$A$1:$I$89,3,0)*0.475*44/12</f>
        <v>3.9590011389947517E-14</v>
      </c>
      <c r="AC137" s="24">
        <f t="shared" si="111"/>
        <v>10.4050007645283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-4.9658410716801891E-14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303.33040062722074</v>
      </c>
      <c r="AO137" s="62">
        <f t="shared" si="144"/>
        <v>425.30058672361548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1.5788461001892846</v>
      </c>
      <c r="AV137" s="23">
        <f>EXP(-LN(2)/25)*AV136+(1-EXP(-LN(2)/25))/(LN(2)/25)*Calculateur!AQ137*Calculateur!AS137*VLOOKUP('Données projet'!$B$10,Paramètres!$A$1:$I$89,3,0)*0.475*44/12</f>
        <v>1.7213332685903506</v>
      </c>
      <c r="AW137" s="23">
        <f>EXP(-LN(2)/2)*AW136+(1-EXP(-LN(2)/2))/(LN(2)/2)*AQ137*AT137*VLOOKUP('Données projet'!$B$10,Paramètres!$A$1:$I$89,3,0)*0.475*44/12</f>
        <v>2.6315598196514491E-16</v>
      </c>
      <c r="AX137" s="23">
        <f t="shared" si="114"/>
        <v>3.3001793687796357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1.5961632016114892E-13</v>
      </c>
      <c r="BF137" s="14">
        <f t="shared" si="145"/>
        <v>2.2708641912150958E-12</v>
      </c>
      <c r="BG137" s="22">
        <f t="shared" si="115"/>
        <v>4.2330868906469593E-12</v>
      </c>
      <c r="BH137" s="62">
        <f t="shared" si="116"/>
        <v>293.33333333333752</v>
      </c>
      <c r="BI137" s="62">
        <f ca="1">AVERAGE(OFFSET($BH$3,0,0,'Données projet'!$E$11+1,1))-AVERAGE(OFFSET($H$3,0,0,'Données projet'!$E$11+1,1))</f>
        <v>317.54276561627643</v>
      </c>
      <c r="BJ137" s="62">
        <f t="shared" si="146"/>
        <v>238.92443174298893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-9.9316821433603781E-14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195.30963433439501</v>
      </c>
      <c r="CE137" s="62">
        <f t="shared" si="148"/>
        <v>185.00219255324504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-5.4092197387944907E-14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293.996396026019</v>
      </c>
      <c r="CZ137" s="62">
        <f t="shared" si="150"/>
        <v>152.23954167722536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195.80903373714432</v>
      </c>
      <c r="T138" s="62">
        <f t="shared" si="142"/>
        <v>388.30721786668977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7.3685870702991974</v>
      </c>
      <c r="AA138" s="23">
        <f>EXP(-LN(2)/25)*AA137+(1-EXP(-LN(2)/25))/(LN(2)/25)*Calculateur!V138*Calculateur!X138*VLOOKUP('Données projet'!$B$9,Paramètres!$A$1:$I$89,3,0)*0.475*44/12</f>
        <v>2.81002941382414</v>
      </c>
      <c r="AB138" s="23">
        <f>EXP(-LN(2)/2)*AB137+(1-EXP(-LN(2)/2))/(LN(2)/2)*V138*Y138*VLOOKUP('Données projet'!$B$9,Paramètres!$A$1:$I$89,3,0)*0.475*44/12</f>
        <v>2.7994365521084544E-14</v>
      </c>
      <c r="AC138" s="24">
        <f t="shared" si="111"/>
        <v>10.178616484123365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-4.9658410716801891E-14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303.33040062722074</v>
      </c>
      <c r="AO138" s="62">
        <f t="shared" si="144"/>
        <v>425.30058672361548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1.5478858911656055</v>
      </c>
      <c r="AV138" s="23">
        <f>EXP(-LN(2)/25)*AV137+(1-EXP(-LN(2)/25))/(LN(2)/25)*Calculateur!AQ138*Calculateur!AS138*VLOOKUP('Données projet'!$B$10,Paramètres!$A$1:$I$89,3,0)*0.475*44/12</f>
        <v>1.674263319839765</v>
      </c>
      <c r="AW138" s="23">
        <f>EXP(-LN(2)/2)*AW137+(1-EXP(-LN(2)/2))/(LN(2)/2)*AQ138*AT138*VLOOKUP('Données projet'!$B$10,Paramètres!$A$1:$I$89,3,0)*0.475*44/12</f>
        <v>1.8607937935735877E-16</v>
      </c>
      <c r="AX138" s="23">
        <f t="shared" si="114"/>
        <v>3.2221492110053704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1.5961632016114892E-13</v>
      </c>
      <c r="BF138" s="14">
        <f t="shared" si="145"/>
        <v>2.2708641912150958E-12</v>
      </c>
      <c r="BG138" s="22">
        <f t="shared" si="115"/>
        <v>4.2330868906469593E-12</v>
      </c>
      <c r="BH138" s="62">
        <f t="shared" si="116"/>
        <v>293.33333333333752</v>
      </c>
      <c r="BI138" s="62">
        <f ca="1">AVERAGE(OFFSET($BH$3,0,0,'Données projet'!$E$11+1,1))-AVERAGE(OFFSET($H$3,0,0,'Données projet'!$E$11+1,1))</f>
        <v>317.54276561627643</v>
      </c>
      <c r="BJ138" s="62">
        <f t="shared" si="146"/>
        <v>238.92443174298893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-9.9316821433603781E-14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195.30963433439501</v>
      </c>
      <c r="CE138" s="62">
        <f t="shared" si="148"/>
        <v>185.00219255324504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-5.4092197387944907E-14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293.996396026019</v>
      </c>
      <c r="CZ138" s="62">
        <f t="shared" si="150"/>
        <v>152.23954167722536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195.80903373714432</v>
      </c>
      <c r="T139" s="62">
        <f t="shared" si="142"/>
        <v>388.30721786668977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7.224093572244958</v>
      </c>
      <c r="AA139" s="23">
        <f>EXP(-LN(2)/25)*AA138+(1-EXP(-LN(2)/25))/(LN(2)/25)*Calculateur!V139*Calculateur!X139*VLOOKUP('Données projet'!$B$9,Paramètres!$A$1:$I$89,3,0)*0.475*44/12</f>
        <v>2.7331890117300945</v>
      </c>
      <c r="AB139" s="23">
        <f>EXP(-LN(2)/2)*AB138+(1-EXP(-LN(2)/2))/(LN(2)/2)*V139*Y139*VLOOKUP('Données projet'!$B$9,Paramètres!$A$1:$I$89,3,0)*0.475*44/12</f>
        <v>1.9795005694973761E-14</v>
      </c>
      <c r="AC139" s="24">
        <f t="shared" si="111"/>
        <v>9.957282583975072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-4.9658410716801891E-14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303.33040062722074</v>
      </c>
      <c r="AO139" s="62">
        <f t="shared" si="144"/>
        <v>425.30058672361548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1.5175327929570177</v>
      </c>
      <c r="AV139" s="23">
        <f>EXP(-LN(2)/25)*AV138+(1-EXP(-LN(2)/25))/(LN(2)/25)*Calculateur!AQ139*Calculateur!AS139*VLOOKUP('Données projet'!$B$10,Paramètres!$A$1:$I$89,3,0)*0.475*44/12</f>
        <v>1.6284805013130652</v>
      </c>
      <c r="AW139" s="23">
        <f>EXP(-LN(2)/2)*AW138+(1-EXP(-LN(2)/2))/(LN(2)/2)*AQ139*AT139*VLOOKUP('Données projet'!$B$10,Paramètres!$A$1:$I$89,3,0)*0.475*44/12</f>
        <v>1.3157799098257246E-16</v>
      </c>
      <c r="AX139" s="23">
        <f t="shared" si="114"/>
        <v>3.1460132942700829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1.5961632016114892E-13</v>
      </c>
      <c r="BF139" s="14">
        <f t="shared" si="145"/>
        <v>2.2708641912150958E-12</v>
      </c>
      <c r="BG139" s="22">
        <f t="shared" si="115"/>
        <v>4.2330868906469593E-12</v>
      </c>
      <c r="BH139" s="62">
        <f t="shared" si="116"/>
        <v>293.33333333333752</v>
      </c>
      <c r="BI139" s="62">
        <f ca="1">AVERAGE(OFFSET($BH$3,0,0,'Données projet'!$E$11+1,1))-AVERAGE(OFFSET($H$3,0,0,'Données projet'!$E$11+1,1))</f>
        <v>317.54276561627643</v>
      </c>
      <c r="BJ139" s="62">
        <f t="shared" si="146"/>
        <v>238.92443174298893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-9.9316821433603781E-14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195.30963433439501</v>
      </c>
      <c r="CE139" s="62">
        <f t="shared" si="148"/>
        <v>185.00219255324504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-5.4092197387944907E-14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293.996396026019</v>
      </c>
      <c r="CZ139" s="62">
        <f t="shared" si="150"/>
        <v>152.23954167722536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195.80903373714432</v>
      </c>
      <c r="T140" s="62">
        <f t="shared" si="142"/>
        <v>388.30721786668977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7.0824335035552313</v>
      </c>
      <c r="AA140" s="23">
        <f>EXP(-LN(2)/25)*AA139+(1-EXP(-LN(2)/25))/(LN(2)/25)*Calculateur!V140*Calculateur!X140*VLOOKUP('Données projet'!$B$9,Paramètres!$A$1:$I$89,3,0)*0.475*44/12</f>
        <v>2.6584498144721715</v>
      </c>
      <c r="AB140" s="23">
        <f>EXP(-LN(2)/2)*AB139+(1-EXP(-LN(2)/2))/(LN(2)/2)*V140*Y140*VLOOKUP('Données projet'!$B$9,Paramètres!$A$1:$I$89,3,0)*0.475*44/12</f>
        <v>1.3997182760542275E-14</v>
      </c>
      <c r="AC140" s="24">
        <f t="shared" si="111"/>
        <v>9.7408833180274179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-4.9658410716801891E-14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303.33040062722074</v>
      </c>
      <c r="AO140" s="62">
        <f t="shared" si="144"/>
        <v>425.30058672361548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1.4877749004907386</v>
      </c>
      <c r="AV140" s="23">
        <f>EXP(-LN(2)/25)*AV139+(1-EXP(-LN(2)/25))/(LN(2)/25)*Calculateur!AQ140*Calculateur!AS140*VLOOKUP('Données projet'!$B$10,Paramètres!$A$1:$I$89,3,0)*0.475*44/12</f>
        <v>1.5839496163665918</v>
      </c>
      <c r="AW140" s="23">
        <f>EXP(-LN(2)/2)*AW139+(1-EXP(-LN(2)/2))/(LN(2)/2)*AQ140*AT140*VLOOKUP('Données projet'!$B$10,Paramètres!$A$1:$I$89,3,0)*0.475*44/12</f>
        <v>9.3039689678679387E-17</v>
      </c>
      <c r="AX140" s="23">
        <f t="shared" si="114"/>
        <v>3.0717245168573304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1.5961632016114892E-13</v>
      </c>
      <c r="BF140" s="14">
        <f t="shared" si="145"/>
        <v>2.2708641912150958E-12</v>
      </c>
      <c r="BG140" s="22">
        <f t="shared" si="115"/>
        <v>4.2330868906469593E-12</v>
      </c>
      <c r="BH140" s="62">
        <f t="shared" si="116"/>
        <v>293.33333333333752</v>
      </c>
      <c r="BI140" s="62">
        <f ca="1">AVERAGE(OFFSET($BH$3,0,0,'Données projet'!$E$11+1,1))-AVERAGE(OFFSET($H$3,0,0,'Données projet'!$E$11+1,1))</f>
        <v>317.54276561627643</v>
      </c>
      <c r="BJ140" s="62">
        <f t="shared" si="146"/>
        <v>238.92443174298893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-9.9316821433603781E-14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195.30963433439501</v>
      </c>
      <c r="CE140" s="62">
        <f t="shared" si="148"/>
        <v>185.00219255324504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-5.4092197387944907E-14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293.996396026019</v>
      </c>
      <c r="CZ140" s="62">
        <f t="shared" si="150"/>
        <v>152.23954167722536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195.80903373714432</v>
      </c>
      <c r="T141" s="62">
        <f t="shared" si="142"/>
        <v>388.30721786668977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6.9435513024083999</v>
      </c>
      <c r="AA141" s="23">
        <f>EXP(-LN(2)/25)*AA140+(1-EXP(-LN(2)/25))/(LN(2)/25)*Calculateur!V141*Calculateur!X141*VLOOKUP('Données projet'!$B$9,Paramètres!$A$1:$I$89,3,0)*0.475*44/12</f>
        <v>2.5857543644936301</v>
      </c>
      <c r="AB141" s="23">
        <f>EXP(-LN(2)/2)*AB140+(1-EXP(-LN(2)/2))/(LN(2)/2)*V141*Y141*VLOOKUP('Données projet'!$B$9,Paramètres!$A$1:$I$89,3,0)*0.475*44/12</f>
        <v>9.8975028474868823E-15</v>
      </c>
      <c r="AC141" s="24">
        <f t="shared" si="111"/>
        <v>9.5293056669020402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-4.9658410716801891E-14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303.33040062722074</v>
      </c>
      <c r="AO141" s="62">
        <f t="shared" si="144"/>
        <v>425.30058672361548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1.4586005421452009</v>
      </c>
      <c r="AV141" s="23">
        <f>EXP(-LN(2)/25)*AV140+(1-EXP(-LN(2)/25))/(LN(2)/25)*Calculateur!AQ141*Calculateur!AS141*VLOOKUP('Données projet'!$B$10,Paramètres!$A$1:$I$89,3,0)*0.475*44/12</f>
        <v>1.5406364308107572</v>
      </c>
      <c r="AW141" s="23">
        <f>EXP(-LN(2)/2)*AW140+(1-EXP(-LN(2)/2))/(LN(2)/2)*AQ141*AT141*VLOOKUP('Données projet'!$B$10,Paramètres!$A$1:$I$89,3,0)*0.475*44/12</f>
        <v>6.5788995491286229E-17</v>
      </c>
      <c r="AX141" s="23">
        <f t="shared" si="114"/>
        <v>2.9992369729559583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1.5961632016114892E-13</v>
      </c>
      <c r="BF141" s="14">
        <f t="shared" si="145"/>
        <v>2.2708641912150958E-12</v>
      </c>
      <c r="BG141" s="22">
        <f t="shared" si="115"/>
        <v>4.2330868906469593E-12</v>
      </c>
      <c r="BH141" s="62">
        <f t="shared" si="116"/>
        <v>293.33333333333752</v>
      </c>
      <c r="BI141" s="62">
        <f ca="1">AVERAGE(OFFSET($BH$3,0,0,'Données projet'!$E$11+1,1))-AVERAGE(OFFSET($H$3,0,0,'Données projet'!$E$11+1,1))</f>
        <v>317.54276561627643</v>
      </c>
      <c r="BJ141" s="62">
        <f t="shared" si="146"/>
        <v>238.92443174298893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-9.9316821433603781E-14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195.30963433439501</v>
      </c>
      <c r="CE141" s="62">
        <f t="shared" si="148"/>
        <v>185.00219255324504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-5.4092197387944907E-14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293.996396026019</v>
      </c>
      <c r="CZ141" s="62">
        <f t="shared" si="150"/>
        <v>152.23954167722536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195.80903373714432</v>
      </c>
      <c r="T142" s="62">
        <f t="shared" si="142"/>
        <v>388.30721786668977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6.8073924965162798</v>
      </c>
      <c r="AA142" s="23">
        <f>EXP(-LN(2)/25)*AA141+(1-EXP(-LN(2)/25))/(LN(2)/25)*Calculateur!V142*Calculateur!X142*VLOOKUP('Données projet'!$B$9,Paramètres!$A$1:$I$89,3,0)*0.475*44/12</f>
        <v>2.5150467754176393</v>
      </c>
      <c r="AB142" s="23">
        <f>EXP(-LN(2)/2)*AB141+(1-EXP(-LN(2)/2))/(LN(2)/2)*V142*Y142*VLOOKUP('Données projet'!$B$9,Paramètres!$A$1:$I$89,3,0)*0.475*44/12</f>
        <v>6.9985913802711383E-15</v>
      </c>
      <c r="AC142" s="24">
        <f t="shared" si="111"/>
        <v>9.3224392719339271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-4.9658410716801891E-14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303.33040062722074</v>
      </c>
      <c r="AO142" s="62">
        <f t="shared" si="144"/>
        <v>425.30058672361548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1.4299982751722178</v>
      </c>
      <c r="AV142" s="23">
        <f>EXP(-LN(2)/25)*AV141+(1-EXP(-LN(2)/25))/(LN(2)/25)*Calculateur!AQ142*Calculateur!AS142*VLOOKUP('Données projet'!$B$10,Paramètres!$A$1:$I$89,3,0)*0.475*44/12</f>
        <v>1.4985076465916882</v>
      </c>
      <c r="AW142" s="23">
        <f>EXP(-LN(2)/2)*AW141+(1-EXP(-LN(2)/2))/(LN(2)/2)*AQ142*AT142*VLOOKUP('Données projet'!$B$10,Paramètres!$A$1:$I$89,3,0)*0.475*44/12</f>
        <v>4.6519844839339694E-17</v>
      </c>
      <c r="AX142" s="23">
        <f t="shared" si="114"/>
        <v>2.928505921763906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1.5961632016114892E-13</v>
      </c>
      <c r="BF142" s="14">
        <f t="shared" si="145"/>
        <v>2.2708641912150958E-12</v>
      </c>
      <c r="BG142" s="22">
        <f t="shared" si="115"/>
        <v>4.2330868906469593E-12</v>
      </c>
      <c r="BH142" s="62">
        <f t="shared" si="116"/>
        <v>293.33333333333752</v>
      </c>
      <c r="BI142" s="62">
        <f ca="1">AVERAGE(OFFSET($BH$3,0,0,'Données projet'!$E$11+1,1))-AVERAGE(OFFSET($H$3,0,0,'Données projet'!$E$11+1,1))</f>
        <v>317.54276561627643</v>
      </c>
      <c r="BJ142" s="62">
        <f t="shared" si="146"/>
        <v>238.92443174298893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-9.9316821433603781E-14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195.30963433439501</v>
      </c>
      <c r="CE142" s="62">
        <f t="shared" si="148"/>
        <v>185.00219255324504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-5.4092197387944907E-14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293.996396026019</v>
      </c>
      <c r="CZ142" s="62">
        <f t="shared" si="150"/>
        <v>152.23954167722536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195.80903373714432</v>
      </c>
      <c r="T143" s="62">
        <f t="shared" si="142"/>
        <v>388.30721786668977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6.6739036817590325</v>
      </c>
      <c r="AA143" s="23">
        <f>EXP(-LN(2)/25)*AA142+(1-EXP(-LN(2)/25))/(LN(2)/25)*Calculateur!V143*Calculateur!X143*VLOOKUP('Données projet'!$B$9,Paramètres!$A$1:$I$89,3,0)*0.475*44/12</f>
        <v>2.4462726890832824</v>
      </c>
      <c r="AB143" s="23">
        <f>EXP(-LN(2)/2)*AB142+(1-EXP(-LN(2)/2))/(LN(2)/2)*V143*Y143*VLOOKUP('Données projet'!$B$9,Paramètres!$A$1:$I$89,3,0)*0.475*44/12</f>
        <v>4.9487514237434419E-15</v>
      </c>
      <c r="AC143" s="24">
        <f t="shared" si="111"/>
        <v>9.1201763708423211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-4.9658410716801891E-14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303.33040062722074</v>
      </c>
      <c r="AO143" s="62">
        <f t="shared" si="144"/>
        <v>425.30058672361548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1.4019568812089145</v>
      </c>
      <c r="AV143" s="23">
        <f>EXP(-LN(2)/25)*AV142+(1-EXP(-LN(2)/25))/(LN(2)/25)*Calculateur!AQ143*Calculateur!AS143*VLOOKUP('Données projet'!$B$10,Paramètres!$A$1:$I$89,3,0)*0.475*44/12</f>
        <v>1.4575308761925463</v>
      </c>
      <c r="AW143" s="23">
        <f>EXP(-LN(2)/2)*AW142+(1-EXP(-LN(2)/2))/(LN(2)/2)*AQ143*AT143*VLOOKUP('Données projet'!$B$10,Paramètres!$A$1:$I$89,3,0)*0.475*44/12</f>
        <v>3.2894497745643114E-17</v>
      </c>
      <c r="AX143" s="23">
        <f t="shared" si="114"/>
        <v>2.8594877574014608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1.5961632016114892E-13</v>
      </c>
      <c r="BF143" s="14">
        <f t="shared" si="145"/>
        <v>2.2708641912150958E-12</v>
      </c>
      <c r="BG143" s="22">
        <f t="shared" si="115"/>
        <v>4.2330868906469593E-12</v>
      </c>
      <c r="BH143" s="62">
        <f t="shared" si="116"/>
        <v>293.33333333333752</v>
      </c>
      <c r="BI143" s="62">
        <f ca="1">AVERAGE(OFFSET($BH$3,0,0,'Données projet'!$E$11+1,1))-AVERAGE(OFFSET($H$3,0,0,'Données projet'!$E$11+1,1))</f>
        <v>317.54276561627643</v>
      </c>
      <c r="BJ143" s="62">
        <f t="shared" si="146"/>
        <v>238.92443174298893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-9.9316821433603781E-14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195.30963433439501</v>
      </c>
      <c r="CE143" s="62">
        <f t="shared" si="148"/>
        <v>185.00219255324504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-5.4092197387944907E-14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293.996396026019</v>
      </c>
      <c r="CZ143" s="62">
        <f t="shared" si="150"/>
        <v>152.23954167722536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195.80903373714432</v>
      </c>
      <c r="T144" s="62">
        <f t="shared" si="142"/>
        <v>388.30721786668977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6.5430325012390371</v>
      </c>
      <c r="AA144" s="23">
        <f>EXP(-LN(2)/25)*AA143+(1-EXP(-LN(2)/25))/(LN(2)/25)*Calculateur!V144*Calculateur!X144*VLOOKUP('Données projet'!$B$9,Paramètres!$A$1:$I$89,3,0)*0.475*44/12</f>
        <v>2.3793792337564104</v>
      </c>
      <c r="AB144" s="23">
        <f>EXP(-LN(2)/2)*AB143+(1-EXP(-LN(2)/2))/(LN(2)/2)*V144*Y144*VLOOKUP('Données projet'!$B$9,Paramètres!$A$1:$I$89,3,0)*0.475*44/12</f>
        <v>3.49929569013557E-15</v>
      </c>
      <c r="AC144" s="24">
        <f t="shared" si="111"/>
        <v>8.9224117349954515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-4.9658410716801891E-14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303.33040062722074</v>
      </c>
      <c r="AO144" s="62">
        <f t="shared" si="144"/>
        <v>425.30058672361548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1.3744653618776701</v>
      </c>
      <c r="AV144" s="23">
        <f>EXP(-LN(2)/25)*AV143+(1-EXP(-LN(2)/25))/(LN(2)/25)*Calculateur!AQ144*Calculateur!AS144*VLOOKUP('Données projet'!$B$10,Paramètres!$A$1:$I$89,3,0)*0.475*44/12</f>
        <v>1.4176746177348436</v>
      </c>
      <c r="AW144" s="23">
        <f>EXP(-LN(2)/2)*AW143+(1-EXP(-LN(2)/2))/(LN(2)/2)*AQ144*AT144*VLOOKUP('Données projet'!$B$10,Paramètres!$A$1:$I$89,3,0)*0.475*44/12</f>
        <v>2.3259922419669847E-17</v>
      </c>
      <c r="AX144" s="23">
        <f t="shared" si="114"/>
        <v>2.7921399796125135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1.5961632016114892E-13</v>
      </c>
      <c r="BF144" s="14">
        <f t="shared" si="145"/>
        <v>2.2708641912150958E-12</v>
      </c>
      <c r="BG144" s="22">
        <f t="shared" si="115"/>
        <v>4.2330868906469593E-12</v>
      </c>
      <c r="BH144" s="62">
        <f t="shared" si="116"/>
        <v>293.33333333333752</v>
      </c>
      <c r="BI144" s="62">
        <f ca="1">AVERAGE(OFFSET($BH$3,0,0,'Données projet'!$E$11+1,1))-AVERAGE(OFFSET($H$3,0,0,'Données projet'!$E$11+1,1))</f>
        <v>317.54276561627643</v>
      </c>
      <c r="BJ144" s="62">
        <f t="shared" si="146"/>
        <v>238.92443174298893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-9.9316821433603781E-14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195.30963433439501</v>
      </c>
      <c r="CE144" s="62">
        <f t="shared" si="148"/>
        <v>185.00219255324504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-5.4092197387944907E-14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293.996396026019</v>
      </c>
      <c r="CZ144" s="62">
        <f t="shared" si="150"/>
        <v>152.23954167722536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195.80903373714432</v>
      </c>
      <c r="T145" s="62">
        <f t="shared" si="142"/>
        <v>388.30721786668977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6.4147276247455007</v>
      </c>
      <c r="AA145" s="23">
        <f>EXP(-LN(2)/25)*AA144+(1-EXP(-LN(2)/25))/(LN(2)/25)*Calculateur!V145*Calculateur!X145*VLOOKUP('Données projet'!$B$9,Paramètres!$A$1:$I$89,3,0)*0.475*44/12</f>
        <v>2.3143149834832255</v>
      </c>
      <c r="AB145" s="23">
        <f>EXP(-LN(2)/2)*AB144+(1-EXP(-LN(2)/2))/(LN(2)/2)*V145*Y145*VLOOKUP('Données projet'!$B$9,Paramètres!$A$1:$I$89,3,0)*0.475*44/12</f>
        <v>2.4743757118717214E-15</v>
      </c>
      <c r="AC145" s="24">
        <f t="shared" si="111"/>
        <v>8.7290426082287276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-4.9658410716801891E-14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303.33040062722074</v>
      </c>
      <c r="AO145" s="62">
        <f t="shared" si="144"/>
        <v>425.30058672361548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1.3475129344723404</v>
      </c>
      <c r="AV145" s="23">
        <f>EXP(-LN(2)/25)*AV144+(1-EXP(-LN(2)/25))/(LN(2)/25)*Calculateur!AQ145*Calculateur!AS145*VLOOKUP('Données projet'!$B$10,Paramètres!$A$1:$I$89,3,0)*0.475*44/12</f>
        <v>1.3789082307606162</v>
      </c>
      <c r="AW145" s="23">
        <f>EXP(-LN(2)/2)*AW144+(1-EXP(-LN(2)/2))/(LN(2)/2)*AQ145*AT145*VLOOKUP('Données projet'!$B$10,Paramètres!$A$1:$I$89,3,0)*0.475*44/12</f>
        <v>1.6447248872821557E-17</v>
      </c>
      <c r="AX145" s="23">
        <f t="shared" si="114"/>
        <v>2.7264211652329564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1.5961632016114892E-13</v>
      </c>
      <c r="BF145" s="14">
        <f t="shared" si="145"/>
        <v>2.2708641912150958E-12</v>
      </c>
      <c r="BG145" s="22">
        <f t="shared" si="115"/>
        <v>4.2330868906469593E-12</v>
      </c>
      <c r="BH145" s="62">
        <f t="shared" si="116"/>
        <v>293.33333333333752</v>
      </c>
      <c r="BI145" s="62">
        <f ca="1">AVERAGE(OFFSET($BH$3,0,0,'Données projet'!$E$11+1,1))-AVERAGE(OFFSET($H$3,0,0,'Données projet'!$E$11+1,1))</f>
        <v>317.54276561627643</v>
      </c>
      <c r="BJ145" s="62">
        <f t="shared" si="146"/>
        <v>238.92443174298893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-9.9316821433603781E-14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195.30963433439501</v>
      </c>
      <c r="CE145" s="62">
        <f t="shared" si="148"/>
        <v>185.00219255324504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-5.4092197387944907E-14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293.996396026019</v>
      </c>
      <c r="CZ145" s="62">
        <f t="shared" si="150"/>
        <v>152.23954167722536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195.80903373714432</v>
      </c>
      <c r="T146" s="62">
        <f t="shared" si="142"/>
        <v>388.30721786668977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6.2889387286217557</v>
      </c>
      <c r="AA146" s="23">
        <f>EXP(-LN(2)/25)*AA145+(1-EXP(-LN(2)/25))/(LN(2)/25)*Calculateur!V146*Calculateur!X146*VLOOKUP('Données projet'!$B$9,Paramètres!$A$1:$I$89,3,0)*0.475*44/12</f>
        <v>2.2510299185553411</v>
      </c>
      <c r="AB146" s="23">
        <f>EXP(-LN(2)/2)*AB145+(1-EXP(-LN(2)/2))/(LN(2)/2)*V146*Y146*VLOOKUP('Données projet'!$B$9,Paramètres!$A$1:$I$89,3,0)*0.475*44/12</f>
        <v>1.7496478450677852E-15</v>
      </c>
      <c r="AC146" s="24">
        <f t="shared" si="111"/>
        <v>8.5399686471770995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-4.9658410716801891E-14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303.33040062722074</v>
      </c>
      <c r="AO146" s="62">
        <f t="shared" si="144"/>
        <v>425.30058672361548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1.3210890277290719</v>
      </c>
      <c r="AV146" s="23">
        <f>EXP(-LN(2)/25)*AV145+(1-EXP(-LN(2)/25))/(LN(2)/25)*Calculateur!AQ146*Calculateur!AS146*VLOOKUP('Données projet'!$B$10,Paramètres!$A$1:$I$89,3,0)*0.475*44/12</f>
        <v>1.3412019126768349</v>
      </c>
      <c r="AW146" s="23">
        <f>EXP(-LN(2)/2)*AW145+(1-EXP(-LN(2)/2))/(LN(2)/2)*AQ146*AT146*VLOOKUP('Données projet'!$B$10,Paramètres!$A$1:$I$89,3,0)*0.475*44/12</f>
        <v>1.1629961209834923E-17</v>
      </c>
      <c r="AX146" s="23">
        <f t="shared" si="114"/>
        <v>2.6622909404059065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1.5961632016114892E-13</v>
      </c>
      <c r="BF146" s="14">
        <f t="shared" si="145"/>
        <v>2.2708641912150958E-12</v>
      </c>
      <c r="BG146" s="22">
        <f t="shared" si="115"/>
        <v>4.2330868906469593E-12</v>
      </c>
      <c r="BH146" s="62">
        <f t="shared" si="116"/>
        <v>293.33333333333752</v>
      </c>
      <c r="BI146" s="62">
        <f ca="1">AVERAGE(OFFSET($BH$3,0,0,'Données projet'!$E$11+1,1))-AVERAGE(OFFSET($H$3,0,0,'Données projet'!$E$11+1,1))</f>
        <v>317.54276561627643</v>
      </c>
      <c r="BJ146" s="62">
        <f t="shared" si="146"/>
        <v>238.92443174298893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-9.9316821433603781E-14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195.30963433439501</v>
      </c>
      <c r="CE146" s="62">
        <f t="shared" si="148"/>
        <v>185.00219255324504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-5.4092197387944907E-14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293.996396026019</v>
      </c>
      <c r="CZ146" s="62">
        <f t="shared" si="150"/>
        <v>152.23954167722536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195.80903373714432</v>
      </c>
      <c r="T147" s="62">
        <f t="shared" si="142"/>
        <v>388.30721786668977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6.1656164760273464</v>
      </c>
      <c r="AA147" s="23">
        <f>EXP(-LN(2)/25)*AA146+(1-EXP(-LN(2)/25))/(LN(2)/25)*Calculateur!V147*Calculateur!X147*VLOOKUP('Données projet'!$B$9,Paramètres!$A$1:$I$89,3,0)*0.475*44/12</f>
        <v>2.1894753870559267</v>
      </c>
      <c r="AB147" s="23">
        <f>EXP(-LN(2)/2)*AB146+(1-EXP(-LN(2)/2))/(LN(2)/2)*V147*Y147*VLOOKUP('Données projet'!$B$9,Paramètres!$A$1:$I$89,3,0)*0.475*44/12</f>
        <v>1.2371878559358609E-15</v>
      </c>
      <c r="AC147" s="24">
        <f t="shared" si="111"/>
        <v>8.3550918630832758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-4.9658410716801891E-14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303.33040062722074</v>
      </c>
      <c r="AO147" s="62">
        <f t="shared" si="144"/>
        <v>425.30058672361548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1.2951832776800472</v>
      </c>
      <c r="AV147" s="23">
        <f>EXP(-LN(2)/25)*AV146+(1-EXP(-LN(2)/25))/(LN(2)/25)*Calculateur!AQ147*Calculateur!AS147*VLOOKUP('Données projet'!$B$10,Paramètres!$A$1:$I$89,3,0)*0.475*44/12</f>
        <v>1.3045266758439436</v>
      </c>
      <c r="AW147" s="23">
        <f>EXP(-LN(2)/2)*AW146+(1-EXP(-LN(2)/2))/(LN(2)/2)*AQ147*AT147*VLOOKUP('Données projet'!$B$10,Paramètres!$A$1:$I$89,3,0)*0.475*44/12</f>
        <v>8.2236244364107786E-18</v>
      </c>
      <c r="AX147" s="23">
        <f t="shared" si="114"/>
        <v>2.5997099535239907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1.5961632016114892E-13</v>
      </c>
      <c r="BF147" s="14">
        <f t="shared" si="145"/>
        <v>2.2708641912150958E-12</v>
      </c>
      <c r="BG147" s="22">
        <f t="shared" si="115"/>
        <v>4.2330868906469593E-12</v>
      </c>
      <c r="BH147" s="62">
        <f t="shared" si="116"/>
        <v>293.33333333333752</v>
      </c>
      <c r="BI147" s="62">
        <f ca="1">AVERAGE(OFFSET($BH$3,0,0,'Données projet'!$E$11+1,1))-AVERAGE(OFFSET($H$3,0,0,'Données projet'!$E$11+1,1))</f>
        <v>317.54276561627643</v>
      </c>
      <c r="BJ147" s="62">
        <f t="shared" si="146"/>
        <v>238.92443174298893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-9.9316821433603781E-14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195.30963433439501</v>
      </c>
      <c r="CE147" s="62">
        <f t="shared" si="148"/>
        <v>185.00219255324504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-5.4092197387944907E-14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293.996396026019</v>
      </c>
      <c r="CZ147" s="62">
        <f t="shared" si="150"/>
        <v>152.23954167722536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195.80903373714432</v>
      </c>
      <c r="T148" s="62">
        <f t="shared" si="142"/>
        <v>388.30721786668977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6.0447124975871667</v>
      </c>
      <c r="AA148" s="23">
        <f>EXP(-LN(2)/25)*AA147+(1-EXP(-LN(2)/25))/(LN(2)/25)*Calculateur!V148*Calculateur!X148*VLOOKUP('Données projet'!$B$9,Paramètres!$A$1:$I$89,3,0)*0.475*44/12</f>
        <v>2.1296040674573757</v>
      </c>
      <c r="AB148" s="23">
        <f>EXP(-LN(2)/2)*AB147+(1-EXP(-LN(2)/2))/(LN(2)/2)*V148*Y148*VLOOKUP('Données projet'!$B$9,Paramètres!$A$1:$I$89,3,0)*0.475*44/12</f>
        <v>8.7482392253389269E-16</v>
      </c>
      <c r="AC148" s="24">
        <f t="shared" si="111"/>
        <v>8.174316565044542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-4.9658410716801891E-14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303.33040062722074</v>
      </c>
      <c r="AO148" s="62">
        <f t="shared" si="144"/>
        <v>425.30058672361548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1.2697855235885365</v>
      </c>
      <c r="AV148" s="23">
        <f>EXP(-LN(2)/25)*AV147+(1-EXP(-LN(2)/25))/(LN(2)/25)*Calculateur!AQ148*Calculateur!AS148*VLOOKUP('Données projet'!$B$10,Paramètres!$A$1:$I$89,3,0)*0.475*44/12</f>
        <v>1.2688543252909146</v>
      </c>
      <c r="AW148" s="23">
        <f>EXP(-LN(2)/2)*AW147+(1-EXP(-LN(2)/2))/(LN(2)/2)*AQ148*AT148*VLOOKUP('Données projet'!$B$10,Paramètres!$A$1:$I$89,3,0)*0.475*44/12</f>
        <v>5.8149806049174617E-18</v>
      </c>
      <c r="AX148" s="23">
        <f t="shared" si="114"/>
        <v>2.538639848879451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1.5961632016114892E-13</v>
      </c>
      <c r="BF148" s="14">
        <f t="shared" si="145"/>
        <v>2.2708641912150958E-12</v>
      </c>
      <c r="BG148" s="22">
        <f t="shared" si="115"/>
        <v>4.2330868906469593E-12</v>
      </c>
      <c r="BH148" s="62">
        <f t="shared" si="116"/>
        <v>293.33333333333752</v>
      </c>
      <c r="BI148" s="62">
        <f ca="1">AVERAGE(OFFSET($BH$3,0,0,'Données projet'!$E$11+1,1))-AVERAGE(OFFSET($H$3,0,0,'Données projet'!$E$11+1,1))</f>
        <v>317.54276561627643</v>
      </c>
      <c r="BJ148" s="62">
        <f t="shared" si="146"/>
        <v>238.92443174298893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-9.9316821433603781E-14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195.30963433439501</v>
      </c>
      <c r="CE148" s="62">
        <f t="shared" si="148"/>
        <v>185.00219255324504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-5.4092197387944907E-14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293.996396026019</v>
      </c>
      <c r="CZ148" s="62">
        <f t="shared" si="150"/>
        <v>152.23954167722536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195.80903373714432</v>
      </c>
      <c r="T149" s="62">
        <f t="shared" si="142"/>
        <v>388.30721786668977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5.9261793724200533</v>
      </c>
      <c r="AA149" s="23">
        <f>EXP(-LN(2)/25)*AA148+(1-EXP(-LN(2)/25))/(LN(2)/25)*Calculateur!V149*Calculateur!X149*VLOOKUP('Données projet'!$B$9,Paramètres!$A$1:$I$89,3,0)*0.475*44/12</f>
        <v>2.0713699322417432</v>
      </c>
      <c r="AB149" s="23">
        <f>EXP(-LN(2)/2)*AB148+(1-EXP(-LN(2)/2))/(LN(2)/2)*V149*Y149*VLOOKUP('Données projet'!$B$9,Paramètres!$A$1:$I$89,3,0)*0.475*44/12</f>
        <v>6.1859392796793054E-16</v>
      </c>
      <c r="AC149" s="24">
        <f t="shared" si="111"/>
        <v>7.9975493046617974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-4.9658410716801891E-14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303.33040062722074</v>
      </c>
      <c r="AO149" s="62">
        <f t="shared" si="144"/>
        <v>425.30058672361548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1.2448858039636599</v>
      </c>
      <c r="AV149" s="23">
        <f>EXP(-LN(2)/25)*AV148+(1-EXP(-LN(2)/25))/(LN(2)/25)*Calculateur!AQ149*Calculateur!AS149*VLOOKUP('Données projet'!$B$10,Paramètres!$A$1:$I$89,3,0)*0.475*44/12</f>
        <v>1.2341574370396855</v>
      </c>
      <c r="AW149" s="23">
        <f>EXP(-LN(2)/2)*AW148+(1-EXP(-LN(2)/2))/(LN(2)/2)*AQ149*AT149*VLOOKUP('Données projet'!$B$10,Paramètres!$A$1:$I$89,3,0)*0.475*44/12</f>
        <v>4.1118122182053893E-18</v>
      </c>
      <c r="AX149" s="23">
        <f t="shared" si="114"/>
        <v>2.4790432410033452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1.5961632016114892E-13</v>
      </c>
      <c r="BF149" s="14">
        <f t="shared" si="145"/>
        <v>2.2708641912150958E-12</v>
      </c>
      <c r="BG149" s="22">
        <f t="shared" si="115"/>
        <v>4.2330868906469593E-12</v>
      </c>
      <c r="BH149" s="62">
        <f t="shared" si="116"/>
        <v>293.33333333333752</v>
      </c>
      <c r="BI149" s="62">
        <f ca="1">AVERAGE(OFFSET($BH$3,0,0,'Données projet'!$E$11+1,1))-AVERAGE(OFFSET($H$3,0,0,'Données projet'!$E$11+1,1))</f>
        <v>317.54276561627643</v>
      </c>
      <c r="BJ149" s="62">
        <f t="shared" si="146"/>
        <v>238.92443174298893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-9.9316821433603781E-14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195.30963433439501</v>
      </c>
      <c r="CE149" s="62">
        <f t="shared" si="148"/>
        <v>185.00219255324504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-5.4092197387944907E-14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293.996396026019</v>
      </c>
      <c r="CZ149" s="62">
        <f t="shared" si="150"/>
        <v>152.23954167722536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195.80903373714432</v>
      </c>
      <c r="T150" s="62">
        <f t="shared" si="142"/>
        <v>388.30721786668977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5.8099706095394001</v>
      </c>
      <c r="AA150" s="23">
        <f>EXP(-LN(2)/25)*AA149+(1-EXP(-LN(2)/25))/(LN(2)/25)*Calculateur!V150*Calculateur!X150*VLOOKUP('Données projet'!$B$9,Paramètres!$A$1:$I$89,3,0)*0.475*44/12</f>
        <v>2.014728212515982</v>
      </c>
      <c r="AB150" s="23">
        <f>EXP(-LN(2)/2)*AB149+(1-EXP(-LN(2)/2))/(LN(2)/2)*V150*Y150*VLOOKUP('Données projet'!$B$9,Paramètres!$A$1:$I$89,3,0)*0.475*44/12</f>
        <v>4.3741196126694644E-16</v>
      </c>
      <c r="AC150" s="24">
        <f t="shared" si="111"/>
        <v>7.8246988220553817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-4.9658410716801891E-14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303.33040062722074</v>
      </c>
      <c r="AO150" s="62">
        <f t="shared" si="144"/>
        <v>425.30058672361548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1.2204743526532977</v>
      </c>
      <c r="AV150" s="23">
        <f>EXP(-LN(2)/25)*AV149+(1-EXP(-LN(2)/25))/(LN(2)/25)*Calculateur!AQ150*Calculateur!AS150*VLOOKUP('Données projet'!$B$10,Paramètres!$A$1:$I$89,3,0)*0.475*44/12</f>
        <v>1.2004093370223163</v>
      </c>
      <c r="AW150" s="23">
        <f>EXP(-LN(2)/2)*AW149+(1-EXP(-LN(2)/2))/(LN(2)/2)*AQ150*AT150*VLOOKUP('Données projet'!$B$10,Paramètres!$A$1:$I$89,3,0)*0.475*44/12</f>
        <v>2.9074903024587308E-18</v>
      </c>
      <c r="AX150" s="23">
        <f t="shared" si="114"/>
        <v>2.4208836896756143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1.5961632016114892E-13</v>
      </c>
      <c r="BF150" s="14">
        <f t="shared" si="145"/>
        <v>2.2708641912150958E-12</v>
      </c>
      <c r="BG150" s="22">
        <f t="shared" si="115"/>
        <v>4.2330868906469593E-12</v>
      </c>
      <c r="BH150" s="62">
        <f t="shared" si="116"/>
        <v>293.33333333333752</v>
      </c>
      <c r="BI150" s="62">
        <f ca="1">AVERAGE(OFFSET($BH$3,0,0,'Données projet'!$E$11+1,1))-AVERAGE(OFFSET($H$3,0,0,'Données projet'!$E$11+1,1))</f>
        <v>317.54276561627643</v>
      </c>
      <c r="BJ150" s="62">
        <f t="shared" si="146"/>
        <v>238.92443174298893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-9.9316821433603781E-14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195.30963433439501</v>
      </c>
      <c r="CE150" s="62">
        <f t="shared" si="148"/>
        <v>185.00219255324504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-5.4092197387944907E-14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293.996396026019</v>
      </c>
      <c r="CZ150" s="62">
        <f t="shared" si="150"/>
        <v>152.23954167722536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195.80903373714432</v>
      </c>
      <c r="T151" s="62">
        <f t="shared" si="142"/>
        <v>388.30721786668977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5.6960406296184898</v>
      </c>
      <c r="AA151" s="23">
        <f>EXP(-LN(2)/25)*AA150+(1-EXP(-LN(2)/25))/(LN(2)/25)*Calculateur!V151*Calculateur!X151*VLOOKUP('Données projet'!$B$9,Paramètres!$A$1:$I$89,3,0)*0.475*44/12</f>
        <v>1.9596353635947805</v>
      </c>
      <c r="AB151" s="23">
        <f>EXP(-LN(2)/2)*AB150+(1-EXP(-LN(2)/2))/(LN(2)/2)*V151*Y151*VLOOKUP('Données projet'!$B$9,Paramètres!$A$1:$I$89,3,0)*0.475*44/12</f>
        <v>3.0929696398396532E-16</v>
      </c>
      <c r="AC151" s="24">
        <f t="shared" si="111"/>
        <v>7.6556759932132703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-4.9658410716801891E-14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303.33040062722074</v>
      </c>
      <c r="AO151" s="62">
        <f t="shared" si="144"/>
        <v>425.30058672361548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1.1965415950136167</v>
      </c>
      <c r="AV151" s="23">
        <f>EXP(-LN(2)/25)*AV150+(1-EXP(-LN(2)/25))/(LN(2)/25)*Calculateur!AQ151*Calculateur!AS151*VLOOKUP('Données projet'!$B$10,Paramètres!$A$1:$I$89,3,0)*0.475*44/12</f>
        <v>1.1675840805746576</v>
      </c>
      <c r="AW151" s="23">
        <f>EXP(-LN(2)/2)*AW150+(1-EXP(-LN(2)/2))/(LN(2)/2)*AQ151*AT151*VLOOKUP('Données projet'!$B$10,Paramètres!$A$1:$I$89,3,0)*0.475*44/12</f>
        <v>2.0559061091026946E-18</v>
      </c>
      <c r="AX151" s="23">
        <f t="shared" si="114"/>
        <v>2.3641256755882742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1.5961632016114892E-13</v>
      </c>
      <c r="BF151" s="14">
        <f t="shared" si="145"/>
        <v>2.2708641912150958E-12</v>
      </c>
      <c r="BG151" s="22">
        <f t="shared" si="115"/>
        <v>4.2330868906469593E-12</v>
      </c>
      <c r="BH151" s="62">
        <f t="shared" si="116"/>
        <v>293.33333333333752</v>
      </c>
      <c r="BI151" s="62">
        <f ca="1">AVERAGE(OFFSET($BH$3,0,0,'Données projet'!$E$11+1,1))-AVERAGE(OFFSET($H$3,0,0,'Données projet'!$E$11+1,1))</f>
        <v>317.54276561627643</v>
      </c>
      <c r="BJ151" s="62">
        <f t="shared" si="146"/>
        <v>238.92443174298893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-9.9316821433603781E-14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195.30963433439501</v>
      </c>
      <c r="CE151" s="62">
        <f t="shared" si="148"/>
        <v>185.00219255324504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-5.4092197387944907E-14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293.996396026019</v>
      </c>
      <c r="CZ151" s="62">
        <f t="shared" si="150"/>
        <v>152.23954167722536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195.80903373714432</v>
      </c>
      <c r="T152" s="62">
        <f t="shared" si="142"/>
        <v>388.30721786668977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5.584344747113402</v>
      </c>
      <c r="AA152" s="23">
        <f>EXP(-LN(2)/25)*AA151+(1-EXP(-LN(2)/25))/(LN(2)/25)*Calculateur!V152*Calculateur!X152*VLOOKUP('Données projet'!$B$9,Paramètres!$A$1:$I$89,3,0)*0.475*44/12</f>
        <v>1.9060490315245362</v>
      </c>
      <c r="AB152" s="23">
        <f>EXP(-LN(2)/2)*AB151+(1-EXP(-LN(2)/2))/(LN(2)/2)*V152*Y152*VLOOKUP('Données projet'!$B$9,Paramètres!$A$1:$I$89,3,0)*0.475*44/12</f>
        <v>2.1870598063347325E-16</v>
      </c>
      <c r="AC152" s="24">
        <f t="shared" si="111"/>
        <v>7.4903937786379382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-4.9658410716801891E-14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303.33040062722074</v>
      </c>
      <c r="AO152" s="62">
        <f t="shared" si="144"/>
        <v>425.30058672361548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1.173078144153709</v>
      </c>
      <c r="AV152" s="23">
        <f>EXP(-LN(2)/25)*AV151+(1-EXP(-LN(2)/25))/(LN(2)/25)*Calculateur!AQ152*Calculateur!AS152*VLOOKUP('Données projet'!$B$10,Paramètres!$A$1:$I$89,3,0)*0.475*44/12</f>
        <v>1.1356564324907652</v>
      </c>
      <c r="AW152" s="23">
        <f>EXP(-LN(2)/2)*AW151+(1-EXP(-LN(2)/2))/(LN(2)/2)*AQ152*AT152*VLOOKUP('Données projet'!$B$10,Paramètres!$A$1:$I$89,3,0)*0.475*44/12</f>
        <v>1.4537451512293654E-18</v>
      </c>
      <c r="AX152" s="23">
        <f t="shared" si="114"/>
        <v>2.3087345766444742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1.5961632016114892E-13</v>
      </c>
      <c r="BF152" s="14">
        <f t="shared" si="145"/>
        <v>2.2708641912150958E-12</v>
      </c>
      <c r="BG152" s="22">
        <f t="shared" si="115"/>
        <v>4.2330868906469593E-12</v>
      </c>
      <c r="BH152" s="62">
        <f t="shared" si="116"/>
        <v>293.33333333333752</v>
      </c>
      <c r="BI152" s="62">
        <f ca="1">AVERAGE(OFFSET($BH$3,0,0,'Données projet'!$E$11+1,1))-AVERAGE(OFFSET($H$3,0,0,'Données projet'!$E$11+1,1))</f>
        <v>317.54276561627643</v>
      </c>
      <c r="BJ152" s="62">
        <f t="shared" si="146"/>
        <v>238.92443174298893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-9.9316821433603781E-14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195.30963433439501</v>
      </c>
      <c r="CE152" s="62">
        <f t="shared" si="148"/>
        <v>185.00219255324504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-5.4092197387944907E-14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293.996396026019</v>
      </c>
      <c r="CZ152" s="62">
        <f t="shared" si="150"/>
        <v>152.23954167722536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195.80903373714432</v>
      </c>
      <c r="T153" s="62">
        <f t="shared" si="142"/>
        <v>388.30721786668977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5.4748391527364779</v>
      </c>
      <c r="AA153" s="23">
        <f>EXP(-LN(2)/25)*AA152+(1-EXP(-LN(2)/25))/(LN(2)/25)*Calculateur!V153*Calculateur!X153*VLOOKUP('Données projet'!$B$9,Paramètres!$A$1:$I$89,3,0)*0.475*44/12</f>
        <v>1.8539280205227355</v>
      </c>
      <c r="AB153" s="23">
        <f>EXP(-LN(2)/2)*AB152+(1-EXP(-LN(2)/2))/(LN(2)/2)*V153*Y153*VLOOKUP('Données projet'!$B$9,Paramètres!$A$1:$I$89,3,0)*0.475*44/12</f>
        <v>1.5464848199198268E-16</v>
      </c>
      <c r="AC153" s="24">
        <f t="shared" si="111"/>
        <v>7.3287671732592132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-4.9658410716801891E-14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303.33040062722074</v>
      </c>
      <c r="AO153" s="62">
        <f t="shared" si="144"/>
        <v>425.30058672361548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1.1500747972538723</v>
      </c>
      <c r="AV153" s="23">
        <f>EXP(-LN(2)/25)*AV152+(1-EXP(-LN(2)/25))/(LN(2)/25)*Calculateur!AQ153*Calculateur!AS153*VLOOKUP('Données projet'!$B$10,Paramètres!$A$1:$I$89,3,0)*0.475*44/12</f>
        <v>1.1046018476227291</v>
      </c>
      <c r="AW153" s="23">
        <f>EXP(-LN(2)/2)*AW152+(1-EXP(-LN(2)/2))/(LN(2)/2)*AQ153*AT153*VLOOKUP('Données projet'!$B$10,Paramètres!$A$1:$I$89,3,0)*0.475*44/12</f>
        <v>1.0279530545513473E-18</v>
      </c>
      <c r="AX153" s="23">
        <f t="shared" si="114"/>
        <v>2.2546766448766014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1.5961632016114892E-13</v>
      </c>
      <c r="BF153" s="14">
        <f t="shared" si="145"/>
        <v>2.2708641912150958E-12</v>
      </c>
      <c r="BG153" s="22">
        <f t="shared" si="115"/>
        <v>4.2330868906469593E-12</v>
      </c>
      <c r="BH153" s="62">
        <f t="shared" si="116"/>
        <v>293.33333333333752</v>
      </c>
      <c r="BI153" s="62">
        <f ca="1">AVERAGE(OFFSET($BH$3,0,0,'Données projet'!$E$11+1,1))-AVERAGE(OFFSET($H$3,0,0,'Données projet'!$E$11+1,1))</f>
        <v>317.54276561627643</v>
      </c>
      <c r="BJ153" s="62">
        <f t="shared" si="146"/>
        <v>238.92443174298893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-9.9316821433603781E-14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195.30963433439501</v>
      </c>
      <c r="CE153" s="62">
        <f t="shared" si="148"/>
        <v>185.00219255324504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-5.4092197387944907E-14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293.996396026019</v>
      </c>
      <c r="CZ153" s="62">
        <f t="shared" si="150"/>
        <v>152.23954167722536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195.80903373714432</v>
      </c>
      <c r="T154" s="62">
        <f t="shared" si="142"/>
        <v>388.30721786668977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5.3674808962734684</v>
      </c>
      <c r="AA154" s="23">
        <f>EXP(-LN(2)/25)*AA153+(1-EXP(-LN(2)/25))/(LN(2)/25)*Calculateur!V154*Calculateur!X154*VLOOKUP('Données projet'!$B$9,Paramètres!$A$1:$I$89,3,0)*0.475*44/12</f>
        <v>1.8032322613077039</v>
      </c>
      <c r="AB154" s="23">
        <f>EXP(-LN(2)/2)*AB153+(1-EXP(-LN(2)/2))/(LN(2)/2)*V154*Y154*VLOOKUP('Données projet'!$B$9,Paramètres!$A$1:$I$89,3,0)*0.475*44/12</f>
        <v>1.0935299031673665E-16</v>
      </c>
      <c r="AC154" s="24">
        <f t="shared" ref="AC154:AC203" si="163">SUM(Z154:AB154)</f>
        <v>7.1707131575811722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-4.9658410716801891E-14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303.33040062722074</v>
      </c>
      <c r="AO154" s="62">
        <f t="shared" si="144"/>
        <v>425.30058672361548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1.1275225319560851</v>
      </c>
      <c r="AV154" s="23">
        <f>EXP(-LN(2)/25)*AV153+(1-EXP(-LN(2)/25))/(LN(2)/25)*Calculateur!AQ154*Calculateur!AS154*VLOOKUP('Données projet'!$B$10,Paramètres!$A$1:$I$89,3,0)*0.475*44/12</f>
        <v>1.074396452010999</v>
      </c>
      <c r="AW154" s="23">
        <f>EXP(-LN(2)/2)*AW153+(1-EXP(-LN(2)/2))/(LN(2)/2)*AQ154*AT154*VLOOKUP('Données projet'!$B$10,Paramètres!$A$1:$I$89,3,0)*0.475*44/12</f>
        <v>7.2687257561468271E-19</v>
      </c>
      <c r="AX154" s="23">
        <f t="shared" ref="AX154:AX203" si="166">SUM(AU154:AW154)</f>
        <v>2.2019189839670839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1.5961632016114892E-13</v>
      </c>
      <c r="BF154" s="14">
        <f t="shared" ref="BF154:BF203" si="167">EXP(-1.0587+0.8836*LN(BE154)+0.284)</f>
        <v>2.2708641912150958E-12</v>
      </c>
      <c r="BG154" s="22">
        <f t="shared" ref="BG154:BG203" si="168">(BE154+BF154)*0.475*44/12</f>
        <v>4.2330868906469593E-12</v>
      </c>
      <c r="BH154" s="62">
        <f t="shared" si="116"/>
        <v>293.33333333333752</v>
      </c>
      <c r="BI154" s="62">
        <f ca="1">AVERAGE(OFFSET($BH$3,0,0,'Données projet'!$E$11+1,1))-AVERAGE(OFFSET($H$3,0,0,'Données projet'!$E$11+1,1))</f>
        <v>317.54276561627643</v>
      </c>
      <c r="BJ154" s="62">
        <f t="shared" si="146"/>
        <v>238.92443174298893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-9.9316821433603781E-14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195.30963433439501</v>
      </c>
      <c r="CE154" s="62">
        <f t="shared" si="148"/>
        <v>185.00219255324504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-5.4092197387944907E-14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293.996396026019</v>
      </c>
      <c r="CZ154" s="62">
        <f t="shared" si="150"/>
        <v>152.23954167722536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195.80903373714432</v>
      </c>
      <c r="T155" s="62">
        <f t="shared" si="142"/>
        <v>388.30721786668977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5.2622278697376279</v>
      </c>
      <c r="AA155" s="23">
        <f>EXP(-LN(2)/25)*AA154+(1-EXP(-LN(2)/25))/(LN(2)/25)*Calculateur!V155*Calculateur!X155*VLOOKUP('Données projet'!$B$9,Paramètres!$A$1:$I$89,3,0)*0.475*44/12</f>
        <v>1.7539227802943815</v>
      </c>
      <c r="AB155" s="23">
        <f>EXP(-LN(2)/2)*AB154+(1-EXP(-LN(2)/2))/(LN(2)/2)*V155*Y155*VLOOKUP('Données projet'!$B$9,Paramètres!$A$1:$I$89,3,0)*0.475*44/12</f>
        <v>7.7324240995991354E-17</v>
      </c>
      <c r="AC155" s="24">
        <f t="shared" si="163"/>
        <v>7.0161506500320092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-4.9658410716801891E-14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303.33040062722074</v>
      </c>
      <c r="AO155" s="62">
        <f t="shared" si="144"/>
        <v>425.30058672361548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1.1054125028252639</v>
      </c>
      <c r="AV155" s="23">
        <f>EXP(-LN(2)/25)*AV154+(1-EXP(-LN(2)/25))/(LN(2)/25)*Calculateur!AQ155*Calculateur!AS155*VLOOKUP('Données projet'!$B$10,Paramètres!$A$1:$I$89,3,0)*0.475*44/12</f>
        <v>1.0450170245307044</v>
      </c>
      <c r="AW155" s="23">
        <f>EXP(-LN(2)/2)*AW154+(1-EXP(-LN(2)/2))/(LN(2)/2)*AQ155*AT155*VLOOKUP('Données projet'!$B$10,Paramètres!$A$1:$I$89,3,0)*0.475*44/12</f>
        <v>5.1397652727567366E-19</v>
      </c>
      <c r="AX155" s="23">
        <f t="shared" si="166"/>
        <v>2.1504295273559686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1.5961632016114892E-13</v>
      </c>
      <c r="BF155" s="14">
        <f t="shared" si="167"/>
        <v>2.2708641912150958E-12</v>
      </c>
      <c r="BG155" s="22">
        <f t="shared" si="168"/>
        <v>4.2330868906469593E-12</v>
      </c>
      <c r="BH155" s="62">
        <f t="shared" si="116"/>
        <v>293.33333333333752</v>
      </c>
      <c r="BI155" s="62">
        <f ca="1">AVERAGE(OFFSET($BH$3,0,0,'Données projet'!$E$11+1,1))-AVERAGE(OFFSET($H$3,0,0,'Données projet'!$E$11+1,1))</f>
        <v>317.54276561627643</v>
      </c>
      <c r="BJ155" s="62">
        <f t="shared" si="146"/>
        <v>238.92443174298893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-9.9316821433603781E-14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195.30963433439501</v>
      </c>
      <c r="CE155" s="62">
        <f t="shared" si="148"/>
        <v>185.00219255324504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-5.4092197387944907E-14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293.996396026019</v>
      </c>
      <c r="CZ155" s="62">
        <f t="shared" si="150"/>
        <v>152.23954167722536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195.80903373714432</v>
      </c>
      <c r="T156" s="62">
        <f t="shared" si="142"/>
        <v>388.30721786668977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5.1590387908541473</v>
      </c>
      <c r="AA156" s="23">
        <f>EXP(-LN(2)/25)*AA155+(1-EXP(-LN(2)/25))/(LN(2)/25)*Calculateur!V156*Calculateur!X156*VLOOKUP('Données projet'!$B$9,Paramètres!$A$1:$I$89,3,0)*0.475*44/12</f>
        <v>1.7059616696324413</v>
      </c>
      <c r="AB156" s="23">
        <f>EXP(-LN(2)/2)*AB155+(1-EXP(-LN(2)/2))/(LN(2)/2)*V156*Y156*VLOOKUP('Données projet'!$B$9,Paramètres!$A$1:$I$89,3,0)*0.475*44/12</f>
        <v>5.467649515836833E-17</v>
      </c>
      <c r="AC156" s="24">
        <f t="shared" si="163"/>
        <v>6.8650004604865886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-4.9658410716801891E-14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303.33040062722074</v>
      </c>
      <c r="AO156" s="62">
        <f t="shared" si="144"/>
        <v>425.30058672361548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1.0837360378799121</v>
      </c>
      <c r="AV156" s="23">
        <f>EXP(-LN(2)/25)*AV155+(1-EXP(-LN(2)/25))/(LN(2)/25)*Calculateur!AQ156*Calculateur!AS156*VLOOKUP('Données projet'!$B$10,Paramètres!$A$1:$I$89,3,0)*0.475*44/12</f>
        <v>1.0164409790398554</v>
      </c>
      <c r="AW156" s="23">
        <f>EXP(-LN(2)/2)*AW155+(1-EXP(-LN(2)/2))/(LN(2)/2)*AQ156*AT156*VLOOKUP('Données projet'!$B$10,Paramètres!$A$1:$I$89,3,0)*0.475*44/12</f>
        <v>3.6343628780734136E-19</v>
      </c>
      <c r="AX156" s="23">
        <f t="shared" si="166"/>
        <v>2.1001770169197673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1.5961632016114892E-13</v>
      </c>
      <c r="BF156" s="14">
        <f t="shared" si="167"/>
        <v>2.2708641912150958E-12</v>
      </c>
      <c r="BG156" s="22">
        <f t="shared" si="168"/>
        <v>4.2330868906469593E-12</v>
      </c>
      <c r="BH156" s="62">
        <f t="shared" si="116"/>
        <v>293.33333333333752</v>
      </c>
      <c r="BI156" s="62">
        <f ca="1">AVERAGE(OFFSET($BH$3,0,0,'Données projet'!$E$11+1,1))-AVERAGE(OFFSET($H$3,0,0,'Données projet'!$E$11+1,1))</f>
        <v>317.54276561627643</v>
      </c>
      <c r="BJ156" s="62">
        <f t="shared" si="146"/>
        <v>238.92443174298893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-9.9316821433603781E-14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195.30963433439501</v>
      </c>
      <c r="CE156" s="62">
        <f t="shared" si="148"/>
        <v>185.00219255324504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-5.4092197387944907E-14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293.996396026019</v>
      </c>
      <c r="CZ156" s="62">
        <f t="shared" si="150"/>
        <v>152.23954167722536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195.80903373714432</v>
      </c>
      <c r="T157" s="62">
        <f t="shared" si="142"/>
        <v>388.30721786668977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5.0578731868684486</v>
      </c>
      <c r="AA157" s="23">
        <f>EXP(-LN(2)/25)*AA156+(1-EXP(-LN(2)/25))/(LN(2)/25)*Calculateur!V157*Calculateur!X157*VLOOKUP('Données projet'!$B$9,Paramètres!$A$1:$I$89,3,0)*0.475*44/12</f>
        <v>1.6593120580637171</v>
      </c>
      <c r="AB157" s="23">
        <f>EXP(-LN(2)/2)*AB156+(1-EXP(-LN(2)/2))/(LN(2)/2)*V157*Y157*VLOOKUP('Données projet'!$B$9,Paramètres!$A$1:$I$89,3,0)*0.475*44/12</f>
        <v>3.8662120497995683E-17</v>
      </c>
      <c r="AC157" s="24">
        <f t="shared" si="163"/>
        <v>6.7171852449321658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-4.9658410716801891E-14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303.33040062722074</v>
      </c>
      <c r="AO157" s="62">
        <f t="shared" si="144"/>
        <v>425.30058672361548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1.0624846351908004</v>
      </c>
      <c r="AV157" s="23">
        <f>EXP(-LN(2)/25)*AV156+(1-EXP(-LN(2)/25))/(LN(2)/25)*Calculateur!AQ157*Calculateur!AS157*VLOOKUP('Données projet'!$B$10,Paramètres!$A$1:$I$89,3,0)*0.475*44/12</f>
        <v>0.98864634701570264</v>
      </c>
      <c r="AW157" s="23">
        <f>EXP(-LN(2)/2)*AW156+(1-EXP(-LN(2)/2))/(LN(2)/2)*AQ157*AT157*VLOOKUP('Données projet'!$B$10,Paramètres!$A$1:$I$89,3,0)*0.475*44/12</f>
        <v>2.5698826363783683E-19</v>
      </c>
      <c r="AX157" s="23">
        <f t="shared" si="166"/>
        <v>2.0511309822065029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1.5961632016114892E-13</v>
      </c>
      <c r="BF157" s="14">
        <f t="shared" si="167"/>
        <v>2.2708641912150958E-12</v>
      </c>
      <c r="BG157" s="22">
        <f t="shared" si="168"/>
        <v>4.2330868906469593E-12</v>
      </c>
      <c r="BH157" s="62">
        <f t="shared" si="116"/>
        <v>293.33333333333752</v>
      </c>
      <c r="BI157" s="62">
        <f ca="1">AVERAGE(OFFSET($BH$3,0,0,'Données projet'!$E$11+1,1))-AVERAGE(OFFSET($H$3,0,0,'Données projet'!$E$11+1,1))</f>
        <v>317.54276561627643</v>
      </c>
      <c r="BJ157" s="62">
        <f t="shared" si="146"/>
        <v>238.92443174298893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-9.9316821433603781E-14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195.30963433439501</v>
      </c>
      <c r="CE157" s="62">
        <f t="shared" si="148"/>
        <v>185.00219255324504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-5.4092197387944907E-14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293.996396026019</v>
      </c>
      <c r="CZ157" s="62">
        <f t="shared" si="150"/>
        <v>152.23954167722536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195.80903373714432</v>
      </c>
      <c r="T158" s="62">
        <f t="shared" si="142"/>
        <v>388.30721786668977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4.9586913786719844</v>
      </c>
      <c r="AA158" s="23">
        <f>EXP(-LN(2)/25)*AA157+(1-EXP(-LN(2)/25))/(LN(2)/25)*Calculateur!V158*Calculateur!X158*VLOOKUP('Données projet'!$B$9,Paramètres!$A$1:$I$89,3,0)*0.475*44/12</f>
        <v>1.6139380825765359</v>
      </c>
      <c r="AB158" s="23">
        <f>EXP(-LN(2)/2)*AB157+(1-EXP(-LN(2)/2))/(LN(2)/2)*V158*Y158*VLOOKUP('Données projet'!$B$9,Paramètres!$A$1:$I$89,3,0)*0.475*44/12</f>
        <v>2.7338247579184168E-17</v>
      </c>
      <c r="AC158" s="24">
        <f t="shared" si="163"/>
        <v>6.5726294612485203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-4.9658410716801891E-14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303.33040062722074</v>
      </c>
      <c r="AO158" s="62">
        <f t="shared" si="144"/>
        <v>425.30058672361548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1.0416499595463464</v>
      </c>
      <c r="AV158" s="23">
        <f>EXP(-LN(2)/25)*AV157+(1-EXP(-LN(2)/25))/(LN(2)/25)*Calculateur!AQ158*Calculateur!AS158*VLOOKUP('Données projet'!$B$10,Paramètres!$A$1:$I$89,3,0)*0.475*44/12</f>
        <v>0.96161176066590648</v>
      </c>
      <c r="AW158" s="23">
        <f>EXP(-LN(2)/2)*AW157+(1-EXP(-LN(2)/2))/(LN(2)/2)*AQ158*AT158*VLOOKUP('Données projet'!$B$10,Paramètres!$A$1:$I$89,3,0)*0.475*44/12</f>
        <v>1.8171814390367068E-19</v>
      </c>
      <c r="AX158" s="23">
        <f t="shared" si="166"/>
        <v>2.0032617202122527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1.5961632016114892E-13</v>
      </c>
      <c r="BF158" s="14">
        <f t="shared" si="167"/>
        <v>2.2708641912150958E-12</v>
      </c>
      <c r="BG158" s="22">
        <f t="shared" si="168"/>
        <v>4.2330868906469593E-12</v>
      </c>
      <c r="BH158" s="62">
        <f t="shared" si="116"/>
        <v>293.33333333333752</v>
      </c>
      <c r="BI158" s="62">
        <f ca="1">AVERAGE(OFFSET($BH$3,0,0,'Données projet'!$E$11+1,1))-AVERAGE(OFFSET($H$3,0,0,'Données projet'!$E$11+1,1))</f>
        <v>317.54276561627643</v>
      </c>
      <c r="BJ158" s="62">
        <f t="shared" si="146"/>
        <v>238.92443174298893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-9.9316821433603781E-14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195.30963433439501</v>
      </c>
      <c r="CE158" s="62">
        <f t="shared" si="148"/>
        <v>185.00219255324504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-5.4092197387944907E-14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293.996396026019</v>
      </c>
      <c r="CZ158" s="62">
        <f t="shared" si="150"/>
        <v>152.23954167722536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195.80903373714432</v>
      </c>
      <c r="T159" s="62">
        <f t="shared" si="142"/>
        <v>388.30721786668977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4.8614544652393228</v>
      </c>
      <c r="AA159" s="23">
        <f>EXP(-LN(2)/25)*AA158+(1-EXP(-LN(2)/25))/(LN(2)/25)*Calculateur!V159*Calculateur!X159*VLOOKUP('Données projet'!$B$9,Paramètres!$A$1:$I$89,3,0)*0.475*44/12</f>
        <v>1.5698048608351656</v>
      </c>
      <c r="AB159" s="23">
        <f>EXP(-LN(2)/2)*AB158+(1-EXP(-LN(2)/2))/(LN(2)/2)*V159*Y159*VLOOKUP('Données projet'!$B$9,Paramètres!$A$1:$I$89,3,0)*0.475*44/12</f>
        <v>1.9331060248997845E-17</v>
      </c>
      <c r="AC159" s="24">
        <f t="shared" si="163"/>
        <v>6.4312593260744881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-4.9658410716801891E-14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303.33040062722074</v>
      </c>
      <c r="AO159" s="62">
        <f t="shared" si="144"/>
        <v>425.30058672361548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1.021223839183383</v>
      </c>
      <c r="AV159" s="23">
        <f>EXP(-LN(2)/25)*AV158+(1-EXP(-LN(2)/25))/(LN(2)/25)*Calculateur!AQ159*Calculateur!AS159*VLOOKUP('Données projet'!$B$10,Paramètres!$A$1:$I$89,3,0)*0.475*44/12</f>
        <v>0.93531643650153251</v>
      </c>
      <c r="AW159" s="23">
        <f>EXP(-LN(2)/2)*AW158+(1-EXP(-LN(2)/2))/(LN(2)/2)*AQ159*AT159*VLOOKUP('Données projet'!$B$10,Paramètres!$A$1:$I$89,3,0)*0.475*44/12</f>
        <v>1.2849413181891842E-19</v>
      </c>
      <c r="AX159" s="23">
        <f t="shared" si="166"/>
        <v>1.9565402756849155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1.5961632016114892E-13</v>
      </c>
      <c r="BF159" s="14">
        <f t="shared" si="167"/>
        <v>2.2708641912150958E-12</v>
      </c>
      <c r="BG159" s="22">
        <f t="shared" si="168"/>
        <v>4.2330868906469593E-12</v>
      </c>
      <c r="BH159" s="62">
        <f t="shared" si="116"/>
        <v>293.33333333333752</v>
      </c>
      <c r="BI159" s="62">
        <f ca="1">AVERAGE(OFFSET($BH$3,0,0,'Données projet'!$E$11+1,1))-AVERAGE(OFFSET($H$3,0,0,'Données projet'!$E$11+1,1))</f>
        <v>317.54276561627643</v>
      </c>
      <c r="BJ159" s="62">
        <f t="shared" si="146"/>
        <v>238.92443174298893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-9.9316821433603781E-14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195.30963433439501</v>
      </c>
      <c r="CE159" s="62">
        <f t="shared" si="148"/>
        <v>185.00219255324504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-5.4092197387944907E-14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293.996396026019</v>
      </c>
      <c r="CZ159" s="62">
        <f t="shared" si="150"/>
        <v>152.23954167722536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195.80903373714432</v>
      </c>
      <c r="T160" s="62">
        <f t="shared" si="142"/>
        <v>388.30721786668977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4.766124308370415</v>
      </c>
      <c r="AA160" s="23">
        <f>EXP(-LN(2)/25)*AA159+(1-EXP(-LN(2)/25))/(LN(2)/25)*Calculateur!V160*Calculateur!X160*VLOOKUP('Données projet'!$B$9,Paramètres!$A$1:$I$89,3,0)*0.475*44/12</f>
        <v>1.5268784643631781</v>
      </c>
      <c r="AB160" s="23">
        <f>EXP(-LN(2)/2)*AB159+(1-EXP(-LN(2)/2))/(LN(2)/2)*V160*Y160*VLOOKUP('Données projet'!$B$9,Paramètres!$A$1:$I$89,3,0)*0.475*44/12</f>
        <v>1.3669123789592087E-17</v>
      </c>
      <c r="AC160" s="24">
        <f t="shared" si="163"/>
        <v>6.2930027727335931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-4.9658410716801891E-14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303.33040062722074</v>
      </c>
      <c r="AO160" s="62">
        <f t="shared" si="144"/>
        <v>425.30058672361548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1.0011982625820339</v>
      </c>
      <c r="AV160" s="23">
        <f>EXP(-LN(2)/25)*AV159+(1-EXP(-LN(2)/25))/(LN(2)/25)*Calculateur!AQ160*Calculateur!AS160*VLOOKUP('Données projet'!$B$10,Paramètres!$A$1:$I$89,3,0)*0.475*44/12</f>
        <v>0.90974015935924435</v>
      </c>
      <c r="AW160" s="23">
        <f>EXP(-LN(2)/2)*AW159+(1-EXP(-LN(2)/2))/(LN(2)/2)*AQ160*AT160*VLOOKUP('Données projet'!$B$10,Paramètres!$A$1:$I$89,3,0)*0.475*44/12</f>
        <v>9.0859071951835339E-20</v>
      </c>
      <c r="AX160" s="23">
        <f t="shared" si="166"/>
        <v>1.9109384219412782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1.5961632016114892E-13</v>
      </c>
      <c r="BF160" s="14">
        <f t="shared" si="167"/>
        <v>2.2708641912150958E-12</v>
      </c>
      <c r="BG160" s="22">
        <f t="shared" si="168"/>
        <v>4.2330868906469593E-12</v>
      </c>
      <c r="BH160" s="62">
        <f t="shared" si="116"/>
        <v>293.33333333333752</v>
      </c>
      <c r="BI160" s="62">
        <f ca="1">AVERAGE(OFFSET($BH$3,0,0,'Données projet'!$E$11+1,1))-AVERAGE(OFFSET($H$3,0,0,'Données projet'!$E$11+1,1))</f>
        <v>317.54276561627643</v>
      </c>
      <c r="BJ160" s="62">
        <f t="shared" si="146"/>
        <v>238.92443174298893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-9.9316821433603781E-14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195.30963433439501</v>
      </c>
      <c r="CE160" s="62">
        <f t="shared" si="148"/>
        <v>185.00219255324504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-5.4092197387944907E-14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293.996396026019</v>
      </c>
      <c r="CZ160" s="62">
        <f t="shared" si="150"/>
        <v>152.23954167722536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195.80903373714432</v>
      </c>
      <c r="T161" s="62">
        <f t="shared" si="142"/>
        <v>388.30721786668977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4.6726635177320519</v>
      </c>
      <c r="AA161" s="23">
        <f>EXP(-LN(2)/25)*AA160+(1-EXP(-LN(2)/25))/(LN(2)/25)*Calculateur!V161*Calculateur!X161*VLOOKUP('Données projet'!$B$9,Paramètres!$A$1:$I$89,3,0)*0.475*44/12</f>
        <v>1.4851258924601183</v>
      </c>
      <c r="AB161" s="23">
        <f>EXP(-LN(2)/2)*AB160+(1-EXP(-LN(2)/2))/(LN(2)/2)*V161*Y161*VLOOKUP('Données projet'!$B$9,Paramètres!$A$1:$I$89,3,0)*0.475*44/12</f>
        <v>9.6655301244989239E-18</v>
      </c>
      <c r="AC161" s="24">
        <f t="shared" si="163"/>
        <v>6.1577894101921702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-4.9658410716801891E-14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303.33040062722074</v>
      </c>
      <c r="AO161" s="62">
        <f t="shared" si="144"/>
        <v>425.30058672361548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0.98156537532344168</v>
      </c>
      <c r="AV161" s="23">
        <f>EXP(-LN(2)/25)*AV160+(1-EXP(-LN(2)/25))/(LN(2)/25)*Calculateur!AQ161*Calculateur!AS161*VLOOKUP('Données projet'!$B$10,Paramètres!$A$1:$I$89,3,0)*0.475*44/12</f>
        <v>0.88486326686041006</v>
      </c>
      <c r="AW161" s="23">
        <f>EXP(-LN(2)/2)*AW160+(1-EXP(-LN(2)/2))/(LN(2)/2)*AQ161*AT161*VLOOKUP('Données projet'!$B$10,Paramètres!$A$1:$I$89,3,0)*0.475*44/12</f>
        <v>6.4247065909459208E-20</v>
      </c>
      <c r="AX161" s="23">
        <f t="shared" si="166"/>
        <v>1.8664286421838518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1.5961632016114892E-13</v>
      </c>
      <c r="BF161" s="14">
        <f t="shared" si="167"/>
        <v>2.2708641912150958E-12</v>
      </c>
      <c r="BG161" s="22">
        <f t="shared" si="168"/>
        <v>4.2330868906469593E-12</v>
      </c>
      <c r="BH161" s="62">
        <f t="shared" si="116"/>
        <v>293.33333333333752</v>
      </c>
      <c r="BI161" s="62">
        <f ca="1">AVERAGE(OFFSET($BH$3,0,0,'Données projet'!$E$11+1,1))-AVERAGE(OFFSET($H$3,0,0,'Données projet'!$E$11+1,1))</f>
        <v>317.54276561627643</v>
      </c>
      <c r="BJ161" s="62">
        <f t="shared" si="146"/>
        <v>238.92443174298893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-9.9316821433603781E-14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195.30963433439501</v>
      </c>
      <c r="CE161" s="62">
        <f t="shared" si="148"/>
        <v>185.00219255324504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-5.4092197387944907E-14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293.996396026019</v>
      </c>
      <c r="CZ161" s="62">
        <f t="shared" si="150"/>
        <v>152.23954167722536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195.80903373714432</v>
      </c>
      <c r="T162" s="62">
        <f t="shared" si="142"/>
        <v>388.30721786668977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4.5810354361926535</v>
      </c>
      <c r="AA162" s="23">
        <f>EXP(-LN(2)/25)*AA161+(1-EXP(-LN(2)/25))/(LN(2)/25)*Calculateur!V162*Calculateur!X162*VLOOKUP('Données projet'!$B$9,Paramètres!$A$1:$I$89,3,0)*0.475*44/12</f>
        <v>1.4445150468314201</v>
      </c>
      <c r="AB162" s="23">
        <f>EXP(-LN(2)/2)*AB161+(1-EXP(-LN(2)/2))/(LN(2)/2)*V162*Y162*VLOOKUP('Données projet'!$B$9,Paramètres!$A$1:$I$89,3,0)*0.475*44/12</f>
        <v>6.8345618947960443E-18</v>
      </c>
      <c r="AC162" s="24">
        <f t="shared" si="163"/>
        <v>6.0255504830240731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-4.9658410716801891E-14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303.33040062722074</v>
      </c>
      <c r="AO162" s="62">
        <f t="shared" si="144"/>
        <v>425.30058672361548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0.96231747700911163</v>
      </c>
      <c r="AV162" s="23">
        <f>EXP(-LN(2)/25)*AV161+(1-EXP(-LN(2)/25))/(LN(2)/25)*Calculateur!AQ162*Calculateur!AS162*VLOOKUP('Données projet'!$B$10,Paramètres!$A$1:$I$89,3,0)*0.475*44/12</f>
        <v>0.86066663429517531</v>
      </c>
      <c r="AW162" s="23">
        <f>EXP(-LN(2)/2)*AW161+(1-EXP(-LN(2)/2))/(LN(2)/2)*AQ162*AT162*VLOOKUP('Données projet'!$B$10,Paramètres!$A$1:$I$89,3,0)*0.475*44/12</f>
        <v>4.5429535975917669E-20</v>
      </c>
      <c r="AX162" s="23">
        <f t="shared" si="166"/>
        <v>1.8229841113042871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1.5961632016114892E-13</v>
      </c>
      <c r="BF162" s="14">
        <f t="shared" si="167"/>
        <v>2.2708641912150958E-12</v>
      </c>
      <c r="BG162" s="22">
        <f t="shared" si="168"/>
        <v>4.2330868906469593E-12</v>
      </c>
      <c r="BH162" s="62">
        <f t="shared" si="116"/>
        <v>293.33333333333752</v>
      </c>
      <c r="BI162" s="62">
        <f ca="1">AVERAGE(OFFSET($BH$3,0,0,'Données projet'!$E$11+1,1))-AVERAGE(OFFSET($H$3,0,0,'Données projet'!$E$11+1,1))</f>
        <v>317.54276561627643</v>
      </c>
      <c r="BJ162" s="62">
        <f t="shared" si="146"/>
        <v>238.92443174298893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-9.9316821433603781E-14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195.30963433439501</v>
      </c>
      <c r="CE162" s="62">
        <f t="shared" si="148"/>
        <v>185.00219255324504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-5.4092197387944907E-14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293.996396026019</v>
      </c>
      <c r="CZ162" s="62">
        <f t="shared" si="150"/>
        <v>152.23954167722536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195.80903373714432</v>
      </c>
      <c r="T163" s="62">
        <f t="shared" si="142"/>
        <v>388.30721786668977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4.4912041254446313</v>
      </c>
      <c r="AA163" s="23">
        <f>EXP(-LN(2)/25)*AA162+(1-EXP(-LN(2)/25))/(LN(2)/25)*Calculateur!V163*Calculateur!X163*VLOOKUP('Données projet'!$B$9,Paramètres!$A$1:$I$89,3,0)*0.475*44/12</f>
        <v>1.40501470691207</v>
      </c>
      <c r="AB163" s="23">
        <f>EXP(-LN(2)/2)*AB162+(1-EXP(-LN(2)/2))/(LN(2)/2)*V163*Y163*VLOOKUP('Données projet'!$B$9,Paramètres!$A$1:$I$89,3,0)*0.475*44/12</f>
        <v>4.8327650622494627E-18</v>
      </c>
      <c r="AC163" s="24">
        <f t="shared" si="163"/>
        <v>5.8962188323567011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-4.9658410716801891E-14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303.33040062722074</v>
      </c>
      <c r="AO163" s="62">
        <f t="shared" si="144"/>
        <v>425.30058672361548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0.9434470182406669</v>
      </c>
      <c r="AV163" s="23">
        <f>EXP(-LN(2)/25)*AV162+(1-EXP(-LN(2)/25))/(LN(2)/25)*Calculateur!AQ163*Calculateur!AS163*VLOOKUP('Données projet'!$B$10,Paramètres!$A$1:$I$89,3,0)*0.475*44/12</f>
        <v>0.83713165991988248</v>
      </c>
      <c r="AW163" s="23">
        <f>EXP(-LN(2)/2)*AW162+(1-EXP(-LN(2)/2))/(LN(2)/2)*AQ163*AT163*VLOOKUP('Données projet'!$B$10,Paramètres!$A$1:$I$89,3,0)*0.475*44/12</f>
        <v>3.2123532954729604E-20</v>
      </c>
      <c r="AX163" s="23">
        <f t="shared" si="166"/>
        <v>1.7805786781605493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1.5961632016114892E-13</v>
      </c>
      <c r="BF163" s="14">
        <f t="shared" si="167"/>
        <v>2.2708641912150958E-12</v>
      </c>
      <c r="BG163" s="22">
        <f t="shared" si="168"/>
        <v>4.2330868906469593E-12</v>
      </c>
      <c r="BH163" s="62">
        <f t="shared" si="116"/>
        <v>293.33333333333752</v>
      </c>
      <c r="BI163" s="62">
        <f ca="1">AVERAGE(OFFSET($BH$3,0,0,'Données projet'!$E$11+1,1))-AVERAGE(OFFSET($H$3,0,0,'Données projet'!$E$11+1,1))</f>
        <v>317.54276561627643</v>
      </c>
      <c r="BJ163" s="62">
        <f t="shared" si="146"/>
        <v>238.92443174298893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-9.9316821433603781E-14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195.30963433439501</v>
      </c>
      <c r="CE163" s="62">
        <f t="shared" si="148"/>
        <v>185.00219255324504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-5.4092197387944907E-14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293.996396026019</v>
      </c>
      <c r="CZ163" s="62">
        <f t="shared" si="150"/>
        <v>152.23954167722536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195.80903373714432</v>
      </c>
      <c r="T164" s="62">
        <f t="shared" si="142"/>
        <v>388.30721786668977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4.4031343519086885</v>
      </c>
      <c r="AA164" s="23">
        <f>EXP(-LN(2)/25)*AA163+(1-EXP(-LN(2)/25))/(LN(2)/25)*Calculateur!V164*Calculateur!X164*VLOOKUP('Données projet'!$B$9,Paramètres!$A$1:$I$89,3,0)*0.475*44/12</f>
        <v>1.3665945058650473</v>
      </c>
      <c r="AB164" s="23">
        <f>EXP(-LN(2)/2)*AB163+(1-EXP(-LN(2)/2))/(LN(2)/2)*V164*Y164*VLOOKUP('Données projet'!$B$9,Paramètres!$A$1:$I$89,3,0)*0.475*44/12</f>
        <v>3.4172809473980229E-18</v>
      </c>
      <c r="AC164" s="24">
        <f t="shared" si="163"/>
        <v>5.7697288577737353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-4.9658410716801891E-14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303.33040062722074</v>
      </c>
      <c r="AO164" s="62">
        <f t="shared" si="144"/>
        <v>425.30058672361548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0.92494659765882803</v>
      </c>
      <c r="AV164" s="23">
        <f>EXP(-LN(2)/25)*AV163+(1-EXP(-LN(2)/25))/(LN(2)/25)*Calculateur!AQ164*Calculateur!AS164*VLOOKUP('Données projet'!$B$10,Paramètres!$A$1:$I$89,3,0)*0.475*44/12</f>
        <v>0.8142402506565326</v>
      </c>
      <c r="AW164" s="23">
        <f>EXP(-LN(2)/2)*AW163+(1-EXP(-LN(2)/2))/(LN(2)/2)*AQ164*AT164*VLOOKUP('Données projet'!$B$10,Paramètres!$A$1:$I$89,3,0)*0.475*44/12</f>
        <v>2.2714767987958835E-20</v>
      </c>
      <c r="AX164" s="23">
        <f t="shared" si="166"/>
        <v>1.7391868483153607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1.5961632016114892E-13</v>
      </c>
      <c r="BF164" s="14">
        <f t="shared" si="167"/>
        <v>2.2708641912150958E-12</v>
      </c>
      <c r="BG164" s="22">
        <f t="shared" si="168"/>
        <v>4.2330868906469593E-12</v>
      </c>
      <c r="BH164" s="62">
        <f t="shared" si="116"/>
        <v>293.33333333333752</v>
      </c>
      <c r="BI164" s="62">
        <f ca="1">AVERAGE(OFFSET($BH$3,0,0,'Données projet'!$E$11+1,1))-AVERAGE(OFFSET($H$3,0,0,'Données projet'!$E$11+1,1))</f>
        <v>317.54276561627643</v>
      </c>
      <c r="BJ164" s="62">
        <f t="shared" si="146"/>
        <v>238.92443174298893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-9.9316821433603781E-14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195.30963433439501</v>
      </c>
      <c r="CE164" s="62">
        <f t="shared" si="148"/>
        <v>185.00219255324504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-5.4092197387944907E-14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293.996396026019</v>
      </c>
      <c r="CZ164" s="62">
        <f t="shared" si="150"/>
        <v>152.23954167722536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195.80903373714432</v>
      </c>
      <c r="T165" s="62">
        <f t="shared" si="142"/>
        <v>388.30721786668977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4.3167915729145285</v>
      </c>
      <c r="AA165" s="23">
        <f>EXP(-LN(2)/25)*AA164+(1-EXP(-LN(2)/25))/(LN(2)/25)*Calculateur!V165*Calculateur!X165*VLOOKUP('Données projet'!$B$9,Paramètres!$A$1:$I$89,3,0)*0.475*44/12</f>
        <v>1.3292249072360858</v>
      </c>
      <c r="AB165" s="23">
        <f>EXP(-LN(2)/2)*AB164+(1-EXP(-LN(2)/2))/(LN(2)/2)*V165*Y165*VLOOKUP('Données projet'!$B$9,Paramètres!$A$1:$I$89,3,0)*0.475*44/12</f>
        <v>2.4163825311247317E-18</v>
      </c>
      <c r="AC165" s="24">
        <f t="shared" si="163"/>
        <v>5.6460164801506139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-4.9658410716801891E-14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303.33040062722074</v>
      </c>
      <c r="AO165" s="62">
        <f t="shared" si="144"/>
        <v>425.30058672361548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0.90680895904045666</v>
      </c>
      <c r="AV165" s="23">
        <f>EXP(-LN(2)/25)*AV164+(1-EXP(-LN(2)/25))/(LN(2)/25)*Calculateur!AQ165*Calculateur!AS165*VLOOKUP('Données projet'!$B$10,Paramètres!$A$1:$I$89,3,0)*0.475*44/12</f>
        <v>0.79197480818329591</v>
      </c>
      <c r="AW165" s="23">
        <f>EXP(-LN(2)/2)*AW164+(1-EXP(-LN(2)/2))/(LN(2)/2)*AQ165*AT165*VLOOKUP('Données projet'!$B$10,Paramètres!$A$1:$I$89,3,0)*0.475*44/12</f>
        <v>1.6061766477364802E-20</v>
      </c>
      <c r="AX165" s="23">
        <f t="shared" si="166"/>
        <v>1.6987837672237527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1.5961632016114892E-13</v>
      </c>
      <c r="BF165" s="14">
        <f t="shared" si="167"/>
        <v>2.2708641912150958E-12</v>
      </c>
      <c r="BG165" s="22">
        <f t="shared" si="168"/>
        <v>4.2330868906469593E-12</v>
      </c>
      <c r="BH165" s="62">
        <f t="shared" si="116"/>
        <v>293.33333333333752</v>
      </c>
      <c r="BI165" s="62">
        <f ca="1">AVERAGE(OFFSET($BH$3,0,0,'Données projet'!$E$11+1,1))-AVERAGE(OFFSET($H$3,0,0,'Données projet'!$E$11+1,1))</f>
        <v>317.54276561627643</v>
      </c>
      <c r="BJ165" s="62">
        <f t="shared" si="146"/>
        <v>238.92443174298893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-9.9316821433603781E-14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195.30963433439501</v>
      </c>
      <c r="CE165" s="62">
        <f t="shared" si="148"/>
        <v>185.00219255324504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-5.4092197387944907E-14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293.996396026019</v>
      </c>
      <c r="CZ165" s="62">
        <f t="shared" si="150"/>
        <v>152.23954167722536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195.80903373714432</v>
      </c>
      <c r="T166" s="62">
        <f t="shared" si="142"/>
        <v>388.30721786668977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4.2321419231525486</v>
      </c>
      <c r="AA166" s="23">
        <f>EXP(-LN(2)/25)*AA165+(1-EXP(-LN(2)/25))/(LN(2)/25)*Calculateur!V166*Calculateur!X166*VLOOKUP('Données projet'!$B$9,Paramètres!$A$1:$I$89,3,0)*0.475*44/12</f>
        <v>1.292877182246815</v>
      </c>
      <c r="AB166" s="23">
        <f>EXP(-LN(2)/2)*AB165+(1-EXP(-LN(2)/2))/(LN(2)/2)*V166*Y166*VLOOKUP('Données projet'!$B$9,Paramètres!$A$1:$I$89,3,0)*0.475*44/12</f>
        <v>1.7086404736990117E-18</v>
      </c>
      <c r="AC166" s="24">
        <f t="shared" si="163"/>
        <v>5.5250191053993634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-4.9658410716801891E-14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303.33040062722074</v>
      </c>
      <c r="AO166" s="62">
        <f t="shared" si="144"/>
        <v>425.30058672361548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0.88902698845252437</v>
      </c>
      <c r="AV166" s="23">
        <f>EXP(-LN(2)/25)*AV165+(1-EXP(-LN(2)/25))/(LN(2)/25)*Calculateur!AQ166*Calculateur!AS166*VLOOKUP('Données projet'!$B$10,Paramètres!$A$1:$I$89,3,0)*0.475*44/12</f>
        <v>0.77031821540537859</v>
      </c>
      <c r="AW166" s="23">
        <f>EXP(-LN(2)/2)*AW165+(1-EXP(-LN(2)/2))/(LN(2)/2)*AQ166*AT166*VLOOKUP('Données projet'!$B$10,Paramètres!$A$1:$I$89,3,0)*0.475*44/12</f>
        <v>1.1357383993979417E-20</v>
      </c>
      <c r="AX166" s="23">
        <f t="shared" si="166"/>
        <v>1.6593452038579031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1.5961632016114892E-13</v>
      </c>
      <c r="BF166" s="14">
        <f t="shared" si="167"/>
        <v>2.2708641912150958E-12</v>
      </c>
      <c r="BG166" s="22">
        <f t="shared" si="168"/>
        <v>4.2330868906469593E-12</v>
      </c>
      <c r="BH166" s="62">
        <f t="shared" si="116"/>
        <v>293.33333333333752</v>
      </c>
      <c r="BI166" s="62">
        <f ca="1">AVERAGE(OFFSET($BH$3,0,0,'Données projet'!$E$11+1,1))-AVERAGE(OFFSET($H$3,0,0,'Données projet'!$E$11+1,1))</f>
        <v>317.54276561627643</v>
      </c>
      <c r="BJ166" s="62">
        <f t="shared" si="146"/>
        <v>238.92443174298893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-9.9316821433603781E-14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195.30963433439501</v>
      </c>
      <c r="CE166" s="62">
        <f t="shared" si="148"/>
        <v>185.00219255324504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-5.4092197387944907E-14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293.996396026019</v>
      </c>
      <c r="CZ166" s="62">
        <f t="shared" si="150"/>
        <v>152.23954167722536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195.80903373714432</v>
      </c>
      <c r="T167" s="62">
        <f t="shared" si="142"/>
        <v>388.30721786668977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4.149152201391213</v>
      </c>
      <c r="AA167" s="23">
        <f>EXP(-LN(2)/25)*AA166+(1-EXP(-LN(2)/25))/(LN(2)/25)*Calculateur!V167*Calculateur!X167*VLOOKUP('Données projet'!$B$9,Paramètres!$A$1:$I$89,3,0)*0.475*44/12</f>
        <v>1.2575233877088197</v>
      </c>
      <c r="AB167" s="23">
        <f>EXP(-LN(2)/2)*AB166+(1-EXP(-LN(2)/2))/(LN(2)/2)*V167*Y167*VLOOKUP('Données projet'!$B$9,Paramètres!$A$1:$I$89,3,0)*0.475*44/12</f>
        <v>1.2081912655623661E-18</v>
      </c>
      <c r="AC167" s="24">
        <f t="shared" si="163"/>
        <v>5.4066755891000327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-4.9658410716801891E-14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303.33040062722074</v>
      </c>
      <c r="AO167" s="62">
        <f t="shared" si="144"/>
        <v>425.30058672361548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0.87159371146189024</v>
      </c>
      <c r="AV167" s="23">
        <f>EXP(-LN(2)/25)*AV166+(1-EXP(-LN(2)/25))/(LN(2)/25)*Calculateur!AQ167*Calculateur!AS167*VLOOKUP('Données projet'!$B$10,Paramètres!$A$1:$I$89,3,0)*0.475*44/12</f>
        <v>0.74925382329584411</v>
      </c>
      <c r="AW167" s="23">
        <f>EXP(-LN(2)/2)*AW166+(1-EXP(-LN(2)/2))/(LN(2)/2)*AQ167*AT167*VLOOKUP('Données projet'!$B$10,Paramètres!$A$1:$I$89,3,0)*0.475*44/12</f>
        <v>8.030883238682401E-21</v>
      </c>
      <c r="AX167" s="23">
        <f t="shared" si="166"/>
        <v>1.6208475347577345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1.5961632016114892E-13</v>
      </c>
      <c r="BF167" s="14">
        <f t="shared" si="167"/>
        <v>2.2708641912150958E-12</v>
      </c>
      <c r="BG167" s="22">
        <f t="shared" si="168"/>
        <v>4.2330868906469593E-12</v>
      </c>
      <c r="BH167" s="62">
        <f t="shared" si="116"/>
        <v>293.33333333333752</v>
      </c>
      <c r="BI167" s="62">
        <f ca="1">AVERAGE(OFFSET($BH$3,0,0,'Données projet'!$E$11+1,1))-AVERAGE(OFFSET($H$3,0,0,'Données projet'!$E$11+1,1))</f>
        <v>317.54276561627643</v>
      </c>
      <c r="BJ167" s="62">
        <f t="shared" si="146"/>
        <v>238.92443174298893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-9.9316821433603781E-14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195.30963433439501</v>
      </c>
      <c r="CE167" s="62">
        <f t="shared" si="148"/>
        <v>185.00219255324504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-5.4092197387944907E-14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293.996396026019</v>
      </c>
      <c r="CZ167" s="62">
        <f t="shared" si="150"/>
        <v>152.23954167722536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195.80903373714432</v>
      </c>
      <c r="T168" s="62">
        <f t="shared" si="142"/>
        <v>388.30721786668977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4.0677898574548852</v>
      </c>
      <c r="AA168" s="23">
        <f>EXP(-LN(2)/25)*AA167+(1-EXP(-LN(2)/25))/(LN(2)/25)*Calculateur!V168*Calculateur!X168*VLOOKUP('Données projet'!$B$9,Paramètres!$A$1:$I$89,3,0)*0.475*44/12</f>
        <v>1.2231363445416412</v>
      </c>
      <c r="AB168" s="23">
        <f>EXP(-LN(2)/2)*AB167+(1-EXP(-LN(2)/2))/(LN(2)/2)*V168*Y168*VLOOKUP('Données projet'!$B$9,Paramètres!$A$1:$I$89,3,0)*0.475*44/12</f>
        <v>8.5432023684950593E-19</v>
      </c>
      <c r="AC168" s="24">
        <f t="shared" si="163"/>
        <v>5.2909262019965269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-4.9658410716801891E-14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303.33040062722074</v>
      </c>
      <c r="AO168" s="62">
        <f t="shared" si="144"/>
        <v>425.30058672361548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0.85450229039979353</v>
      </c>
      <c r="AV168" s="23">
        <f>EXP(-LN(2)/25)*AV167+(1-EXP(-LN(2)/25))/(LN(2)/25)*Calculateur!AQ168*Calculateur!AS168*VLOOKUP('Données projet'!$B$10,Paramètres!$A$1:$I$89,3,0)*0.475*44/12</f>
        <v>0.72876543809627314</v>
      </c>
      <c r="AW168" s="23">
        <f>EXP(-LN(2)/2)*AW167+(1-EXP(-LN(2)/2))/(LN(2)/2)*AQ168*AT168*VLOOKUP('Données projet'!$B$10,Paramètres!$A$1:$I$89,3,0)*0.475*44/12</f>
        <v>5.6786919969897087E-21</v>
      </c>
      <c r="AX168" s="23">
        <f t="shared" si="166"/>
        <v>1.5832677284960668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1.5961632016114892E-13</v>
      </c>
      <c r="BF168" s="14">
        <f t="shared" si="167"/>
        <v>2.2708641912150958E-12</v>
      </c>
      <c r="BG168" s="22">
        <f t="shared" si="168"/>
        <v>4.2330868906469593E-12</v>
      </c>
      <c r="BH168" s="62">
        <f t="shared" si="116"/>
        <v>293.33333333333752</v>
      </c>
      <c r="BI168" s="62">
        <f ca="1">AVERAGE(OFFSET($BH$3,0,0,'Données projet'!$E$11+1,1))-AVERAGE(OFFSET($H$3,0,0,'Données projet'!$E$11+1,1))</f>
        <v>317.54276561627643</v>
      </c>
      <c r="BJ168" s="62">
        <f t="shared" si="146"/>
        <v>238.92443174298893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-9.9316821433603781E-14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195.30963433439501</v>
      </c>
      <c r="CE168" s="62">
        <f t="shared" si="148"/>
        <v>185.00219255324504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-5.4092197387944907E-14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293.996396026019</v>
      </c>
      <c r="CZ168" s="62">
        <f t="shared" si="150"/>
        <v>152.23954167722536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195.80903373714432</v>
      </c>
      <c r="T169" s="62">
        <f t="shared" si="142"/>
        <v>388.30721786668977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3.988022979457019</v>
      </c>
      <c r="AA169" s="23">
        <f>EXP(-LN(2)/25)*AA168+(1-EXP(-LN(2)/25))/(LN(2)/25)*Calculateur!V169*Calculateur!X169*VLOOKUP('Données projet'!$B$9,Paramètres!$A$1:$I$89,3,0)*0.475*44/12</f>
        <v>1.1896896168782052</v>
      </c>
      <c r="AB169" s="23">
        <f>EXP(-LN(2)/2)*AB168+(1-EXP(-LN(2)/2))/(LN(2)/2)*V169*Y169*VLOOKUP('Données projet'!$B$9,Paramètres!$A$1:$I$89,3,0)*0.475*44/12</f>
        <v>6.0409563278118313E-19</v>
      </c>
      <c r="AC169" s="24">
        <f t="shared" si="163"/>
        <v>5.1777125963352244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-4.9658410716801891E-14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303.33040062722074</v>
      </c>
      <c r="AO169" s="62">
        <f t="shared" si="144"/>
        <v>425.30058672361548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0.83774602167998702</v>
      </c>
      <c r="AV169" s="23">
        <f>EXP(-LN(2)/25)*AV168+(1-EXP(-LN(2)/25))/(LN(2)/25)*Calculateur!AQ169*Calculateur!AS169*VLOOKUP('Données projet'!$B$10,Paramètres!$A$1:$I$89,3,0)*0.475*44/12</f>
        <v>0.7088373088674218</v>
      </c>
      <c r="AW169" s="23">
        <f>EXP(-LN(2)/2)*AW168+(1-EXP(-LN(2)/2))/(LN(2)/2)*AQ169*AT169*VLOOKUP('Données projet'!$B$10,Paramètres!$A$1:$I$89,3,0)*0.475*44/12</f>
        <v>4.0154416193412005E-21</v>
      </c>
      <c r="AX169" s="23">
        <f t="shared" si="166"/>
        <v>1.5465833305474088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1.5961632016114892E-13</v>
      </c>
      <c r="BF169" s="14">
        <f t="shared" si="167"/>
        <v>2.2708641912150958E-12</v>
      </c>
      <c r="BG169" s="22">
        <f t="shared" si="168"/>
        <v>4.2330868906469593E-12</v>
      </c>
      <c r="BH169" s="62">
        <f t="shared" si="116"/>
        <v>293.33333333333752</v>
      </c>
      <c r="BI169" s="62">
        <f ca="1">AVERAGE(OFFSET($BH$3,0,0,'Données projet'!$E$11+1,1))-AVERAGE(OFFSET($H$3,0,0,'Données projet'!$E$11+1,1))</f>
        <v>317.54276561627643</v>
      </c>
      <c r="BJ169" s="62">
        <f t="shared" si="146"/>
        <v>238.92443174298893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-9.9316821433603781E-14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195.30963433439501</v>
      </c>
      <c r="CE169" s="62">
        <f t="shared" si="148"/>
        <v>185.00219255324504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-5.4092197387944907E-14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293.996396026019</v>
      </c>
      <c r="CZ169" s="62">
        <f t="shared" si="150"/>
        <v>152.23954167722536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195.80903373714432</v>
      </c>
      <c r="T170" s="62">
        <f t="shared" si="142"/>
        <v>388.30721786668977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3.9098202812836993</v>
      </c>
      <c r="AA170" s="23">
        <f>EXP(-LN(2)/25)*AA169+(1-EXP(-LN(2)/25))/(LN(2)/25)*Calculateur!V170*Calculateur!X170*VLOOKUP('Données projet'!$B$9,Paramètres!$A$1:$I$89,3,0)*0.475*44/12</f>
        <v>1.1571574917416128</v>
      </c>
      <c r="AB170" s="23">
        <f>EXP(-LN(2)/2)*AB169+(1-EXP(-LN(2)/2))/(LN(2)/2)*V170*Y170*VLOOKUP('Données projet'!$B$9,Paramètres!$A$1:$I$89,3,0)*0.475*44/12</f>
        <v>4.2716011842475306E-19</v>
      </c>
      <c r="AC170" s="24">
        <f t="shared" si="163"/>
        <v>5.0669777730253118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-4.9658410716801891E-14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303.33040062722074</v>
      </c>
      <c r="AO170" s="62">
        <f t="shared" si="144"/>
        <v>425.30058672361548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0.82131833316946112</v>
      </c>
      <c r="AV170" s="23">
        <f>EXP(-LN(2)/25)*AV169+(1-EXP(-LN(2)/25))/(LN(2)/25)*Calculateur!AQ170*Calculateur!AS170*VLOOKUP('Données projet'!$B$10,Paramètres!$A$1:$I$89,3,0)*0.475*44/12</f>
        <v>0.6894541153803081</v>
      </c>
      <c r="AW170" s="23">
        <f>EXP(-LN(2)/2)*AW169+(1-EXP(-LN(2)/2))/(LN(2)/2)*AQ170*AT170*VLOOKUP('Données projet'!$B$10,Paramètres!$A$1:$I$89,3,0)*0.475*44/12</f>
        <v>2.8393459984948543E-21</v>
      </c>
      <c r="AX170" s="23">
        <f t="shared" si="166"/>
        <v>1.5107724485497691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1.5961632016114892E-13</v>
      </c>
      <c r="BF170" s="14">
        <f t="shared" si="167"/>
        <v>2.2708641912150958E-12</v>
      </c>
      <c r="BG170" s="22">
        <f t="shared" si="168"/>
        <v>4.2330868906469593E-12</v>
      </c>
      <c r="BH170" s="62">
        <f t="shared" si="116"/>
        <v>293.33333333333752</v>
      </c>
      <c r="BI170" s="62">
        <f ca="1">AVERAGE(OFFSET($BH$3,0,0,'Données projet'!$E$11+1,1))-AVERAGE(OFFSET($H$3,0,0,'Données projet'!$E$11+1,1))</f>
        <v>317.54276561627643</v>
      </c>
      <c r="BJ170" s="62">
        <f t="shared" si="146"/>
        <v>238.92443174298893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-9.9316821433603781E-14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195.30963433439501</v>
      </c>
      <c r="CE170" s="62">
        <f t="shared" si="148"/>
        <v>185.00219255324504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-5.4092197387944907E-14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293.996396026019</v>
      </c>
      <c r="CZ170" s="62">
        <f t="shared" si="150"/>
        <v>152.23954167722536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195.80903373714432</v>
      </c>
      <c r="T171" s="62">
        <f t="shared" si="142"/>
        <v>388.30721786668977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3.8331510903226227</v>
      </c>
      <c r="AA171" s="23">
        <f>EXP(-LN(2)/25)*AA170+(1-EXP(-LN(2)/25))/(LN(2)/25)*Calculateur!V171*Calculateur!X171*VLOOKUP('Données projet'!$B$9,Paramètres!$A$1:$I$89,3,0)*0.475*44/12</f>
        <v>1.1255149592776705</v>
      </c>
      <c r="AB171" s="23">
        <f>EXP(-LN(2)/2)*AB170+(1-EXP(-LN(2)/2))/(LN(2)/2)*V171*Y171*VLOOKUP('Données projet'!$B$9,Paramètres!$A$1:$I$89,3,0)*0.475*44/12</f>
        <v>3.0204781639059161E-19</v>
      </c>
      <c r="AC171" s="24">
        <f t="shared" si="163"/>
        <v>4.9586660496002928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-4.9658410716801891E-14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303.33040062722074</v>
      </c>
      <c r="AO171" s="62">
        <f t="shared" si="144"/>
        <v>425.30058672361548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0.80521278161072607</v>
      </c>
      <c r="AV171" s="23">
        <f>EXP(-LN(2)/25)*AV170+(1-EXP(-LN(2)/25))/(LN(2)/25)*Calculateur!AQ171*Calculateur!AS171*VLOOKUP('Données projet'!$B$10,Paramètres!$A$1:$I$89,3,0)*0.475*44/12</f>
        <v>0.67060095633841743</v>
      </c>
      <c r="AW171" s="23">
        <f>EXP(-LN(2)/2)*AW170+(1-EXP(-LN(2)/2))/(LN(2)/2)*AQ171*AT171*VLOOKUP('Données projet'!$B$10,Paramètres!$A$1:$I$89,3,0)*0.475*44/12</f>
        <v>2.0077208096706002E-21</v>
      </c>
      <c r="AX171" s="23">
        <f t="shared" si="166"/>
        <v>1.4758137379491436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1.5961632016114892E-13</v>
      </c>
      <c r="BF171" s="14">
        <f t="shared" si="167"/>
        <v>2.2708641912150958E-12</v>
      </c>
      <c r="BG171" s="22">
        <f t="shared" si="168"/>
        <v>4.2330868906469593E-12</v>
      </c>
      <c r="BH171" s="62">
        <f t="shared" si="116"/>
        <v>293.33333333333752</v>
      </c>
      <c r="BI171" s="62">
        <f ca="1">AVERAGE(OFFSET($BH$3,0,0,'Données projet'!$E$11+1,1))-AVERAGE(OFFSET($H$3,0,0,'Données projet'!$E$11+1,1))</f>
        <v>317.54276561627643</v>
      </c>
      <c r="BJ171" s="62">
        <f t="shared" si="146"/>
        <v>238.92443174298893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-9.9316821433603781E-14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195.30963433439501</v>
      </c>
      <c r="CE171" s="62">
        <f t="shared" si="148"/>
        <v>185.00219255324504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-5.4092197387944907E-14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293.996396026019</v>
      </c>
      <c r="CZ171" s="62">
        <f t="shared" si="150"/>
        <v>152.23954167722536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195.80903373714432</v>
      </c>
      <c r="T172" s="62">
        <f t="shared" si="142"/>
        <v>388.30721786668977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3.7579853354327035</v>
      </c>
      <c r="AA172" s="23">
        <f>EXP(-LN(2)/25)*AA171+(1-EXP(-LN(2)/25))/(LN(2)/25)*Calculateur!V172*Calculateur!X172*VLOOKUP('Données projet'!$B$9,Paramètres!$A$1:$I$89,3,0)*0.475*44/12</f>
        <v>1.0947376935279634</v>
      </c>
      <c r="AB172" s="23">
        <f>EXP(-LN(2)/2)*AB171+(1-EXP(-LN(2)/2))/(LN(2)/2)*V172*Y172*VLOOKUP('Données projet'!$B$9,Paramètres!$A$1:$I$89,3,0)*0.475*44/12</f>
        <v>2.1358005921237655E-19</v>
      </c>
      <c r="AC172" s="24">
        <f t="shared" si="163"/>
        <v>4.8527230289606669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-4.9658410716801891E-14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303.33040062722074</v>
      </c>
      <c r="AO172" s="62">
        <f t="shared" si="144"/>
        <v>425.30058672361548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0.78942305009464131</v>
      </c>
      <c r="AV172" s="23">
        <f>EXP(-LN(2)/25)*AV171+(1-EXP(-LN(2)/25))/(LN(2)/25)*Calculateur!AQ172*Calculateur!AS172*VLOOKUP('Données projet'!$B$10,Paramètres!$A$1:$I$89,3,0)*0.475*44/12</f>
        <v>0.65226333792197178</v>
      </c>
      <c r="AW172" s="23">
        <f>EXP(-LN(2)/2)*AW171+(1-EXP(-LN(2)/2))/(LN(2)/2)*AQ172*AT172*VLOOKUP('Données projet'!$B$10,Paramètres!$A$1:$I$89,3,0)*0.475*44/12</f>
        <v>1.4196729992474272E-21</v>
      </c>
      <c r="AX172" s="23">
        <f t="shared" si="166"/>
        <v>1.4416863880166131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1.5961632016114892E-13</v>
      </c>
      <c r="BF172" s="14">
        <f t="shared" si="167"/>
        <v>2.2708641912150958E-12</v>
      </c>
      <c r="BG172" s="22">
        <f t="shared" si="168"/>
        <v>4.2330868906469593E-12</v>
      </c>
      <c r="BH172" s="62">
        <f t="shared" si="116"/>
        <v>293.33333333333752</v>
      </c>
      <c r="BI172" s="62">
        <f ca="1">AVERAGE(OFFSET($BH$3,0,0,'Données projet'!$E$11+1,1))-AVERAGE(OFFSET($H$3,0,0,'Données projet'!$E$11+1,1))</f>
        <v>317.54276561627643</v>
      </c>
      <c r="BJ172" s="62">
        <f t="shared" si="146"/>
        <v>238.92443174298893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-9.9316821433603781E-14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195.30963433439501</v>
      </c>
      <c r="CE172" s="62">
        <f t="shared" si="148"/>
        <v>185.00219255324504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-5.4092197387944907E-14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293.996396026019</v>
      </c>
      <c r="CZ172" s="62">
        <f t="shared" si="150"/>
        <v>152.23954167722536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195.80903373714432</v>
      </c>
      <c r="T173" s="62">
        <f t="shared" si="142"/>
        <v>388.30721786668977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3.6842935351495925</v>
      </c>
      <c r="AA173" s="23">
        <f>EXP(-LN(2)/25)*AA172+(1-EXP(-LN(2)/25))/(LN(2)/25)*Calculateur!V173*Calculateur!X173*VLOOKUP('Données projet'!$B$9,Paramètres!$A$1:$I$89,3,0)*0.475*44/12</f>
        <v>1.0648020337286879</v>
      </c>
      <c r="AB173" s="23">
        <f>EXP(-LN(2)/2)*AB172+(1-EXP(-LN(2)/2))/(LN(2)/2)*V173*Y173*VLOOKUP('Données projet'!$B$9,Paramètres!$A$1:$I$89,3,0)*0.475*44/12</f>
        <v>1.5102390819529583E-19</v>
      </c>
      <c r="AC173" s="24">
        <f t="shared" si="163"/>
        <v>4.7490955688782801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-4.9658410716801891E-14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303.33040062722074</v>
      </c>
      <c r="AO173" s="62">
        <f t="shared" si="144"/>
        <v>425.30058672361548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0.77394294558280174</v>
      </c>
      <c r="AV173" s="23">
        <f>EXP(-LN(2)/25)*AV172+(1-EXP(-LN(2)/25))/(LN(2)/25)*Calculateur!AQ173*Calculateur!AS173*VLOOKUP('Données projet'!$B$10,Paramètres!$A$1:$I$89,3,0)*0.475*44/12</f>
        <v>0.63442716264545729</v>
      </c>
      <c r="AW173" s="23">
        <f>EXP(-LN(2)/2)*AW172+(1-EXP(-LN(2)/2))/(LN(2)/2)*AQ173*AT173*VLOOKUP('Données projet'!$B$10,Paramètres!$A$1:$I$89,3,0)*0.475*44/12</f>
        <v>1.0038604048353001E-21</v>
      </c>
      <c r="AX173" s="23">
        <f t="shared" si="166"/>
        <v>1.4083701082282589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1.5961632016114892E-13</v>
      </c>
      <c r="BF173" s="14">
        <f t="shared" si="167"/>
        <v>2.2708641912150958E-12</v>
      </c>
      <c r="BG173" s="22">
        <f t="shared" si="168"/>
        <v>4.2330868906469593E-12</v>
      </c>
      <c r="BH173" s="62">
        <f t="shared" si="116"/>
        <v>293.33333333333752</v>
      </c>
      <c r="BI173" s="62">
        <f ca="1">AVERAGE(OFFSET($BH$3,0,0,'Données projet'!$E$11+1,1))-AVERAGE(OFFSET($H$3,0,0,'Données projet'!$E$11+1,1))</f>
        <v>317.54276561627643</v>
      </c>
      <c r="BJ173" s="62">
        <f t="shared" si="146"/>
        <v>238.92443174298893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-9.9316821433603781E-14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195.30963433439501</v>
      </c>
      <c r="CE173" s="62">
        <f t="shared" si="148"/>
        <v>185.00219255324504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-5.4092197387944907E-14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293.996396026019</v>
      </c>
      <c r="CZ173" s="62">
        <f t="shared" si="150"/>
        <v>152.23954167722536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195.80903373714432</v>
      </c>
      <c r="T174" s="62">
        <f t="shared" si="142"/>
        <v>388.30721786668977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3.6120467861224732</v>
      </c>
      <c r="AA174" s="23">
        <f>EXP(-LN(2)/25)*AA173+(1-EXP(-LN(2)/25))/(LN(2)/25)*Calculateur!V174*Calculateur!X174*VLOOKUP('Données projet'!$B$9,Paramètres!$A$1:$I$89,3,0)*0.475*44/12</f>
        <v>1.0356849661208716</v>
      </c>
      <c r="AB174" s="23">
        <f>EXP(-LN(2)/2)*AB173+(1-EXP(-LN(2)/2))/(LN(2)/2)*V174*Y174*VLOOKUP('Données projet'!$B$9,Paramètres!$A$1:$I$89,3,0)*0.475*44/12</f>
        <v>1.067900296061883E-19</v>
      </c>
      <c r="AC174" s="24">
        <f t="shared" si="163"/>
        <v>4.6477317522433452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-4.9658410716801891E-14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303.33040062722074</v>
      </c>
      <c r="AO174" s="62">
        <f t="shared" si="144"/>
        <v>425.30058672361548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0.75876639647850785</v>
      </c>
      <c r="AV174" s="23">
        <f>EXP(-LN(2)/25)*AV173+(1-EXP(-LN(2)/25))/(LN(2)/25)*Calculateur!AQ174*Calculateur!AS174*VLOOKUP('Données projet'!$B$10,Paramètres!$A$1:$I$89,3,0)*0.475*44/12</f>
        <v>0.61707871851984275</v>
      </c>
      <c r="AW174" s="23">
        <f>EXP(-LN(2)/2)*AW173+(1-EXP(-LN(2)/2))/(LN(2)/2)*AQ174*AT174*VLOOKUP('Données projet'!$B$10,Paramètres!$A$1:$I$89,3,0)*0.475*44/12</f>
        <v>7.0983649962371359E-22</v>
      </c>
      <c r="AX174" s="23">
        <f t="shared" si="166"/>
        <v>1.3758451149983506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1.5961632016114892E-13</v>
      </c>
      <c r="BF174" s="14">
        <f t="shared" si="167"/>
        <v>2.2708641912150958E-12</v>
      </c>
      <c r="BG174" s="22">
        <f t="shared" si="168"/>
        <v>4.2330868906469593E-12</v>
      </c>
      <c r="BH174" s="62">
        <f t="shared" si="116"/>
        <v>293.33333333333752</v>
      </c>
      <c r="BI174" s="62">
        <f ca="1">AVERAGE(OFFSET($BH$3,0,0,'Données projet'!$E$11+1,1))-AVERAGE(OFFSET($H$3,0,0,'Données projet'!$E$11+1,1))</f>
        <v>317.54276561627643</v>
      </c>
      <c r="BJ174" s="62">
        <f t="shared" si="146"/>
        <v>238.92443174298893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-9.9316821433603781E-14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195.30963433439501</v>
      </c>
      <c r="CE174" s="62">
        <f t="shared" si="148"/>
        <v>185.00219255324504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-5.4092197387944907E-14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293.996396026019</v>
      </c>
      <c r="CZ174" s="62">
        <f t="shared" si="150"/>
        <v>152.23954167722536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195.80903373714432</v>
      </c>
      <c r="T175" s="62">
        <f t="shared" si="142"/>
        <v>388.30721786668977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3.5412167517776099</v>
      </c>
      <c r="AA175" s="23">
        <f>EXP(-LN(2)/25)*AA174+(1-EXP(-LN(2)/25))/(LN(2)/25)*Calculateur!V175*Calculateur!X175*VLOOKUP('Données projet'!$B$9,Paramètres!$A$1:$I$89,3,0)*0.475*44/12</f>
        <v>1.007364106257991</v>
      </c>
      <c r="AB175" s="23">
        <f>EXP(-LN(2)/2)*AB174+(1-EXP(-LN(2)/2))/(LN(2)/2)*V175*Y175*VLOOKUP('Données projet'!$B$9,Paramètres!$A$1:$I$89,3,0)*0.475*44/12</f>
        <v>7.5511954097647927E-20</v>
      </c>
      <c r="AC175" s="24">
        <f t="shared" si="163"/>
        <v>4.5485808580356011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-4.9658410716801891E-14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303.33040062722074</v>
      </c>
      <c r="AO175" s="62">
        <f t="shared" si="144"/>
        <v>425.30058672361548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0.74388745024536829</v>
      </c>
      <c r="AV175" s="23">
        <f>EXP(-LN(2)/25)*AV174+(1-EXP(-LN(2)/25))/(LN(2)/25)*Calculateur!AQ175*Calculateur!AS175*VLOOKUP('Données projet'!$B$10,Paramètres!$A$1:$I$89,3,0)*0.475*44/12</f>
        <v>0.60020466851115817</v>
      </c>
      <c r="AW175" s="23">
        <f>EXP(-LN(2)/2)*AW174+(1-EXP(-LN(2)/2))/(LN(2)/2)*AQ175*AT175*VLOOKUP('Données projet'!$B$10,Paramètres!$A$1:$I$89,3,0)*0.475*44/12</f>
        <v>5.0193020241765006E-22</v>
      </c>
      <c r="AX175" s="23">
        <f t="shared" si="166"/>
        <v>1.3440921187565265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1.5961632016114892E-13</v>
      </c>
      <c r="BF175" s="14">
        <f t="shared" si="167"/>
        <v>2.2708641912150958E-12</v>
      </c>
      <c r="BG175" s="22">
        <f t="shared" si="168"/>
        <v>4.2330868906469593E-12</v>
      </c>
      <c r="BH175" s="62">
        <f t="shared" si="116"/>
        <v>293.33333333333752</v>
      </c>
      <c r="BI175" s="62">
        <f ca="1">AVERAGE(OFFSET($BH$3,0,0,'Données projet'!$E$11+1,1))-AVERAGE(OFFSET($H$3,0,0,'Données projet'!$E$11+1,1))</f>
        <v>317.54276561627643</v>
      </c>
      <c r="BJ175" s="62">
        <f t="shared" si="146"/>
        <v>238.92443174298893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-9.9316821433603781E-14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195.30963433439501</v>
      </c>
      <c r="CE175" s="62">
        <f t="shared" si="148"/>
        <v>185.00219255324504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-5.4092197387944907E-14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293.996396026019</v>
      </c>
      <c r="CZ175" s="62">
        <f t="shared" si="150"/>
        <v>152.23954167722536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195.80903373714432</v>
      </c>
      <c r="T176" s="62">
        <f t="shared" si="142"/>
        <v>388.30721786668977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3.4717756512041942</v>
      </c>
      <c r="AA176" s="23">
        <f>EXP(-LN(2)/25)*AA175+(1-EXP(-LN(2)/25))/(LN(2)/25)*Calculateur!V176*Calculateur!X176*VLOOKUP('Données projet'!$B$9,Paramètres!$A$1:$I$89,3,0)*0.475*44/12</f>
        <v>0.97981768179739026</v>
      </c>
      <c r="AB176" s="23">
        <f>EXP(-LN(2)/2)*AB175+(1-EXP(-LN(2)/2))/(LN(2)/2)*V176*Y176*VLOOKUP('Données projet'!$B$9,Paramètres!$A$1:$I$89,3,0)*0.475*44/12</f>
        <v>5.3395014803094156E-20</v>
      </c>
      <c r="AC176" s="24">
        <f t="shared" si="163"/>
        <v>4.4515933330015844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-4.9658410716801891E-14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303.33040062722074</v>
      </c>
      <c r="AO176" s="62">
        <f t="shared" si="144"/>
        <v>425.30058672361548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0.72930027107259954</v>
      </c>
      <c r="AV176" s="23">
        <f>EXP(-LN(2)/25)*AV175+(1-EXP(-LN(2)/25))/(LN(2)/25)*Calculateur!AQ176*Calculateur!AS176*VLOOKUP('Données projet'!$B$10,Paramètres!$A$1:$I$89,3,0)*0.475*44/12</f>
        <v>0.58379204028732878</v>
      </c>
      <c r="AW176" s="23">
        <f>EXP(-LN(2)/2)*AW175+(1-EXP(-LN(2)/2))/(LN(2)/2)*AQ176*AT176*VLOOKUP('Données projet'!$B$10,Paramètres!$A$1:$I$89,3,0)*0.475*44/12</f>
        <v>3.5491824981185679E-22</v>
      </c>
      <c r="AX176" s="23">
        <f t="shared" si="166"/>
        <v>1.3130923113599282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1.5961632016114892E-13</v>
      </c>
      <c r="BF176" s="14">
        <f t="shared" si="167"/>
        <v>2.2708641912150958E-12</v>
      </c>
      <c r="BG176" s="22">
        <f t="shared" si="168"/>
        <v>4.2330868906469593E-12</v>
      </c>
      <c r="BH176" s="62">
        <f t="shared" si="116"/>
        <v>293.33333333333752</v>
      </c>
      <c r="BI176" s="62">
        <f ca="1">AVERAGE(OFFSET($BH$3,0,0,'Données projet'!$E$11+1,1))-AVERAGE(OFFSET($H$3,0,0,'Données projet'!$E$11+1,1))</f>
        <v>317.54276561627643</v>
      </c>
      <c r="BJ176" s="62">
        <f t="shared" si="146"/>
        <v>238.92443174298893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-9.9316821433603781E-14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195.30963433439501</v>
      </c>
      <c r="CE176" s="62">
        <f t="shared" si="148"/>
        <v>185.00219255324504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-5.4092197387944907E-14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293.996396026019</v>
      </c>
      <c r="CZ176" s="62">
        <f t="shared" si="150"/>
        <v>152.23954167722536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195.80903373714432</v>
      </c>
      <c r="T177" s="62">
        <f t="shared" si="142"/>
        <v>388.30721786668977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3.4036962482581341</v>
      </c>
      <c r="AA177" s="23">
        <f>EXP(-LN(2)/25)*AA176+(1-EXP(-LN(2)/25))/(LN(2)/25)*Calculateur!V177*Calculateur!X177*VLOOKUP('Données projet'!$B$9,Paramètres!$A$1:$I$89,3,0)*0.475*44/12</f>
        <v>0.9530245157622681</v>
      </c>
      <c r="AB177" s="23">
        <f>EXP(-LN(2)/2)*AB176+(1-EXP(-LN(2)/2))/(LN(2)/2)*V177*Y177*VLOOKUP('Données projet'!$B$9,Paramètres!$A$1:$I$89,3,0)*0.475*44/12</f>
        <v>3.775597704882397E-20</v>
      </c>
      <c r="AC177" s="24">
        <f t="shared" si="163"/>
        <v>4.3567207640204018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-4.9658410716801891E-14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303.33040062722074</v>
      </c>
      <c r="AO177" s="62">
        <f t="shared" si="144"/>
        <v>425.30058672361548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0.714999137586108</v>
      </c>
      <c r="AV177" s="23">
        <f>EXP(-LN(2)/25)*AV176+(1-EXP(-LN(2)/25))/(LN(2)/25)*Calculateur!AQ177*Calculateur!AS177*VLOOKUP('Données projet'!$B$10,Paramètres!$A$1:$I$89,3,0)*0.475*44/12</f>
        <v>0.5678282162453826</v>
      </c>
      <c r="AW177" s="23">
        <f>EXP(-LN(2)/2)*AW176+(1-EXP(-LN(2)/2))/(LN(2)/2)*AQ177*AT177*VLOOKUP('Données projet'!$B$10,Paramètres!$A$1:$I$89,3,0)*0.475*44/12</f>
        <v>2.5096510120882503E-22</v>
      </c>
      <c r="AX177" s="23">
        <f t="shared" si="166"/>
        <v>1.2828273538314905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1.5961632016114892E-13</v>
      </c>
      <c r="BF177" s="14">
        <f t="shared" si="167"/>
        <v>2.2708641912150958E-12</v>
      </c>
      <c r="BG177" s="22">
        <f t="shared" si="168"/>
        <v>4.2330868906469593E-12</v>
      </c>
      <c r="BH177" s="62">
        <f t="shared" si="116"/>
        <v>293.33333333333752</v>
      </c>
      <c r="BI177" s="62">
        <f ca="1">AVERAGE(OFFSET($BH$3,0,0,'Données projet'!$E$11+1,1))-AVERAGE(OFFSET($H$3,0,0,'Données projet'!$E$11+1,1))</f>
        <v>317.54276561627643</v>
      </c>
      <c r="BJ177" s="62">
        <f t="shared" si="146"/>
        <v>238.92443174298893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-9.9316821433603781E-14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195.30963433439501</v>
      </c>
      <c r="CE177" s="62">
        <f t="shared" si="148"/>
        <v>185.00219255324504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-5.4092197387944907E-14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293.996396026019</v>
      </c>
      <c r="CZ177" s="62">
        <f t="shared" si="150"/>
        <v>152.23954167722536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195.80903373714432</v>
      </c>
      <c r="T178" s="62">
        <f t="shared" si="142"/>
        <v>388.30721786668977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3.3369518408795105</v>
      </c>
      <c r="AA178" s="23">
        <f>EXP(-LN(2)/25)*AA177+(1-EXP(-LN(2)/25))/(LN(2)/25)*Calculateur!V178*Calculateur!X178*VLOOKUP('Données projet'!$B$9,Paramètres!$A$1:$I$89,3,0)*0.475*44/12</f>
        <v>0.92696401026136777</v>
      </c>
      <c r="AB178" s="23">
        <f>EXP(-LN(2)/2)*AB177+(1-EXP(-LN(2)/2))/(LN(2)/2)*V178*Y178*VLOOKUP('Données projet'!$B$9,Paramètres!$A$1:$I$89,3,0)*0.475*44/12</f>
        <v>2.6697507401547084E-20</v>
      </c>
      <c r="AC178" s="24">
        <f t="shared" si="163"/>
        <v>4.2639158511408786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-4.9658410716801891E-14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303.33040062722074</v>
      </c>
      <c r="AO178" s="62">
        <f t="shared" si="144"/>
        <v>425.30058672361548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0.70097844060445647</v>
      </c>
      <c r="AV178" s="23">
        <f>EXP(-LN(2)/25)*AV177+(1-EXP(-LN(2)/25))/(LN(2)/25)*Calculateur!AQ178*Calculateur!AS178*VLOOKUP('Données projet'!$B$10,Paramètres!$A$1:$I$89,3,0)*0.475*44/12</f>
        <v>0.55230092381136453</v>
      </c>
      <c r="AW178" s="23">
        <f>EXP(-LN(2)/2)*AW177+(1-EXP(-LN(2)/2))/(LN(2)/2)*AQ178*AT178*VLOOKUP('Données projet'!$B$10,Paramètres!$A$1:$I$89,3,0)*0.475*44/12</f>
        <v>1.774591249059284E-22</v>
      </c>
      <c r="AX178" s="23">
        <f t="shared" si="166"/>
        <v>1.2532793644158211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1.5961632016114892E-13</v>
      </c>
      <c r="BF178" s="14">
        <f t="shared" si="167"/>
        <v>2.2708641912150958E-12</v>
      </c>
      <c r="BG178" s="22">
        <f t="shared" si="168"/>
        <v>4.2330868906469593E-12</v>
      </c>
      <c r="BH178" s="62">
        <f t="shared" si="116"/>
        <v>293.33333333333752</v>
      </c>
      <c r="BI178" s="62">
        <f ca="1">AVERAGE(OFFSET($BH$3,0,0,'Données projet'!$E$11+1,1))-AVERAGE(OFFSET($H$3,0,0,'Données projet'!$E$11+1,1))</f>
        <v>317.54276561627643</v>
      </c>
      <c r="BJ178" s="62">
        <f t="shared" si="146"/>
        <v>238.92443174298893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-9.9316821433603781E-14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195.30963433439501</v>
      </c>
      <c r="CE178" s="62">
        <f t="shared" si="148"/>
        <v>185.00219255324504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-5.4092197387944907E-14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293.996396026019</v>
      </c>
      <c r="CZ178" s="62">
        <f t="shared" si="150"/>
        <v>152.23954167722536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195.80903373714432</v>
      </c>
      <c r="T179" s="62">
        <f t="shared" si="142"/>
        <v>388.30721786668977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3.2715162506195132</v>
      </c>
      <c r="AA179" s="23">
        <f>EXP(-LN(2)/25)*AA178+(1-EXP(-LN(2)/25))/(LN(2)/25)*Calculateur!V179*Calculateur!X179*VLOOKUP('Données projet'!$B$9,Paramètres!$A$1:$I$89,3,0)*0.475*44/12</f>
        <v>0.90161613065385193</v>
      </c>
      <c r="AB179" s="23">
        <f>EXP(-LN(2)/2)*AB178+(1-EXP(-LN(2)/2))/(LN(2)/2)*V179*Y179*VLOOKUP('Données projet'!$B$9,Paramètres!$A$1:$I$89,3,0)*0.475*44/12</f>
        <v>1.8877988524411988E-20</v>
      </c>
      <c r="AC179" s="24">
        <f t="shared" si="163"/>
        <v>4.1731323812733656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-4.9658410716801891E-14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303.33040062722074</v>
      </c>
      <c r="AO179" s="62">
        <f t="shared" si="144"/>
        <v>425.30058672361548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0.68723268093883438</v>
      </c>
      <c r="AV179" s="23">
        <f>EXP(-LN(2)/25)*AV178+(1-EXP(-LN(2)/25))/(LN(2)/25)*Calculateur!AQ179*Calculateur!AS179*VLOOKUP('Données projet'!$B$10,Paramètres!$A$1:$I$89,3,0)*0.475*44/12</f>
        <v>0.53719822600549949</v>
      </c>
      <c r="AW179" s="23">
        <f>EXP(-LN(2)/2)*AW178+(1-EXP(-LN(2)/2))/(LN(2)/2)*AQ179*AT179*VLOOKUP('Données projet'!$B$10,Paramètres!$A$1:$I$89,3,0)*0.475*44/12</f>
        <v>1.2548255060441252E-22</v>
      </c>
      <c r="AX179" s="23">
        <f t="shared" si="166"/>
        <v>1.2244309069443338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1.5961632016114892E-13</v>
      </c>
      <c r="BF179" s="14">
        <f t="shared" si="167"/>
        <v>2.2708641912150958E-12</v>
      </c>
      <c r="BG179" s="22">
        <f t="shared" si="168"/>
        <v>4.2330868906469593E-12</v>
      </c>
      <c r="BH179" s="62">
        <f t="shared" si="116"/>
        <v>293.33333333333752</v>
      </c>
      <c r="BI179" s="62">
        <f ca="1">AVERAGE(OFFSET($BH$3,0,0,'Données projet'!$E$11+1,1))-AVERAGE(OFFSET($H$3,0,0,'Données projet'!$E$11+1,1))</f>
        <v>317.54276561627643</v>
      </c>
      <c r="BJ179" s="62">
        <f t="shared" si="146"/>
        <v>238.92443174298893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-9.9316821433603781E-14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195.30963433439501</v>
      </c>
      <c r="CE179" s="62">
        <f t="shared" si="148"/>
        <v>185.00219255324504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-5.4092197387944907E-14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293.996396026019</v>
      </c>
      <c r="CZ179" s="62">
        <f t="shared" si="150"/>
        <v>152.23954167722536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195.80903373714432</v>
      </c>
      <c r="T180" s="62">
        <f t="shared" si="142"/>
        <v>388.30721786668977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3.2073638123727455</v>
      </c>
      <c r="AA180" s="23">
        <f>EXP(-LN(2)/25)*AA179+(1-EXP(-LN(2)/25))/(LN(2)/25)*Calculateur!V180*Calculateur!X180*VLOOKUP('Données projet'!$B$9,Paramètres!$A$1:$I$89,3,0)*0.475*44/12</f>
        <v>0.87696139014719077</v>
      </c>
      <c r="AB180" s="23">
        <f>EXP(-LN(2)/2)*AB179+(1-EXP(-LN(2)/2))/(LN(2)/2)*V180*Y180*VLOOKUP('Données projet'!$B$9,Paramètres!$A$1:$I$89,3,0)*0.475*44/12</f>
        <v>1.3348753700773544E-20</v>
      </c>
      <c r="AC180" s="24">
        <f t="shared" si="163"/>
        <v>4.0843252025199366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-4.9658410716801891E-14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303.33040062722074</v>
      </c>
      <c r="AO180" s="62">
        <f t="shared" si="144"/>
        <v>425.30058672361548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0.67375646723616955</v>
      </c>
      <c r="AV180" s="23">
        <f>EXP(-LN(2)/25)*AV179+(1-EXP(-LN(2)/25))/(LN(2)/25)*Calculateur!AQ180*Calculateur!AS180*VLOOKUP('Données projet'!$B$10,Paramètres!$A$1:$I$89,3,0)*0.475*44/12</f>
        <v>0.52250851226535222</v>
      </c>
      <c r="AW180" s="23">
        <f>EXP(-LN(2)/2)*AW179+(1-EXP(-LN(2)/2))/(LN(2)/2)*AQ180*AT180*VLOOKUP('Données projet'!$B$10,Paramètres!$A$1:$I$89,3,0)*0.475*44/12</f>
        <v>8.8729562452964198E-23</v>
      </c>
      <c r="AX180" s="23">
        <f t="shared" si="166"/>
        <v>1.1962649795015219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1.5961632016114892E-13</v>
      </c>
      <c r="BF180" s="14">
        <f t="shared" si="167"/>
        <v>2.2708641912150958E-12</v>
      </c>
      <c r="BG180" s="22">
        <f t="shared" si="168"/>
        <v>4.2330868906469593E-12</v>
      </c>
      <c r="BH180" s="62">
        <f t="shared" si="116"/>
        <v>293.33333333333752</v>
      </c>
      <c r="BI180" s="62">
        <f ca="1">AVERAGE(OFFSET($BH$3,0,0,'Données projet'!$E$11+1,1))-AVERAGE(OFFSET($H$3,0,0,'Données projet'!$E$11+1,1))</f>
        <v>317.54276561627643</v>
      </c>
      <c r="BJ180" s="62">
        <f t="shared" si="146"/>
        <v>238.92443174298893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-9.9316821433603781E-14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195.30963433439501</v>
      </c>
      <c r="CE180" s="62">
        <f t="shared" si="148"/>
        <v>185.00219255324504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-5.4092197387944907E-14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293.996396026019</v>
      </c>
      <c r="CZ180" s="62">
        <f t="shared" si="150"/>
        <v>152.23954167722536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195.80903373714432</v>
      </c>
      <c r="T181" s="62">
        <f t="shared" si="142"/>
        <v>388.30721786668977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3.144469364310873</v>
      </c>
      <c r="AA181" s="23">
        <f>EXP(-LN(2)/25)*AA180+(1-EXP(-LN(2)/25))/(LN(2)/25)*Calculateur!V181*Calculateur!X181*VLOOKUP('Données projet'!$B$9,Paramètres!$A$1:$I$89,3,0)*0.475*44/12</f>
        <v>0.85298083481622067</v>
      </c>
      <c r="AB181" s="23">
        <f>EXP(-LN(2)/2)*AB180+(1-EXP(-LN(2)/2))/(LN(2)/2)*V181*Y181*VLOOKUP('Données projet'!$B$9,Paramètres!$A$1:$I$89,3,0)*0.475*44/12</f>
        <v>9.4389942622059954E-21</v>
      </c>
      <c r="AC181" s="24">
        <f t="shared" si="163"/>
        <v>3.9974501991270937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-4.9658410716801891E-14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303.33040062722074</v>
      </c>
      <c r="AO181" s="62">
        <f t="shared" si="144"/>
        <v>425.30058672361548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0.66054451386453528</v>
      </c>
      <c r="AV181" s="23">
        <f>EXP(-LN(2)/25)*AV180+(1-EXP(-LN(2)/25))/(LN(2)/25)*Calculateur!AQ181*Calculateur!AS181*VLOOKUP('Données projet'!$B$10,Paramètres!$A$1:$I$89,3,0)*0.475*44/12</f>
        <v>0.50822048951992771</v>
      </c>
      <c r="AW181" s="23">
        <f>EXP(-LN(2)/2)*AW180+(1-EXP(-LN(2)/2))/(LN(2)/2)*AQ181*AT181*VLOOKUP('Données projet'!$B$10,Paramètres!$A$1:$I$89,3,0)*0.475*44/12</f>
        <v>6.2741275302206258E-23</v>
      </c>
      <c r="AX181" s="23">
        <f t="shared" si="166"/>
        <v>1.168765003384463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1.5961632016114892E-13</v>
      </c>
      <c r="BF181" s="14">
        <f t="shared" si="167"/>
        <v>2.2708641912150958E-12</v>
      </c>
      <c r="BG181" s="22">
        <f t="shared" si="168"/>
        <v>4.2330868906469593E-12</v>
      </c>
      <c r="BH181" s="62">
        <f t="shared" si="116"/>
        <v>293.33333333333752</v>
      </c>
      <c r="BI181" s="62">
        <f ca="1">AVERAGE(OFFSET($BH$3,0,0,'Données projet'!$E$11+1,1))-AVERAGE(OFFSET($H$3,0,0,'Données projet'!$E$11+1,1))</f>
        <v>317.54276561627643</v>
      </c>
      <c r="BJ181" s="62">
        <f t="shared" si="146"/>
        <v>238.92443174298893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-9.9316821433603781E-14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195.30963433439501</v>
      </c>
      <c r="CE181" s="62">
        <f t="shared" si="148"/>
        <v>185.00219255324504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-5.4092197387944907E-14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293.996396026019</v>
      </c>
      <c r="CZ181" s="62">
        <f t="shared" si="150"/>
        <v>152.23954167722536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195.80903373714432</v>
      </c>
      <c r="T182" s="62">
        <f t="shared" si="142"/>
        <v>388.30721786668977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3.0828082380136683</v>
      </c>
      <c r="AA182" s="23">
        <f>EXP(-LN(2)/25)*AA181+(1-EXP(-LN(2)/25))/(LN(2)/25)*Calculateur!V182*Calculateur!X182*VLOOKUP('Données projet'!$B$9,Paramètres!$A$1:$I$89,3,0)*0.475*44/12</f>
        <v>0.82965602903185853</v>
      </c>
      <c r="AB182" s="23">
        <f>EXP(-LN(2)/2)*AB181+(1-EXP(-LN(2)/2))/(LN(2)/2)*V182*Y182*VLOOKUP('Données projet'!$B$9,Paramètres!$A$1:$I$89,3,0)*0.475*44/12</f>
        <v>6.6743768503867726E-21</v>
      </c>
      <c r="AC182" s="24">
        <f t="shared" si="163"/>
        <v>3.912464267045527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-4.9658410716801891E-14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303.33040062722074</v>
      </c>
      <c r="AO182" s="62">
        <f t="shared" si="144"/>
        <v>425.30058672361548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0.64759163884002291</v>
      </c>
      <c r="AV182" s="23">
        <f>EXP(-LN(2)/25)*AV181+(1-EXP(-LN(2)/25))/(LN(2)/25)*Calculateur!AQ182*Calculateur!AS182*VLOOKUP('Données projet'!$B$10,Paramètres!$A$1:$I$89,3,0)*0.475*44/12</f>
        <v>0.49432317350785132</v>
      </c>
      <c r="AW182" s="23">
        <f>EXP(-LN(2)/2)*AW181+(1-EXP(-LN(2)/2))/(LN(2)/2)*AQ182*AT182*VLOOKUP('Données projet'!$B$10,Paramètres!$A$1:$I$89,3,0)*0.475*44/12</f>
        <v>4.4364781226482099E-23</v>
      </c>
      <c r="AX182" s="23">
        <f t="shared" si="166"/>
        <v>1.1419148123478742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1.5961632016114892E-13</v>
      </c>
      <c r="BF182" s="14">
        <f t="shared" si="167"/>
        <v>2.2708641912150958E-12</v>
      </c>
      <c r="BG182" s="22">
        <f t="shared" si="168"/>
        <v>4.2330868906469593E-12</v>
      </c>
      <c r="BH182" s="62">
        <f t="shared" si="116"/>
        <v>293.33333333333752</v>
      </c>
      <c r="BI182" s="62">
        <f ca="1">AVERAGE(OFFSET($BH$3,0,0,'Données projet'!$E$11+1,1))-AVERAGE(OFFSET($H$3,0,0,'Données projet'!$E$11+1,1))</f>
        <v>317.54276561627643</v>
      </c>
      <c r="BJ182" s="62">
        <f t="shared" si="146"/>
        <v>238.92443174298893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-9.9316821433603781E-14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195.30963433439501</v>
      </c>
      <c r="CE182" s="62">
        <f t="shared" si="148"/>
        <v>185.00219255324504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-5.4092197387944907E-14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293.996396026019</v>
      </c>
      <c r="CZ182" s="62">
        <f t="shared" si="150"/>
        <v>152.23954167722536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195.80903373714432</v>
      </c>
      <c r="T183" s="62">
        <f t="shared" si="142"/>
        <v>388.30721786668977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3.0223562487935784</v>
      </c>
      <c r="AA183" s="23">
        <f>EXP(-LN(2)/25)*AA182+(1-EXP(-LN(2)/25))/(LN(2)/25)*Calculateur!V183*Calculateur!X183*VLOOKUP('Données projet'!$B$9,Paramètres!$A$1:$I$89,3,0)*0.475*44/12</f>
        <v>0.80696904128826796</v>
      </c>
      <c r="AB183" s="23">
        <f>EXP(-LN(2)/2)*AB182+(1-EXP(-LN(2)/2))/(LN(2)/2)*V183*Y183*VLOOKUP('Données projet'!$B$9,Paramètres!$A$1:$I$89,3,0)*0.475*44/12</f>
        <v>4.7194971311029985E-21</v>
      </c>
      <c r="AC183" s="24">
        <f t="shared" si="163"/>
        <v>3.8293252900818464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-4.9658410716801891E-14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303.33040062722074</v>
      </c>
      <c r="AO183" s="62">
        <f t="shared" si="144"/>
        <v>425.30058672361548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0.63489276179426757</v>
      </c>
      <c r="AV183" s="23">
        <f>EXP(-LN(2)/25)*AV182+(1-EXP(-LN(2)/25))/(LN(2)/25)*Calculateur!AQ183*Calculateur!AS183*VLOOKUP('Données projet'!$B$10,Paramètres!$A$1:$I$89,3,0)*0.475*44/12</f>
        <v>0.48080588033295324</v>
      </c>
      <c r="AW183" s="23">
        <f>EXP(-LN(2)/2)*AW182+(1-EXP(-LN(2)/2))/(LN(2)/2)*AQ183*AT183*VLOOKUP('Données projet'!$B$10,Paramètres!$A$1:$I$89,3,0)*0.475*44/12</f>
        <v>3.1370637651103129E-23</v>
      </c>
      <c r="AX183" s="23">
        <f t="shared" si="166"/>
        <v>1.1156986421272208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1.5961632016114892E-13</v>
      </c>
      <c r="BF183" s="14">
        <f t="shared" si="167"/>
        <v>2.2708641912150958E-12</v>
      </c>
      <c r="BG183" s="22">
        <f t="shared" si="168"/>
        <v>4.2330868906469593E-12</v>
      </c>
      <c r="BH183" s="62">
        <f t="shared" si="116"/>
        <v>293.33333333333752</v>
      </c>
      <c r="BI183" s="62">
        <f ca="1">AVERAGE(OFFSET($BH$3,0,0,'Données projet'!$E$11+1,1))-AVERAGE(OFFSET($H$3,0,0,'Données projet'!$E$11+1,1))</f>
        <v>317.54276561627643</v>
      </c>
      <c r="BJ183" s="62">
        <f t="shared" si="146"/>
        <v>238.92443174298893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-9.9316821433603781E-14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195.30963433439501</v>
      </c>
      <c r="CE183" s="62">
        <f t="shared" si="148"/>
        <v>185.00219255324504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-5.4092197387944907E-14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293.996396026019</v>
      </c>
      <c r="CZ183" s="62">
        <f t="shared" si="150"/>
        <v>152.23954167722536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195.80903373714432</v>
      </c>
      <c r="T184" s="62">
        <f t="shared" si="142"/>
        <v>388.30721786668977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2.9630896862100222</v>
      </c>
      <c r="AA184" s="23">
        <f>EXP(-LN(2)/25)*AA183+(1-EXP(-LN(2)/25))/(LN(2)/25)*Calculateur!V184*Calculateur!X184*VLOOKUP('Données projet'!$B$9,Paramètres!$A$1:$I$89,3,0)*0.475*44/12</f>
        <v>0.78490243041758279</v>
      </c>
      <c r="AB184" s="23">
        <f>EXP(-LN(2)/2)*AB183+(1-EXP(-LN(2)/2))/(LN(2)/2)*V184*Y184*VLOOKUP('Données projet'!$B$9,Paramètres!$A$1:$I$89,3,0)*0.475*44/12</f>
        <v>3.337188425193387E-21</v>
      </c>
      <c r="AC184" s="24">
        <f t="shared" si="163"/>
        <v>3.7479921166276049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-4.9658410716801891E-14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303.33040062722074</v>
      </c>
      <c r="AO184" s="62">
        <f t="shared" si="144"/>
        <v>425.30058672361548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0.62244290198182928</v>
      </c>
      <c r="AV184" s="23">
        <f>EXP(-LN(2)/25)*AV183+(1-EXP(-LN(2)/25))/(LN(2)/25)*Calculateur!AQ184*Calculateur!AS184*VLOOKUP('Données projet'!$B$10,Paramètres!$A$1:$I$89,3,0)*0.475*44/12</f>
        <v>0.46765821825076626</v>
      </c>
      <c r="AW184" s="23">
        <f>EXP(-LN(2)/2)*AW183+(1-EXP(-LN(2)/2))/(LN(2)/2)*AQ184*AT184*VLOOKUP('Données projet'!$B$10,Paramètres!$A$1:$I$89,3,0)*0.475*44/12</f>
        <v>2.218239061324105E-23</v>
      </c>
      <c r="AX184" s="23">
        <f t="shared" si="166"/>
        <v>1.0901011202325956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1.5961632016114892E-13</v>
      </c>
      <c r="BF184" s="14">
        <f t="shared" si="167"/>
        <v>2.2708641912150958E-12</v>
      </c>
      <c r="BG184" s="22">
        <f t="shared" si="168"/>
        <v>4.2330868906469593E-12</v>
      </c>
      <c r="BH184" s="62">
        <f t="shared" si="116"/>
        <v>293.33333333333752</v>
      </c>
      <c r="BI184" s="62">
        <f ca="1">AVERAGE(OFFSET($BH$3,0,0,'Données projet'!$E$11+1,1))-AVERAGE(OFFSET($H$3,0,0,'Données projet'!$E$11+1,1))</f>
        <v>317.54276561627643</v>
      </c>
      <c r="BJ184" s="62">
        <f t="shared" si="146"/>
        <v>238.92443174298893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-9.9316821433603781E-14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195.30963433439501</v>
      </c>
      <c r="CE184" s="62">
        <f t="shared" si="148"/>
        <v>185.00219255324504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-5.4092197387944907E-14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293.996396026019</v>
      </c>
      <c r="CZ184" s="62">
        <f t="shared" si="150"/>
        <v>152.23954167722536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195.80903373714432</v>
      </c>
      <c r="T185" s="62">
        <f t="shared" si="142"/>
        <v>388.30721786668977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2.9049853047696956</v>
      </c>
      <c r="AA185" s="23">
        <f>EXP(-LN(2)/25)*AA184+(1-EXP(-LN(2)/25))/(LN(2)/25)*Calculateur!V185*Calculateur!X185*VLOOKUP('Données projet'!$B$9,Paramètres!$A$1:$I$89,3,0)*0.475*44/12</f>
        <v>0.76343923218158904</v>
      </c>
      <c r="AB185" s="23">
        <f>EXP(-LN(2)/2)*AB184+(1-EXP(-LN(2)/2))/(LN(2)/2)*V185*Y185*VLOOKUP('Données projet'!$B$9,Paramètres!$A$1:$I$89,3,0)*0.475*44/12</f>
        <v>2.3597485655514996E-21</v>
      </c>
      <c r="AC185" s="24">
        <f t="shared" si="163"/>
        <v>3.6684245369512847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-4.9658410716801891E-14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303.33040062722074</v>
      </c>
      <c r="AO185" s="62">
        <f t="shared" si="144"/>
        <v>425.30058672361548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0.6102371763266482</v>
      </c>
      <c r="AV185" s="23">
        <f>EXP(-LN(2)/25)*AV184+(1-EXP(-LN(2)/25))/(LN(2)/25)*Calculateur!AQ185*Calculateur!AS185*VLOOKUP('Données projet'!$B$10,Paramètres!$A$1:$I$89,3,0)*0.475*44/12</f>
        <v>0.45487007967962217</v>
      </c>
      <c r="AW185" s="23">
        <f>EXP(-LN(2)/2)*AW184+(1-EXP(-LN(2)/2))/(LN(2)/2)*AQ185*AT185*VLOOKUP('Données projet'!$B$10,Paramètres!$A$1:$I$89,3,0)*0.475*44/12</f>
        <v>1.5685318825551564E-23</v>
      </c>
      <c r="AX185" s="23">
        <f t="shared" si="166"/>
        <v>1.0651072560062704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1.5961632016114892E-13</v>
      </c>
      <c r="BF185" s="14">
        <f t="shared" si="167"/>
        <v>2.2708641912150958E-12</v>
      </c>
      <c r="BG185" s="22">
        <f t="shared" si="168"/>
        <v>4.2330868906469593E-12</v>
      </c>
      <c r="BH185" s="62">
        <f t="shared" si="116"/>
        <v>293.33333333333752</v>
      </c>
      <c r="BI185" s="62">
        <f ca="1">AVERAGE(OFFSET($BH$3,0,0,'Données projet'!$E$11+1,1))-AVERAGE(OFFSET($H$3,0,0,'Données projet'!$E$11+1,1))</f>
        <v>317.54276561627643</v>
      </c>
      <c r="BJ185" s="62">
        <f t="shared" si="146"/>
        <v>238.92443174298893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-9.9316821433603781E-14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195.30963433439501</v>
      </c>
      <c r="CE185" s="62">
        <f t="shared" si="148"/>
        <v>185.00219255324504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-5.4092197387944907E-14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293.996396026019</v>
      </c>
      <c r="CZ185" s="62">
        <f t="shared" si="150"/>
        <v>152.23954167722536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195.80903373714432</v>
      </c>
      <c r="T186" s="62">
        <f t="shared" si="142"/>
        <v>388.30721786668977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2.8480203148092404</v>
      </c>
      <c r="AA186" s="23">
        <f>EXP(-LN(2)/25)*AA185+(1-EXP(-LN(2)/25))/(LN(2)/25)*Calculateur!V186*Calculateur!X186*VLOOKUP('Données projet'!$B$9,Paramètres!$A$1:$I$89,3,0)*0.475*44/12</f>
        <v>0.74256294623005914</v>
      </c>
      <c r="AB186" s="23">
        <f>EXP(-LN(2)/2)*AB185+(1-EXP(-LN(2)/2))/(LN(2)/2)*V186*Y186*VLOOKUP('Données projet'!$B$9,Paramètres!$A$1:$I$89,3,0)*0.475*44/12</f>
        <v>1.6685942125966937E-21</v>
      </c>
      <c r="AC186" s="24">
        <f t="shared" si="163"/>
        <v>3.5905832610392996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-4.9658410716801891E-14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303.33040062722074</v>
      </c>
      <c r="AO186" s="62">
        <f t="shared" si="144"/>
        <v>425.30058672361548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0.59827079750680767</v>
      </c>
      <c r="AV186" s="23">
        <f>EXP(-LN(2)/25)*AV185+(1-EXP(-LN(2)/25))/(LN(2)/25)*Calculateur!AQ186*Calculateur!AS186*VLOOKUP('Données projet'!$B$10,Paramètres!$A$1:$I$89,3,0)*0.475*44/12</f>
        <v>0.44243163343020503</v>
      </c>
      <c r="AW186" s="23">
        <f>EXP(-LN(2)/2)*AW185+(1-EXP(-LN(2)/2))/(LN(2)/2)*AQ186*AT186*VLOOKUP('Données projet'!$B$10,Paramètres!$A$1:$I$89,3,0)*0.475*44/12</f>
        <v>1.1091195306620525E-23</v>
      </c>
      <c r="AX186" s="23">
        <f t="shared" si="166"/>
        <v>1.0407024309370128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1.5961632016114892E-13</v>
      </c>
      <c r="BF186" s="14">
        <f t="shared" si="167"/>
        <v>2.2708641912150958E-12</v>
      </c>
      <c r="BG186" s="22">
        <f t="shared" si="168"/>
        <v>4.2330868906469593E-12</v>
      </c>
      <c r="BH186" s="62">
        <f t="shared" si="116"/>
        <v>293.33333333333752</v>
      </c>
      <c r="BI186" s="62">
        <f ca="1">AVERAGE(OFFSET($BH$3,0,0,'Données projet'!$E$11+1,1))-AVERAGE(OFFSET($H$3,0,0,'Données projet'!$E$11+1,1))</f>
        <v>317.54276561627643</v>
      </c>
      <c r="BJ186" s="62">
        <f t="shared" si="146"/>
        <v>238.92443174298893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-9.9316821433603781E-14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195.30963433439501</v>
      </c>
      <c r="CE186" s="62">
        <f t="shared" si="148"/>
        <v>185.00219255324504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-5.4092197387944907E-14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293.996396026019</v>
      </c>
      <c r="CZ186" s="62">
        <f t="shared" si="150"/>
        <v>152.23954167722536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195.80903373714432</v>
      </c>
      <c r="T187" s="62">
        <f t="shared" si="142"/>
        <v>388.30721786668977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2.792172373556697</v>
      </c>
      <c r="AA187" s="23">
        <f>EXP(-LN(2)/25)*AA186+(1-EXP(-LN(2)/25))/(LN(2)/25)*Calculateur!V187*Calculateur!X187*VLOOKUP('Données projet'!$B$9,Paramètres!$A$1:$I$89,3,0)*0.475*44/12</f>
        <v>0.72225752341571003</v>
      </c>
      <c r="AB187" s="23">
        <f>EXP(-LN(2)/2)*AB186+(1-EXP(-LN(2)/2))/(LN(2)/2)*V187*Y187*VLOOKUP('Données projet'!$B$9,Paramètres!$A$1:$I$89,3,0)*0.475*44/12</f>
        <v>1.17987428277575E-21</v>
      </c>
      <c r="AC187" s="24">
        <f t="shared" si="163"/>
        <v>3.5144298969724073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-4.9658410716801891E-14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303.33040062722074</v>
      </c>
      <c r="AO187" s="62">
        <f t="shared" si="144"/>
        <v>425.30058672361548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0.58653907207685385</v>
      </c>
      <c r="AV187" s="23">
        <f>EXP(-LN(2)/25)*AV186+(1-EXP(-LN(2)/25))/(LN(2)/25)*Calculateur!AQ187*Calculateur!AS187*VLOOKUP('Données projet'!$B$10,Paramètres!$A$1:$I$89,3,0)*0.475*44/12</f>
        <v>0.43033331714758766</v>
      </c>
      <c r="AW187" s="23">
        <f>EXP(-LN(2)/2)*AW186+(1-EXP(-LN(2)/2))/(LN(2)/2)*AQ187*AT187*VLOOKUP('Données projet'!$B$10,Paramètres!$A$1:$I$89,3,0)*0.475*44/12</f>
        <v>7.8426594127757822E-24</v>
      </c>
      <c r="AX187" s="23">
        <f t="shared" si="166"/>
        <v>1.0168723892244416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1.5961632016114892E-13</v>
      </c>
      <c r="BF187" s="14">
        <f t="shared" si="167"/>
        <v>2.2708641912150958E-12</v>
      </c>
      <c r="BG187" s="22">
        <f t="shared" si="168"/>
        <v>4.2330868906469593E-12</v>
      </c>
      <c r="BH187" s="62">
        <f t="shared" si="116"/>
        <v>293.33333333333752</v>
      </c>
      <c r="BI187" s="62">
        <f ca="1">AVERAGE(OFFSET($BH$3,0,0,'Données projet'!$E$11+1,1))-AVERAGE(OFFSET($H$3,0,0,'Données projet'!$E$11+1,1))</f>
        <v>317.54276561627643</v>
      </c>
      <c r="BJ187" s="62">
        <f t="shared" si="146"/>
        <v>238.92443174298893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-9.9316821433603781E-14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195.30963433439501</v>
      </c>
      <c r="CE187" s="62">
        <f t="shared" si="148"/>
        <v>185.00219255324504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-5.4092197387944907E-14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293.996396026019</v>
      </c>
      <c r="CZ187" s="62">
        <f t="shared" si="150"/>
        <v>152.23954167722536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195.80903373714432</v>
      </c>
      <c r="T188" s="62">
        <f t="shared" si="142"/>
        <v>388.30721786668977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2.737419576368235</v>
      </c>
      <c r="AA188" s="23">
        <f>EXP(-LN(2)/25)*AA187+(1-EXP(-LN(2)/25))/(LN(2)/25)*Calculateur!V188*Calculateur!X188*VLOOKUP('Données projet'!$B$9,Paramètres!$A$1:$I$89,3,0)*0.475*44/12</f>
        <v>0.70250735345603499</v>
      </c>
      <c r="AB188" s="23">
        <f>EXP(-LN(2)/2)*AB187+(1-EXP(-LN(2)/2))/(LN(2)/2)*V188*Y188*VLOOKUP('Données projet'!$B$9,Paramètres!$A$1:$I$89,3,0)*0.475*44/12</f>
        <v>8.3429710629834704E-22</v>
      </c>
      <c r="AC188" s="24">
        <f t="shared" si="163"/>
        <v>3.4399269298242698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-4.9658410716801891E-14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303.33040062722074</v>
      </c>
      <c r="AO188" s="62">
        <f t="shared" si="144"/>
        <v>425.30058672361548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0.57503739862693548</v>
      </c>
      <c r="AV188" s="23">
        <f>EXP(-LN(2)/25)*AV187+(1-EXP(-LN(2)/25))/(LN(2)/25)*Calculateur!AQ188*Calculateur!AS188*VLOOKUP('Données projet'!$B$10,Paramètres!$A$1:$I$89,3,0)*0.475*44/12</f>
        <v>0.41856582995994124</v>
      </c>
      <c r="AW188" s="23">
        <f>EXP(-LN(2)/2)*AW187+(1-EXP(-LN(2)/2))/(LN(2)/2)*AQ188*AT188*VLOOKUP('Données projet'!$B$10,Paramètres!$A$1:$I$89,3,0)*0.475*44/12</f>
        <v>5.5455976533102624E-24</v>
      </c>
      <c r="AX188" s="23">
        <f t="shared" si="166"/>
        <v>0.99360322858687677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1.5961632016114892E-13</v>
      </c>
      <c r="BF188" s="14">
        <f t="shared" si="167"/>
        <v>2.2708641912150958E-12</v>
      </c>
      <c r="BG188" s="22">
        <f t="shared" si="168"/>
        <v>4.2330868906469593E-12</v>
      </c>
      <c r="BH188" s="62">
        <f t="shared" si="116"/>
        <v>293.33333333333752</v>
      </c>
      <c r="BI188" s="62">
        <f ca="1">AVERAGE(OFFSET($BH$3,0,0,'Données projet'!$E$11+1,1))-AVERAGE(OFFSET($H$3,0,0,'Données projet'!$E$11+1,1))</f>
        <v>317.54276561627643</v>
      </c>
      <c r="BJ188" s="62">
        <f t="shared" si="146"/>
        <v>238.92443174298893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-9.9316821433603781E-14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195.30963433439501</v>
      </c>
      <c r="CE188" s="62">
        <f t="shared" si="148"/>
        <v>185.00219255324504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-5.4092197387944907E-14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293.996396026019</v>
      </c>
      <c r="CZ188" s="62">
        <f t="shared" si="150"/>
        <v>152.23954167722536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195.80903373714432</v>
      </c>
      <c r="T189" s="62">
        <f t="shared" si="142"/>
        <v>388.30721786668977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2.6837404481367302</v>
      </c>
      <c r="AA189" s="23">
        <f>EXP(-LN(2)/25)*AA188+(1-EXP(-LN(2)/25))/(LN(2)/25)*Calculateur!V189*Calculateur!X189*VLOOKUP('Données projet'!$B$9,Paramètres!$A$1:$I$89,3,0)*0.475*44/12</f>
        <v>0.68329725293252364</v>
      </c>
      <c r="AB189" s="23">
        <f>EXP(-LN(2)/2)*AB188+(1-EXP(-LN(2)/2))/(LN(2)/2)*V189*Y189*VLOOKUP('Données projet'!$B$9,Paramètres!$A$1:$I$89,3,0)*0.475*44/12</f>
        <v>5.8993714138787509E-22</v>
      </c>
      <c r="AC189" s="24">
        <f t="shared" si="163"/>
        <v>3.367037701069254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-4.9658410716801891E-14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303.33040062722074</v>
      </c>
      <c r="AO189" s="62">
        <f t="shared" si="144"/>
        <v>425.30058672361548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0.56376126597804188</v>
      </c>
      <c r="AV189" s="23">
        <f>EXP(-LN(2)/25)*AV188+(1-EXP(-LN(2)/25))/(LN(2)/25)*Calculateur!AQ189*Calculateur!AS189*VLOOKUP('Données projet'!$B$10,Paramètres!$A$1:$I$89,3,0)*0.475*44/12</f>
        <v>0.4071201253282663</v>
      </c>
      <c r="AW189" s="23">
        <f>EXP(-LN(2)/2)*AW188+(1-EXP(-LN(2)/2))/(LN(2)/2)*AQ189*AT189*VLOOKUP('Données projet'!$B$10,Paramètres!$A$1:$I$89,3,0)*0.475*44/12</f>
        <v>3.9213297063878911E-24</v>
      </c>
      <c r="AX189" s="23">
        <f t="shared" si="166"/>
        <v>0.97088139130630813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1.5961632016114892E-13</v>
      </c>
      <c r="BF189" s="14">
        <f t="shared" si="167"/>
        <v>2.2708641912150958E-12</v>
      </c>
      <c r="BG189" s="22">
        <f t="shared" si="168"/>
        <v>4.2330868906469593E-12</v>
      </c>
      <c r="BH189" s="62">
        <f t="shared" si="116"/>
        <v>293.33333333333752</v>
      </c>
      <c r="BI189" s="62">
        <f ca="1">AVERAGE(OFFSET($BH$3,0,0,'Données projet'!$E$11+1,1))-AVERAGE(OFFSET($H$3,0,0,'Données projet'!$E$11+1,1))</f>
        <v>317.54276561627643</v>
      </c>
      <c r="BJ189" s="62">
        <f t="shared" si="146"/>
        <v>238.92443174298893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-9.9316821433603781E-14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195.30963433439501</v>
      </c>
      <c r="CE189" s="62">
        <f t="shared" si="148"/>
        <v>185.00219255324504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-5.4092197387944907E-14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293.996396026019</v>
      </c>
      <c r="CZ189" s="62">
        <f t="shared" si="150"/>
        <v>152.23954167722536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195.80903373714432</v>
      </c>
      <c r="T190" s="62">
        <f t="shared" si="142"/>
        <v>388.30721786668977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2.63111393486881</v>
      </c>
      <c r="AA190" s="23">
        <f>EXP(-LN(2)/25)*AA189+(1-EXP(-LN(2)/25))/(LN(2)/25)*Calculateur!V190*Calculateur!X190*VLOOKUP('Données projet'!$B$9,Paramètres!$A$1:$I$89,3,0)*0.475*44/12</f>
        <v>0.66461245361804289</v>
      </c>
      <c r="AB190" s="23">
        <f>EXP(-LN(2)/2)*AB189+(1-EXP(-LN(2)/2))/(LN(2)/2)*V190*Y190*VLOOKUP('Données projet'!$B$9,Paramètres!$A$1:$I$89,3,0)*0.475*44/12</f>
        <v>4.1714855314917357E-22</v>
      </c>
      <c r="AC190" s="24">
        <f t="shared" si="163"/>
        <v>3.2957263884868526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-4.9658410716801891E-14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303.33040062722074</v>
      </c>
      <c r="AO190" s="62">
        <f t="shared" si="144"/>
        <v>425.30058672361548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0.5527062514126313</v>
      </c>
      <c r="AV190" s="23">
        <f>EXP(-LN(2)/25)*AV189+(1-EXP(-LN(2)/25))/(LN(2)/25)*Calculateur!AQ190*Calculateur!AS190*VLOOKUP('Données projet'!$B$10,Paramètres!$A$1:$I$89,3,0)*0.475*44/12</f>
        <v>0.39598740409164795</v>
      </c>
      <c r="AW190" s="23">
        <f>EXP(-LN(2)/2)*AW189+(1-EXP(-LN(2)/2))/(LN(2)/2)*AQ190*AT190*VLOOKUP('Données projet'!$B$10,Paramètres!$A$1:$I$89,3,0)*0.475*44/12</f>
        <v>2.7727988266551312E-24</v>
      </c>
      <c r="AX190" s="23">
        <f t="shared" si="166"/>
        <v>0.94869365550427931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1.5961632016114892E-13</v>
      </c>
      <c r="BF190" s="14">
        <f t="shared" si="167"/>
        <v>2.2708641912150958E-12</v>
      </c>
      <c r="BG190" s="22">
        <f t="shared" si="168"/>
        <v>4.2330868906469593E-12</v>
      </c>
      <c r="BH190" s="62">
        <f t="shared" si="116"/>
        <v>293.33333333333752</v>
      </c>
      <c r="BI190" s="62">
        <f ca="1">AVERAGE(OFFSET($BH$3,0,0,'Données projet'!$E$11+1,1))-AVERAGE(OFFSET($H$3,0,0,'Données projet'!$E$11+1,1))</f>
        <v>317.54276561627643</v>
      </c>
      <c r="BJ190" s="62">
        <f t="shared" si="146"/>
        <v>238.92443174298893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-9.9316821433603781E-14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195.30963433439501</v>
      </c>
      <c r="CE190" s="62">
        <f t="shared" si="148"/>
        <v>185.00219255324504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-5.4092197387944907E-14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293.996396026019</v>
      </c>
      <c r="CZ190" s="62">
        <f t="shared" si="150"/>
        <v>152.23954167722536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195.80903373714432</v>
      </c>
      <c r="T191" s="62">
        <f t="shared" si="142"/>
        <v>388.30721786668977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2.5795193954270701</v>
      </c>
      <c r="AA191" s="23">
        <f>EXP(-LN(2)/25)*AA190+(1-EXP(-LN(2)/25))/(LN(2)/25)*Calculateur!V191*Calculateur!X191*VLOOKUP('Données projet'!$B$9,Paramètres!$A$1:$I$89,3,0)*0.475*44/12</f>
        <v>0.64643859112340751</v>
      </c>
      <c r="AB191" s="23">
        <f>EXP(-LN(2)/2)*AB190+(1-EXP(-LN(2)/2))/(LN(2)/2)*V191*Y191*VLOOKUP('Données projet'!$B$9,Paramètres!$A$1:$I$89,3,0)*0.475*44/12</f>
        <v>2.9496857069393759E-22</v>
      </c>
      <c r="AC191" s="24">
        <f t="shared" si="163"/>
        <v>3.2259579865504775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-4.9658410716801891E-14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303.33040062722074</v>
      </c>
      <c r="AO191" s="62">
        <f t="shared" si="144"/>
        <v>425.30058672361548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0.5418680189399554</v>
      </c>
      <c r="AV191" s="23">
        <f>EXP(-LN(2)/25)*AV190+(1-EXP(-LN(2)/25))/(LN(2)/25)*Calculateur!AQ191*Calculateur!AS191*VLOOKUP('Données projet'!$B$10,Paramètres!$A$1:$I$89,3,0)*0.475*44/12</f>
        <v>0.3851591077026893</v>
      </c>
      <c r="AW191" s="23">
        <f>EXP(-LN(2)/2)*AW190+(1-EXP(-LN(2)/2))/(LN(2)/2)*AQ191*AT191*VLOOKUP('Données projet'!$B$10,Paramètres!$A$1:$I$89,3,0)*0.475*44/12</f>
        <v>1.9606648531939455E-24</v>
      </c>
      <c r="AX191" s="23">
        <f t="shared" si="166"/>
        <v>0.92702712664264464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1.5961632016114892E-13</v>
      </c>
      <c r="BF191" s="14">
        <f t="shared" si="167"/>
        <v>2.2708641912150958E-12</v>
      </c>
      <c r="BG191" s="22">
        <f t="shared" si="168"/>
        <v>4.2330868906469593E-12</v>
      </c>
      <c r="BH191" s="62">
        <f t="shared" si="116"/>
        <v>293.33333333333752</v>
      </c>
      <c r="BI191" s="62">
        <f ca="1">AVERAGE(OFFSET($BH$3,0,0,'Données projet'!$E$11+1,1))-AVERAGE(OFFSET($H$3,0,0,'Données projet'!$E$11+1,1))</f>
        <v>317.54276561627643</v>
      </c>
      <c r="BJ191" s="62">
        <f t="shared" si="146"/>
        <v>238.92443174298893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-9.9316821433603781E-14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195.30963433439501</v>
      </c>
      <c r="CE191" s="62">
        <f t="shared" si="148"/>
        <v>185.00219255324504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-5.4092197387944907E-14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293.996396026019</v>
      </c>
      <c r="CZ191" s="62">
        <f t="shared" si="150"/>
        <v>152.23954167722536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195.80903373714432</v>
      </c>
      <c r="T192" s="62">
        <f t="shared" si="142"/>
        <v>388.30721786668977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2.5289365934342207</v>
      </c>
      <c r="AA192" s="23">
        <f>EXP(-LN(2)/25)*AA191+(1-EXP(-LN(2)/25))/(LN(2)/25)*Calculateur!V192*Calculateur!X192*VLOOKUP('Données projet'!$B$9,Paramètres!$A$1:$I$89,3,0)*0.475*44/12</f>
        <v>0.62876169385440983</v>
      </c>
      <c r="AB192" s="23">
        <f>EXP(-LN(2)/2)*AB191+(1-EXP(-LN(2)/2))/(LN(2)/2)*V192*Y192*VLOOKUP('Données projet'!$B$9,Paramètres!$A$1:$I$89,3,0)*0.475*44/12</f>
        <v>2.0857427657458681E-22</v>
      </c>
      <c r="AC192" s="24">
        <f t="shared" si="163"/>
        <v>3.1576982872886306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-4.9658410716801891E-14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303.33040062722074</v>
      </c>
      <c r="AO192" s="62">
        <f t="shared" si="144"/>
        <v>425.30058672361548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0.53124231759539964</v>
      </c>
      <c r="AV192" s="23">
        <f>EXP(-LN(2)/25)*AV191+(1-EXP(-LN(2)/25))/(LN(2)/25)*Calculateur!AQ192*Calculateur!AS192*VLOOKUP('Données projet'!$B$10,Paramètres!$A$1:$I$89,3,0)*0.475*44/12</f>
        <v>0.37462691164792206</v>
      </c>
      <c r="AW192" s="23">
        <f>EXP(-LN(2)/2)*AW191+(1-EXP(-LN(2)/2))/(LN(2)/2)*AQ192*AT192*VLOOKUP('Données projet'!$B$10,Paramètres!$A$1:$I$89,3,0)*0.475*44/12</f>
        <v>1.3863994133275656E-24</v>
      </c>
      <c r="AX192" s="23">
        <f t="shared" si="166"/>
        <v>0.90586922924332169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1.5961632016114892E-13</v>
      </c>
      <c r="BF192" s="14">
        <f t="shared" si="167"/>
        <v>2.2708641912150958E-12</v>
      </c>
      <c r="BG192" s="22">
        <f t="shared" si="168"/>
        <v>4.2330868906469593E-12</v>
      </c>
      <c r="BH192" s="62">
        <f t="shared" si="116"/>
        <v>293.33333333333752</v>
      </c>
      <c r="BI192" s="62">
        <f ca="1">AVERAGE(OFFSET($BH$3,0,0,'Données projet'!$E$11+1,1))-AVERAGE(OFFSET($H$3,0,0,'Données projet'!$E$11+1,1))</f>
        <v>317.54276561627643</v>
      </c>
      <c r="BJ192" s="62">
        <f t="shared" si="146"/>
        <v>238.92443174298893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-9.9316821433603781E-14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195.30963433439501</v>
      </c>
      <c r="CE192" s="62">
        <f t="shared" si="148"/>
        <v>185.00219255324504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-5.4092197387944907E-14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293.996396026019</v>
      </c>
      <c r="CZ192" s="62">
        <f t="shared" si="150"/>
        <v>152.23954167722536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195.80903373714432</v>
      </c>
      <c r="T193" s="62">
        <f t="shared" si="142"/>
        <v>388.30721786668977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2.4793456893359886</v>
      </c>
      <c r="AA193" s="23">
        <f>EXP(-LN(2)/25)*AA192+(1-EXP(-LN(2)/25))/(LN(2)/25)*Calculateur!V193*Calculateur!X193*VLOOKUP('Données projet'!$B$9,Paramètres!$A$1:$I$89,3,0)*0.475*44/12</f>
        <v>0.61156817227082061</v>
      </c>
      <c r="AB193" s="23">
        <f>EXP(-LN(2)/2)*AB192+(1-EXP(-LN(2)/2))/(LN(2)/2)*V193*Y193*VLOOKUP('Données projet'!$B$9,Paramètres!$A$1:$I$89,3,0)*0.475*44/12</f>
        <v>1.4748428534696882E-22</v>
      </c>
      <c r="AC193" s="24">
        <f t="shared" si="163"/>
        <v>3.0909138616068095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-4.9658410716801891E-14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303.33040062722074</v>
      </c>
      <c r="AO193" s="62">
        <f t="shared" si="144"/>
        <v>425.30058672361548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0.52082497977317266</v>
      </c>
      <c r="AV193" s="23">
        <f>EXP(-LN(2)/25)*AV192+(1-EXP(-LN(2)/25))/(LN(2)/25)*Calculateur!AQ193*Calculateur!AS193*VLOOKUP('Données projet'!$B$10,Paramètres!$A$1:$I$89,3,0)*0.475*44/12</f>
        <v>0.36438271904813657</v>
      </c>
      <c r="AW193" s="23">
        <f>EXP(-LN(2)/2)*AW192+(1-EXP(-LN(2)/2))/(LN(2)/2)*AQ193*AT193*VLOOKUP('Données projet'!$B$10,Paramètres!$A$1:$I$89,3,0)*0.475*44/12</f>
        <v>9.8033242659697277E-25</v>
      </c>
      <c r="AX193" s="23">
        <f t="shared" si="166"/>
        <v>0.88520769882130923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1.5961632016114892E-13</v>
      </c>
      <c r="BF193" s="14">
        <f t="shared" si="167"/>
        <v>2.2708641912150958E-12</v>
      </c>
      <c r="BG193" s="22">
        <f t="shared" si="168"/>
        <v>4.2330868906469593E-12</v>
      </c>
      <c r="BH193" s="62">
        <f t="shared" si="116"/>
        <v>293.33333333333752</v>
      </c>
      <c r="BI193" s="62">
        <f ca="1">AVERAGE(OFFSET($BH$3,0,0,'Données projet'!$E$11+1,1))-AVERAGE(OFFSET($H$3,0,0,'Données projet'!$E$11+1,1))</f>
        <v>317.54276561627643</v>
      </c>
      <c r="BJ193" s="62">
        <f t="shared" si="146"/>
        <v>238.92443174298893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-9.9316821433603781E-14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195.30963433439501</v>
      </c>
      <c r="CE193" s="62">
        <f t="shared" si="148"/>
        <v>185.00219255324504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-5.4092197387944907E-14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293.996396026019</v>
      </c>
      <c r="CZ193" s="62">
        <f t="shared" si="150"/>
        <v>152.23954167722536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195.80903373714432</v>
      </c>
      <c r="T194" s="62">
        <f t="shared" si="142"/>
        <v>388.30721786668977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2.4307272326196578</v>
      </c>
      <c r="AA194" s="23">
        <f>EXP(-LN(2)/25)*AA193+(1-EXP(-LN(2)/25))/(LN(2)/25)*Calculateur!V194*Calculateur!X194*VLOOKUP('Données projet'!$B$9,Paramètres!$A$1:$I$89,3,0)*0.475*44/12</f>
        <v>0.59484480843910259</v>
      </c>
      <c r="AB194" s="23">
        <f>EXP(-LN(2)/2)*AB193+(1-EXP(-LN(2)/2))/(LN(2)/2)*V194*Y194*VLOOKUP('Données projet'!$B$9,Paramètres!$A$1:$I$89,3,0)*0.475*44/12</f>
        <v>1.0428713828729343E-22</v>
      </c>
      <c r="AC194" s="24">
        <f t="shared" si="163"/>
        <v>3.0255720410587603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-4.9658410716801891E-14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303.33040062722074</v>
      </c>
      <c r="AO194" s="62">
        <f t="shared" si="144"/>
        <v>425.30058672361548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0.51061191959169094</v>
      </c>
      <c r="AV194" s="23">
        <f>EXP(-LN(2)/25)*AV193+(1-EXP(-LN(2)/25))/(LN(2)/25)*Calculateur!AQ194*Calculateur!AS194*VLOOKUP('Données projet'!$B$10,Paramètres!$A$1:$I$89,3,0)*0.475*44/12</f>
        <v>0.3544186544337109</v>
      </c>
      <c r="AW194" s="23">
        <f>EXP(-LN(2)/2)*AW193+(1-EXP(-LN(2)/2))/(LN(2)/2)*AQ194*AT194*VLOOKUP('Données projet'!$B$10,Paramètres!$A$1:$I$89,3,0)*0.475*44/12</f>
        <v>6.931997066637828E-25</v>
      </c>
      <c r="AX194" s="23">
        <f t="shared" si="166"/>
        <v>0.86503057402540184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1.5961632016114892E-13</v>
      </c>
      <c r="BF194" s="14">
        <f t="shared" si="167"/>
        <v>2.2708641912150958E-12</v>
      </c>
      <c r="BG194" s="22">
        <f t="shared" si="168"/>
        <v>4.2330868906469593E-12</v>
      </c>
      <c r="BH194" s="62">
        <f t="shared" si="116"/>
        <v>293.33333333333752</v>
      </c>
      <c r="BI194" s="62">
        <f ca="1">AVERAGE(OFFSET($BH$3,0,0,'Données projet'!$E$11+1,1))-AVERAGE(OFFSET($H$3,0,0,'Données projet'!$E$11+1,1))</f>
        <v>317.54276561627643</v>
      </c>
      <c r="BJ194" s="62">
        <f t="shared" si="146"/>
        <v>238.92443174298893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-9.9316821433603781E-14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195.30963433439501</v>
      </c>
      <c r="CE194" s="62">
        <f t="shared" si="148"/>
        <v>185.00219255324504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-5.4092197387944907E-14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293.996396026019</v>
      </c>
      <c r="CZ194" s="62">
        <f t="shared" si="150"/>
        <v>152.23954167722536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195.80903373714432</v>
      </c>
      <c r="T195" s="62">
        <f t="shared" si="142"/>
        <v>388.30721786668977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2.383062154185204</v>
      </c>
      <c r="AA195" s="23">
        <f>EXP(-LN(2)/25)*AA194+(1-EXP(-LN(2)/25))/(LN(2)/25)*Calculateur!V195*Calculateur!X195*VLOOKUP('Données projet'!$B$9,Paramètres!$A$1:$I$89,3,0)*0.475*44/12</f>
        <v>0.57857874587080638</v>
      </c>
      <c r="AB195" s="23">
        <f>EXP(-LN(2)/2)*AB194+(1-EXP(-LN(2)/2))/(LN(2)/2)*V195*Y195*VLOOKUP('Données projet'!$B$9,Paramètres!$A$1:$I$89,3,0)*0.475*44/12</f>
        <v>7.3742142673484422E-23</v>
      </c>
      <c r="AC195" s="24">
        <f t="shared" si="163"/>
        <v>2.9616409000560102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-4.9658410716801891E-14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303.33040062722074</v>
      </c>
      <c r="AO195" s="62">
        <f t="shared" si="144"/>
        <v>425.30058672361548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0.50059913129101641</v>
      </c>
      <c r="AV195" s="23">
        <f>EXP(-LN(2)/25)*AV194+(1-EXP(-LN(2)/25))/(LN(2)/25)*Calculateur!AQ195*Calculateur!AS195*VLOOKUP('Données projet'!$B$10,Paramètres!$A$1:$I$89,3,0)*0.475*44/12</f>
        <v>0.34472705769015405</v>
      </c>
      <c r="AW195" s="23">
        <f>EXP(-LN(2)/2)*AW194+(1-EXP(-LN(2)/2))/(LN(2)/2)*AQ195*AT195*VLOOKUP('Données projet'!$B$10,Paramètres!$A$1:$I$89,3,0)*0.475*44/12</f>
        <v>4.9016621329848639E-25</v>
      </c>
      <c r="AX195" s="23">
        <f t="shared" si="166"/>
        <v>0.84532618898117051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1.5961632016114892E-13</v>
      </c>
      <c r="BF195" s="14">
        <f t="shared" si="167"/>
        <v>2.2708641912150958E-12</v>
      </c>
      <c r="BG195" s="22">
        <f t="shared" si="168"/>
        <v>4.2330868906469593E-12</v>
      </c>
      <c r="BH195" s="62">
        <f t="shared" si="116"/>
        <v>293.33333333333752</v>
      </c>
      <c r="BI195" s="62">
        <f ca="1">AVERAGE(OFFSET($BH$3,0,0,'Données projet'!$E$11+1,1))-AVERAGE(OFFSET($H$3,0,0,'Données projet'!$E$11+1,1))</f>
        <v>317.54276561627643</v>
      </c>
      <c r="BJ195" s="62">
        <f t="shared" si="146"/>
        <v>238.92443174298893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-9.9316821433603781E-14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195.30963433439501</v>
      </c>
      <c r="CE195" s="62">
        <f t="shared" si="148"/>
        <v>185.00219255324504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-5.4092197387944907E-14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293.996396026019</v>
      </c>
      <c r="CZ195" s="62">
        <f t="shared" si="150"/>
        <v>152.23954167722536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195.80903373714432</v>
      </c>
      <c r="T196" s="62">
        <f t="shared" si="142"/>
        <v>388.30721786668977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2.3363317588660224</v>
      </c>
      <c r="AA196" s="23">
        <f>EXP(-LN(2)/25)*AA195+(1-EXP(-LN(2)/25))/(LN(2)/25)*Calculateur!V196*Calculateur!X196*VLOOKUP('Données projet'!$B$9,Paramètres!$A$1:$I$89,3,0)*0.475*44/12</f>
        <v>0.56275747963883527</v>
      </c>
      <c r="AB196" s="23">
        <f>EXP(-LN(2)/2)*AB195+(1-EXP(-LN(2)/2))/(LN(2)/2)*V196*Y196*VLOOKUP('Données projet'!$B$9,Paramètres!$A$1:$I$89,3,0)*0.475*44/12</f>
        <v>5.2143569143646719E-23</v>
      </c>
      <c r="AC196" s="24">
        <f t="shared" si="163"/>
        <v>2.8990892385048577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-4.9658410716801891E-14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303.33040062722074</v>
      </c>
      <c r="AO196" s="62">
        <f t="shared" si="144"/>
        <v>425.30058672361548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0.49078268766172028</v>
      </c>
      <c r="AV196" s="23">
        <f>EXP(-LN(2)/25)*AV195+(1-EXP(-LN(2)/25))/(LN(2)/25)*Calculateur!AQ196*Calculateur!AS196*VLOOKUP('Données projet'!$B$10,Paramètres!$A$1:$I$89,3,0)*0.475*44/12</f>
        <v>0.33530047816920872</v>
      </c>
      <c r="AW196" s="23">
        <f>EXP(-LN(2)/2)*AW195+(1-EXP(-LN(2)/2))/(LN(2)/2)*AQ196*AT196*VLOOKUP('Données projet'!$B$10,Paramètres!$A$1:$I$89,3,0)*0.475*44/12</f>
        <v>3.465998533318914E-25</v>
      </c>
      <c r="AX196" s="23">
        <f t="shared" si="166"/>
        <v>0.826083165830929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1.5961632016114892E-13</v>
      </c>
      <c r="BF196" s="14">
        <f t="shared" si="167"/>
        <v>2.2708641912150958E-12</v>
      </c>
      <c r="BG196" s="22">
        <f t="shared" si="168"/>
        <v>4.2330868906469593E-12</v>
      </c>
      <c r="BH196" s="62">
        <f t="shared" ref="BH196:BH203" si="194">BG196+(AY196+AZ196)*44/12</f>
        <v>293.33333333333752</v>
      </c>
      <c r="BI196" s="62">
        <f ca="1">AVERAGE(OFFSET($BH$3,0,0,'Données projet'!$E$11+1,1))-AVERAGE(OFFSET($H$3,0,0,'Données projet'!$E$11+1,1))</f>
        <v>317.54276561627643</v>
      </c>
      <c r="BJ196" s="62">
        <f t="shared" si="146"/>
        <v>238.92443174298893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-9.9316821433603781E-14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195.30963433439501</v>
      </c>
      <c r="CE196" s="62">
        <f t="shared" si="148"/>
        <v>185.00219255324504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-5.4092197387944907E-14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293.996396026019</v>
      </c>
      <c r="CZ196" s="62">
        <f t="shared" si="150"/>
        <v>152.23954167722536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195.80903373714432</v>
      </c>
      <c r="T197" s="62">
        <f t="shared" ref="T197:T203" si="204">$T$3</f>
        <v>388.30721786668977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2.2905177180963232</v>
      </c>
      <c r="AA197" s="23">
        <f>EXP(-LN(2)/25)*AA196+(1-EXP(-LN(2)/25))/(LN(2)/25)*Calculateur!V197*Calculateur!X197*VLOOKUP('Données projet'!$B$9,Paramètres!$A$1:$I$89,3,0)*0.475*44/12</f>
        <v>0.54736884676398168</v>
      </c>
      <c r="AB197" s="23">
        <f>EXP(-LN(2)/2)*AB196+(1-EXP(-LN(2)/2))/(LN(2)/2)*V197*Y197*VLOOKUP('Données projet'!$B$9,Paramètres!$A$1:$I$89,3,0)*0.475*44/12</f>
        <v>3.6871071336742217E-23</v>
      </c>
      <c r="AC197" s="24">
        <f t="shared" si="163"/>
        <v>2.8378865648603049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-4.9658410716801891E-14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303.33040062722074</v>
      </c>
      <c r="AO197" s="62">
        <f t="shared" ref="AO197:AO203" si="205">$AO$3</f>
        <v>425.30058672361548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0.48115873850455526</v>
      </c>
      <c r="AV197" s="23">
        <f>EXP(-LN(2)/25)*AV196+(1-EXP(-LN(2)/25))/(LN(2)/25)*Calculateur!AQ197*Calculateur!AS197*VLOOKUP('Données projet'!$B$10,Paramètres!$A$1:$I$89,3,0)*0.475*44/12</f>
        <v>0.32613166896098589</v>
      </c>
      <c r="AW197" s="23">
        <f>EXP(-LN(2)/2)*AW196+(1-EXP(-LN(2)/2))/(LN(2)/2)*AQ197*AT197*VLOOKUP('Données projet'!$B$10,Paramètres!$A$1:$I$89,3,0)*0.475*44/12</f>
        <v>2.4508310664924319E-25</v>
      </c>
      <c r="AX197" s="23">
        <f t="shared" si="166"/>
        <v>0.80729040746554115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1.5961632016114892E-13</v>
      </c>
      <c r="BF197" s="14">
        <f t="shared" si="167"/>
        <v>2.2708641912150958E-12</v>
      </c>
      <c r="BG197" s="22">
        <f t="shared" si="168"/>
        <v>4.2330868906469593E-12</v>
      </c>
      <c r="BH197" s="62">
        <f t="shared" si="194"/>
        <v>293.33333333333752</v>
      </c>
      <c r="BI197" s="62">
        <f ca="1">AVERAGE(OFFSET($BH$3,0,0,'Données projet'!$E$11+1,1))-AVERAGE(OFFSET($H$3,0,0,'Données projet'!$E$11+1,1))</f>
        <v>317.54276561627643</v>
      </c>
      <c r="BJ197" s="62">
        <f t="shared" ref="BJ197:BJ203" si="206">$BJ$3</f>
        <v>238.92443174298893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-9.9316821433603781E-14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195.30963433439501</v>
      </c>
      <c r="CE197" s="62">
        <f t="shared" ref="CE197:CE203" si="207">$CE$3</f>
        <v>185.00219255324504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-5.4092197387944907E-14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293.996396026019</v>
      </c>
      <c r="CZ197" s="62">
        <f t="shared" ref="CZ197:CZ203" si="208">$CZ$3</f>
        <v>152.23954167722536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195.80903373714432</v>
      </c>
      <c r="T198" s="62">
        <f t="shared" si="204"/>
        <v>388.30721786668977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2.2456020627223126</v>
      </c>
      <c r="AA198" s="23">
        <f>EXP(-LN(2)/25)*AA197+(1-EXP(-LN(2)/25))/(LN(2)/25)*Calculateur!V198*Calculateur!X198*VLOOKUP('Données projet'!$B$9,Paramètres!$A$1:$I$89,3,0)*0.475*44/12</f>
        <v>0.53240101686434393</v>
      </c>
      <c r="AB198" s="23">
        <f>EXP(-LN(2)/2)*AB197+(1-EXP(-LN(2)/2))/(LN(2)/2)*V198*Y198*VLOOKUP('Données projet'!$B$9,Paramètres!$A$1:$I$89,3,0)*0.475*44/12</f>
        <v>2.6071784571823366E-23</v>
      </c>
      <c r="AC198" s="24">
        <f t="shared" si="163"/>
        <v>2.7780030795866564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-4.9658410716801891E-14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303.33040062722074</v>
      </c>
      <c r="AO198" s="62">
        <f t="shared" si="205"/>
        <v>425.30058672361548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0.4717235091203329</v>
      </c>
      <c r="AV198" s="23">
        <f>EXP(-LN(2)/25)*AV197+(1-EXP(-LN(2)/25))/(LN(2)/25)*Calculateur!AQ198*Calculateur!AS198*VLOOKUP('Données projet'!$B$10,Paramètres!$A$1:$I$89,3,0)*0.475*44/12</f>
        <v>0.31721358132272864</v>
      </c>
      <c r="AW198" s="23">
        <f>EXP(-LN(2)/2)*AW197+(1-EXP(-LN(2)/2))/(LN(2)/2)*AQ198*AT198*VLOOKUP('Données projet'!$B$10,Paramètres!$A$1:$I$89,3,0)*0.475*44/12</f>
        <v>1.732999266659457E-25</v>
      </c>
      <c r="AX198" s="23">
        <f t="shared" si="166"/>
        <v>0.78893709044306148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1.5961632016114892E-13</v>
      </c>
      <c r="BF198" s="14">
        <f t="shared" si="167"/>
        <v>2.2708641912150958E-12</v>
      </c>
      <c r="BG198" s="22">
        <f t="shared" si="168"/>
        <v>4.2330868906469593E-12</v>
      </c>
      <c r="BH198" s="62">
        <f t="shared" si="194"/>
        <v>293.33333333333752</v>
      </c>
      <c r="BI198" s="62">
        <f ca="1">AVERAGE(OFFSET($BH$3,0,0,'Données projet'!$E$11+1,1))-AVERAGE(OFFSET($H$3,0,0,'Données projet'!$E$11+1,1))</f>
        <v>317.54276561627643</v>
      </c>
      <c r="BJ198" s="62">
        <f t="shared" si="206"/>
        <v>238.92443174298893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-9.9316821433603781E-14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195.30963433439501</v>
      </c>
      <c r="CE198" s="62">
        <f t="shared" si="207"/>
        <v>185.00219255324504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-5.4092197387944907E-14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293.996396026019</v>
      </c>
      <c r="CZ198" s="62">
        <f t="shared" si="208"/>
        <v>152.23954167722536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195.80903373714432</v>
      </c>
      <c r="T199" s="62">
        <f t="shared" si="204"/>
        <v>388.30721786668977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2.2015671759543416</v>
      </c>
      <c r="AA199" s="23">
        <f>EXP(-LN(2)/25)*AA198+(1-EXP(-LN(2)/25))/(LN(2)/25)*Calculateur!V199*Calculateur!X199*VLOOKUP('Données projet'!$B$9,Paramètres!$A$1:$I$89,3,0)*0.475*44/12</f>
        <v>0.51784248306043579</v>
      </c>
      <c r="AB199" s="23">
        <f>EXP(-LN(2)/2)*AB198+(1-EXP(-LN(2)/2))/(LN(2)/2)*V199*Y199*VLOOKUP('Données projet'!$B$9,Paramètres!$A$1:$I$89,3,0)*0.475*44/12</f>
        <v>1.8435535668371111E-23</v>
      </c>
      <c r="AC199" s="24">
        <f t="shared" si="163"/>
        <v>2.7194096590147776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-4.9658410716801891E-14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303.33040062722074</v>
      </c>
      <c r="AO199" s="62">
        <f t="shared" si="205"/>
        <v>425.30058672361548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0.46247329882941346</v>
      </c>
      <c r="AV199" s="23">
        <f>EXP(-LN(2)/25)*AV198+(1-EXP(-LN(2)/25))/(LN(2)/25)*Calculateur!AQ199*Calculateur!AS199*VLOOKUP('Données projet'!$B$10,Paramètres!$A$1:$I$89,3,0)*0.475*44/12</f>
        <v>0.30853935925992138</v>
      </c>
      <c r="AW199" s="23">
        <f>EXP(-LN(2)/2)*AW198+(1-EXP(-LN(2)/2))/(LN(2)/2)*AQ199*AT199*VLOOKUP('Données projet'!$B$10,Paramètres!$A$1:$I$89,3,0)*0.475*44/12</f>
        <v>1.225415533246216E-25</v>
      </c>
      <c r="AX199" s="23">
        <f t="shared" si="166"/>
        <v>0.77101265808933483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1.5961632016114892E-13</v>
      </c>
      <c r="BF199" s="14">
        <f t="shared" si="167"/>
        <v>2.2708641912150958E-12</v>
      </c>
      <c r="BG199" s="22">
        <f t="shared" si="168"/>
        <v>4.2330868906469593E-12</v>
      </c>
      <c r="BH199" s="62">
        <f t="shared" si="194"/>
        <v>293.33333333333752</v>
      </c>
      <c r="BI199" s="62">
        <f ca="1">AVERAGE(OFFSET($BH$3,0,0,'Données projet'!$E$11+1,1))-AVERAGE(OFFSET($H$3,0,0,'Données projet'!$E$11+1,1))</f>
        <v>317.54276561627643</v>
      </c>
      <c r="BJ199" s="62">
        <f t="shared" si="206"/>
        <v>238.92443174298893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-9.9316821433603781E-14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195.30963433439501</v>
      </c>
      <c r="CE199" s="62">
        <f t="shared" si="207"/>
        <v>185.00219255324504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-5.4092197387944907E-14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293.996396026019</v>
      </c>
      <c r="CZ199" s="62">
        <f t="shared" si="208"/>
        <v>152.23954167722536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195.80903373714432</v>
      </c>
      <c r="T200" s="62">
        <f t="shared" si="204"/>
        <v>388.30721786668977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2.1583957864572616</v>
      </c>
      <c r="AA200" s="23">
        <f>EXP(-LN(2)/25)*AA199+(1-EXP(-LN(2)/25))/(LN(2)/25)*Calculateur!V200*Calculateur!X200*VLOOKUP('Données projet'!$B$9,Paramètres!$A$1:$I$89,3,0)*0.475*44/12</f>
        <v>0.5036820531289955</v>
      </c>
      <c r="AB200" s="23">
        <f>EXP(-LN(2)/2)*AB199+(1-EXP(-LN(2)/2))/(LN(2)/2)*V200*Y200*VLOOKUP('Données projet'!$B$9,Paramètres!$A$1:$I$89,3,0)*0.475*44/12</f>
        <v>1.3035892285911684E-23</v>
      </c>
      <c r="AC200" s="24">
        <f t="shared" si="163"/>
        <v>2.662077839586257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-4.9658410716801891E-14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303.33040062722074</v>
      </c>
      <c r="AO200" s="62">
        <f t="shared" si="205"/>
        <v>425.30058672361548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0.45340447952022778</v>
      </c>
      <c r="AV200" s="23">
        <f>EXP(-LN(2)/25)*AV199+(1-EXP(-LN(2)/25))/(LN(2)/25)*Calculateur!AQ200*Calculateur!AS200*VLOOKUP('Données projet'!$B$10,Paramètres!$A$1:$I$89,3,0)*0.475*44/12</f>
        <v>0.30010233425557908</v>
      </c>
      <c r="AW200" s="23">
        <f>EXP(-LN(2)/2)*AW199+(1-EXP(-LN(2)/2))/(LN(2)/2)*AQ200*AT200*VLOOKUP('Données projet'!$B$10,Paramètres!$A$1:$I$89,3,0)*0.475*44/12</f>
        <v>8.664996333297285E-26</v>
      </c>
      <c r="AX200" s="23">
        <f t="shared" si="166"/>
        <v>0.75350681377580686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1.5961632016114892E-13</v>
      </c>
      <c r="BF200" s="14">
        <f t="shared" si="167"/>
        <v>2.2708641912150958E-12</v>
      </c>
      <c r="BG200" s="22">
        <f t="shared" si="168"/>
        <v>4.2330868906469593E-12</v>
      </c>
      <c r="BH200" s="62">
        <f t="shared" si="194"/>
        <v>293.33333333333752</v>
      </c>
      <c r="BI200" s="62">
        <f ca="1">AVERAGE(OFFSET($BH$3,0,0,'Données projet'!$E$11+1,1))-AVERAGE(OFFSET($H$3,0,0,'Données projet'!$E$11+1,1))</f>
        <v>317.54276561627643</v>
      </c>
      <c r="BJ200" s="62">
        <f t="shared" si="206"/>
        <v>238.92443174298893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-9.9316821433603781E-14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195.30963433439501</v>
      </c>
      <c r="CE200" s="62">
        <f t="shared" si="207"/>
        <v>185.00219255324504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-5.4092197387944907E-14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293.996396026019</v>
      </c>
      <c r="CZ200" s="62">
        <f t="shared" si="208"/>
        <v>152.23954167722536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195.80903373714432</v>
      </c>
      <c r="T201" s="62">
        <f t="shared" si="204"/>
        <v>388.30721786668977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2.1160709615762716</v>
      </c>
      <c r="AA201" s="23">
        <f>EXP(-LN(2)/25)*AA200+(1-EXP(-LN(2)/25))/(LN(2)/25)*Calculateur!V201*Calculateur!X201*VLOOKUP('Données projet'!$B$9,Paramètres!$A$1:$I$89,3,0)*0.475*44/12</f>
        <v>0.48990884089869513</v>
      </c>
      <c r="AB201" s="23">
        <f>EXP(-LN(2)/2)*AB200+(1-EXP(-LN(2)/2))/(LN(2)/2)*V201*Y201*VLOOKUP('Données projet'!$B$9,Paramètres!$A$1:$I$89,3,0)*0.475*44/12</f>
        <v>9.2177678341855571E-24</v>
      </c>
      <c r="AC201" s="24">
        <f t="shared" si="163"/>
        <v>2.605979802474967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-4.9658410716801891E-14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303.33040062722074</v>
      </c>
      <c r="AO201" s="62">
        <f t="shared" si="205"/>
        <v>425.30058672361548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0.44451349422626163</v>
      </c>
      <c r="AV201" s="23">
        <f>EXP(-LN(2)/25)*AV200+(1-EXP(-LN(2)/25))/(LN(2)/25)*Calculateur!AQ201*Calculateur!AS201*VLOOKUP('Données projet'!$B$10,Paramètres!$A$1:$I$89,3,0)*0.475*44/12</f>
        <v>0.29189602014366439</v>
      </c>
      <c r="AW201" s="23">
        <f>EXP(-LN(2)/2)*AW200+(1-EXP(-LN(2)/2))/(LN(2)/2)*AQ201*AT201*VLOOKUP('Données projet'!$B$10,Paramètres!$A$1:$I$89,3,0)*0.475*44/12</f>
        <v>6.1270776662310798E-26</v>
      </c>
      <c r="AX201" s="23">
        <f t="shared" si="166"/>
        <v>0.73640951436992608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1.5961632016114892E-13</v>
      </c>
      <c r="BF201" s="14">
        <f t="shared" si="167"/>
        <v>2.2708641912150958E-12</v>
      </c>
      <c r="BG201" s="22">
        <f t="shared" si="168"/>
        <v>4.2330868906469593E-12</v>
      </c>
      <c r="BH201" s="62">
        <f t="shared" si="194"/>
        <v>293.33333333333752</v>
      </c>
      <c r="BI201" s="62">
        <f ca="1">AVERAGE(OFFSET($BH$3,0,0,'Données projet'!$E$11+1,1))-AVERAGE(OFFSET($H$3,0,0,'Données projet'!$E$11+1,1))</f>
        <v>317.54276561627643</v>
      </c>
      <c r="BJ201" s="62">
        <f t="shared" si="206"/>
        <v>238.92443174298893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-9.9316821433603781E-14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195.30963433439501</v>
      </c>
      <c r="CE201" s="62">
        <f t="shared" si="207"/>
        <v>185.00219255324504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-5.4092197387944907E-14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293.996396026019</v>
      </c>
      <c r="CZ201" s="62">
        <f t="shared" si="208"/>
        <v>152.23954167722536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195.80903373714432</v>
      </c>
      <c r="T202" s="62">
        <f t="shared" si="204"/>
        <v>388.30721786668977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2.0745761006956038</v>
      </c>
      <c r="AA202" s="23">
        <f>EXP(-LN(2)/25)*AA201+(1-EXP(-LN(2)/25))/(LN(2)/25)*Calculateur!V202*Calculateur!X202*VLOOKUP('Données projet'!$B$9,Paramètres!$A$1:$I$89,3,0)*0.475*44/12</f>
        <v>0.47651225788113405</v>
      </c>
      <c r="AB202" s="23">
        <f>EXP(-LN(2)/2)*AB201+(1-EXP(-LN(2)/2))/(LN(2)/2)*V202*Y202*VLOOKUP('Données projet'!$B$9,Paramètres!$A$1:$I$89,3,0)*0.475*44/12</f>
        <v>6.5179461429558436E-24</v>
      </c>
      <c r="AC202" s="24">
        <f t="shared" si="163"/>
        <v>2.5510883585767381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-4.9658410716801891E-14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303.33040062722074</v>
      </c>
      <c r="AO202" s="62">
        <f t="shared" si="205"/>
        <v>425.30058672361548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0.43579685573094462</v>
      </c>
      <c r="AV202" s="23">
        <f>EXP(-LN(2)/25)*AV201+(1-EXP(-LN(2)/25))/(LN(2)/25)*Calculateur!AQ202*Calculateur!AS202*VLOOKUP('Données projet'!$B$10,Paramètres!$A$1:$I$89,3,0)*0.475*44/12</f>
        <v>0.2839141081226913</v>
      </c>
      <c r="AW202" s="23">
        <f>EXP(-LN(2)/2)*AW201+(1-EXP(-LN(2)/2))/(LN(2)/2)*AQ202*AT202*VLOOKUP('Données projet'!$B$10,Paramètres!$A$1:$I$89,3,0)*0.475*44/12</f>
        <v>4.3324981666486425E-26</v>
      </c>
      <c r="AX202" s="23">
        <f t="shared" si="166"/>
        <v>0.71971096385363587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1.5961632016114892E-13</v>
      </c>
      <c r="BF202" s="14">
        <f t="shared" si="167"/>
        <v>2.2708641912150958E-12</v>
      </c>
      <c r="BG202" s="22">
        <f t="shared" si="168"/>
        <v>4.2330868906469593E-12</v>
      </c>
      <c r="BH202" s="62">
        <f t="shared" si="194"/>
        <v>293.33333333333752</v>
      </c>
      <c r="BI202" s="62">
        <f ca="1">AVERAGE(OFFSET($BH$3,0,0,'Données projet'!$E$11+1,1))-AVERAGE(OFFSET($H$3,0,0,'Données projet'!$E$11+1,1))</f>
        <v>317.54276561627643</v>
      </c>
      <c r="BJ202" s="62">
        <f t="shared" si="206"/>
        <v>238.92443174298893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-9.9316821433603781E-14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195.30963433439501</v>
      </c>
      <c r="CE202" s="62">
        <f t="shared" si="207"/>
        <v>185.00219255324504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-5.4092197387944907E-14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293.996396026019</v>
      </c>
      <c r="CZ202" s="62">
        <f t="shared" si="208"/>
        <v>152.23954167722536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195.80903373714432</v>
      </c>
      <c r="T203" s="62">
        <f t="shared" si="204"/>
        <v>388.30721786668977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2.0338949287274399</v>
      </c>
      <c r="AA203" s="23">
        <f>EXP(-LN(2)/25)*AA202+(1-EXP(-LN(2)/25))/(LN(2)/25)*Calculateur!V203*Calculateur!X203*VLOOKUP('Données projet'!$B$9,Paramètres!$A$1:$I$89,3,0)*0.475*44/12</f>
        <v>0.46348200513068388</v>
      </c>
      <c r="AB203" s="23">
        <f>EXP(-LN(2)/2)*AB202+(1-EXP(-LN(2)/2))/(LN(2)/2)*V203*Y203*VLOOKUP('Données projet'!$B$9,Paramètres!$A$1:$I$89,3,0)*0.475*44/12</f>
        <v>4.6088839170927793E-24</v>
      </c>
      <c r="AC203" s="24">
        <f t="shared" si="163"/>
        <v>2.4973769338581238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-4.9658410716801891E-14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303.33040062722074</v>
      </c>
      <c r="AO203" s="62">
        <f t="shared" si="205"/>
        <v>425.30058672361548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0.42725114519989627</v>
      </c>
      <c r="AV203" s="23">
        <f>EXP(-LN(2)/25)*AV202+(1-EXP(-LN(2)/25))/(LN(2)/25)*Calculateur!AQ203*Calculateur!AS203*VLOOKUP('Données projet'!$B$10,Paramètres!$A$1:$I$89,3,0)*0.475*44/12</f>
        <v>0.27615046190568227</v>
      </c>
      <c r="AW203" s="23">
        <f>EXP(-LN(2)/2)*AW202+(1-EXP(-LN(2)/2))/(LN(2)/2)*AQ203*AT203*VLOOKUP('Données projet'!$B$10,Paramètres!$A$1:$I$89,3,0)*0.475*44/12</f>
        <v>3.0635388331155399E-26</v>
      </c>
      <c r="AX203" s="23">
        <f t="shared" si="166"/>
        <v>0.70340160710557853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1.5961632016114892E-13</v>
      </c>
      <c r="BF203" s="14">
        <f t="shared" si="167"/>
        <v>2.2708641912150958E-12</v>
      </c>
      <c r="BG203" s="22">
        <f t="shared" si="168"/>
        <v>4.2330868906469593E-12</v>
      </c>
      <c r="BH203" s="62">
        <f t="shared" si="194"/>
        <v>293.33333333333752</v>
      </c>
      <c r="BI203" s="62">
        <f ca="1">AVERAGE(OFFSET($BH$3,0,0,'Données projet'!$E$11+1,1))-AVERAGE(OFFSET($H$3,0,0,'Données projet'!$E$11+1,1))</f>
        <v>317.54276561627643</v>
      </c>
      <c r="BJ203" s="62">
        <f t="shared" si="206"/>
        <v>238.92443174298893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-9.9316821433603781E-14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195.30963433439501</v>
      </c>
      <c r="CE203" s="62">
        <f t="shared" si="207"/>
        <v>185.00219255324504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-5.4092197387944907E-14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293.996396026019</v>
      </c>
      <c r="CZ203" s="62">
        <f t="shared" si="208"/>
        <v>152.23954167722536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1.3655017210306359</v>
      </c>
      <c r="BA205" s="88">
        <f>EXP(LN('Données projet'!B88)/'Données projet'!A88)</f>
        <v>1.1921598380198544</v>
      </c>
      <c r="BV205" s="88">
        <f>EXP(LN('Données projet'!B114)/'Données projet'!A114)</f>
        <v>1.1554831727638066</v>
      </c>
      <c r="CQ205" s="88">
        <f>EXP(LN('Données projet'!B140)/'Données projet'!A140)</f>
        <v>1.1457367676485573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L5" sqref="L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1.5505</v>
      </c>
      <c r="C6" s="156">
        <f ca="1">IF(OR('Données projet'!B9="",'Données projet'!C9="",'Données projet'!C9=0%),0,Calculateur!S3)</f>
        <v>195.80903373714432</v>
      </c>
      <c r="D6" s="156">
        <f>IF(OR('Données projet'!B9="",'Données projet'!C9="",'Données projet'!C9=0%),0,Calculateur!T3)</f>
        <v>388.30721786668977</v>
      </c>
      <c r="E6" s="156">
        <f ca="1">MIN(C6,D6)</f>
        <v>195.80903373714432</v>
      </c>
      <c r="F6" s="156">
        <f ca="1">E6*B6</f>
        <v>303.60190680944226</v>
      </c>
      <c r="G6" s="156">
        <f ca="1">F6*(100%-'Données projet'!$C$24)*(100%-'Données projet'!$C$25)*(100%-'Données projet'!$C$26)*(100%-'Données projet'!$C$27)</f>
        <v>245.91754451564822</v>
      </c>
      <c r="H6" s="157">
        <f>IF(OR('Données projet'!B9="",'Données projet'!C9="",'Données projet'!C9=0%),0,AVERAGE(Calculateur!$AC$3:$AC$33)*B6)</f>
        <v>14.700282165941687</v>
      </c>
      <c r="I6" s="158">
        <f>H6*(100%-'Données projet'!$C$24)*(100%-'Données projet'!$C$25)*(100%-'Données projet'!$C$26)*(100%-'Données projet'!$C$27)</f>
        <v>11.907228554412768</v>
      </c>
      <c r="J6" s="159">
        <f>IF(OR('Données projet'!B9="",'Données projet'!C9="",'Données projet'!C9=0%),0,SUM(Calculateur!$V$3:$V$33)*VLOOKUP('Données projet'!$B$9,Paramètres!$A$1:$I$89,9,0)*B6)</f>
        <v>109.77539999999999</v>
      </c>
      <c r="K6" s="160">
        <f>J6*(100%-'Données projet'!$C$24)*(100%-'Données projet'!$C$25)*(100%-'Données projet'!$C$26)*(100%-'Données projet'!$C$27)</f>
        <v>88.918074000000004</v>
      </c>
      <c r="L6" s="161">
        <f ca="1">G6+I6+K6</f>
        <v>346.74284707006098</v>
      </c>
      <c r="M6" s="25">
        <f ca="1">L6/B6</f>
        <v>223.63292297327376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rouge d'Amérique</v>
      </c>
      <c r="B7" s="163">
        <f>'Données projet'!D10</f>
        <v>0.8294999999999999</v>
      </c>
      <c r="C7" s="156">
        <f ca="1">IF(OR('Données projet'!B10="",'Données projet'!C10="",'Données projet'!C10=0%),0,Calculateur!AN3)</f>
        <v>303.33040062722074</v>
      </c>
      <c r="D7" s="156">
        <f>IF(OR('Données projet'!B10="",'Données projet'!C10="",'Données projet'!C10=0%),0,Calculateur!AO3)</f>
        <v>425.30058672361548</v>
      </c>
      <c r="E7" s="156">
        <f t="shared" ref="E7:E15" ca="1" si="0">MIN(C7,D7)</f>
        <v>303.33040062722074</v>
      </c>
      <c r="F7" s="156">
        <f t="shared" ref="F7:F15" ca="1" si="1">E7*B7</f>
        <v>251.61256732027957</v>
      </c>
      <c r="G7" s="156">
        <f ca="1">F7*(100%-'Données projet'!$C$24)*(100%-'Données projet'!$C$25)*(100%-'Données projet'!$C$26)*(100%-'Données projet'!$C$27)</f>
        <v>203.80617952942646</v>
      </c>
      <c r="H7" s="164">
        <f>IF(OR('Données projet'!B10="",'Données projet'!C10="",'Données projet'!C10=0%),0,AVERAGE(Calculateur!$AX$3:$AX$33)*B7)</f>
        <v>10.365902671121727</v>
      </c>
      <c r="I7" s="158">
        <f>H7*(100%-'Données projet'!$C$24)*(100%-'Données projet'!$C$25)*(100%-'Données projet'!$C$26)*(100%-'Données projet'!$C$27)</f>
        <v>8.3963811636085985</v>
      </c>
      <c r="J7" s="159">
        <f>IF(OR('Données projet'!B10="",'Données projet'!C10="",'Données projet'!C10=0%),0,SUM(Calculateur!$AQ$3:$AQ$33)*VLOOKUP('Données projet'!$B$10,Paramètres!$A$1:$I$89,9,0)*B7)</f>
        <v>38.779124999999993</v>
      </c>
      <c r="K7" s="160">
        <f>J7*(100%-'Données projet'!$C$24)*(100%-'Données projet'!$C$25)*(100%-'Données projet'!$C$26)*(100%-'Données projet'!$C$27)</f>
        <v>31.411091249999995</v>
      </c>
      <c r="L7" s="161">
        <f t="shared" ref="L7:L15" ca="1" si="2">G7+I7+K7</f>
        <v>243.61365194303505</v>
      </c>
      <c r="M7" s="25">
        <f ca="1">L7/B7</f>
        <v>293.6873441145691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0.45500000000000002</v>
      </c>
      <c r="C8" s="156">
        <f ca="1">IF(OR('Données projet'!B11="",'Données projet'!C11="",'Données projet'!C11=0%),0,Calculateur!BI3)</f>
        <v>317.54276561627643</v>
      </c>
      <c r="D8" s="156">
        <f>IF(OR('Données projet'!B11="",'Données projet'!C11="",'Données projet'!C11=0%),0,Calculateur!BJ3)</f>
        <v>238.92443174298893</v>
      </c>
      <c r="E8" s="156">
        <f t="shared" ca="1" si="0"/>
        <v>238.92443174298893</v>
      </c>
      <c r="F8" s="156">
        <f t="shared" ca="1" si="1"/>
        <v>108.71061644305996</v>
      </c>
      <c r="G8" s="156">
        <f ca="1">F8*(100%-'Données projet'!$C$24)*(100%-'Données projet'!$C$25)*(100%-'Données projet'!$C$26)*(100%-'Données projet'!$C$27)</f>
        <v>88.055599318878578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88.055599318878578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Erable champêtre</v>
      </c>
      <c r="B9" s="163">
        <f>'Données projet'!D12</f>
        <v>0.35000000000000003</v>
      </c>
      <c r="C9" s="156">
        <f ca="1">IF(OR('Données projet'!B12="",'Données projet'!C12="",'Données projet'!C12=0%),0,Calculateur!CD3)</f>
        <v>195.30963433439501</v>
      </c>
      <c r="D9" s="156">
        <f>IF(OR('Données projet'!B12="",'Données projet'!C12="",'Données projet'!C12=0%),0,Calculateur!CE3)</f>
        <v>185.00219255324504</v>
      </c>
      <c r="E9" s="156">
        <f t="shared" ca="1" si="0"/>
        <v>185.00219255324504</v>
      </c>
      <c r="F9" s="156">
        <f t="shared" ca="1" si="1"/>
        <v>64.750767393635769</v>
      </c>
      <c r="G9" s="156">
        <f ca="1">F9*(100%-'Données projet'!$C$24)*(100%-'Données projet'!$C$25)*(100%-'Données projet'!$C$26)*(100%-'Données projet'!$C$27)</f>
        <v>52.448121588844977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2.7125000000000004</v>
      </c>
      <c r="K9" s="160">
        <f>J9*(100%-'Données projet'!$C$24)*(100%-'Données projet'!$C$25)*(100%-'Données projet'!$C$26)*(100%-'Données projet'!$C$27)</f>
        <v>2.1971250000000007</v>
      </c>
      <c r="L9" s="161">
        <f t="shared" ca="1" si="2"/>
        <v>54.645246588844977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Charme</v>
      </c>
      <c r="B10" s="163">
        <f>'Données projet'!D13</f>
        <v>0.315</v>
      </c>
      <c r="C10" s="156">
        <f ca="1">IF(OR('Données projet'!B13="",'Données projet'!C13="",'Données projet'!C13=0%),0,Calculateur!CY3)</f>
        <v>293.996396026019</v>
      </c>
      <c r="D10" s="156">
        <f>IF(OR('Données projet'!B13="",'Données projet'!C13="",'Données projet'!C13=0%),0,Calculateur!CZ3)</f>
        <v>152.23954167722536</v>
      </c>
      <c r="E10" s="156">
        <f t="shared" ca="1" si="0"/>
        <v>152.23954167722536</v>
      </c>
      <c r="F10" s="156">
        <f t="shared" ca="1" si="1"/>
        <v>47.955455628325986</v>
      </c>
      <c r="G10" s="156">
        <f ca="1">F10*(100%-'Données projet'!$C$24)*(100%-'Données projet'!$C$25)*(100%-'Données projet'!$C$26)*(100%-'Données projet'!$C$27)</f>
        <v>38.843919058944046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ca="1" si="2"/>
        <v>38.843919058944046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776.63131359474357</v>
      </c>
      <c r="G16" s="175">
        <f t="shared" ca="1" si="3"/>
        <v>629.07136401174228</v>
      </c>
      <c r="H16" s="176">
        <f t="shared" si="3"/>
        <v>25.066184837063414</v>
      </c>
      <c r="I16" s="176">
        <f t="shared" si="3"/>
        <v>20.303609718021367</v>
      </c>
      <c r="J16" s="177">
        <f t="shared" si="3"/>
        <v>151.26702499999999</v>
      </c>
      <c r="K16" s="177">
        <f t="shared" si="3"/>
        <v>122.52629025</v>
      </c>
      <c r="L16" s="178">
        <f t="shared" ca="1" si="3"/>
        <v>771.9012639797636</v>
      </c>
      <c r="M16" s="25">
        <f ca="1">L16/6.42</f>
        <v>120.2338417413962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Erable champêtre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Charme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90" zoomScaleNormal="90" workbookViewId="0">
      <selection activeCell="M31" sqref="M3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1166.0605868520543</v>
      </c>
      <c r="U10" s="190">
        <f>'Données projet'!D9</f>
        <v>1.5505</v>
      </c>
      <c r="V10" s="189">
        <f>U10*T10</f>
        <v>1807.9769399141101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2833.8524674465871</v>
      </c>
      <c r="U11" s="190">
        <f>'Données projet'!D10</f>
        <v>0.8294999999999999</v>
      </c>
      <c r="V11" s="189">
        <f t="shared" ref="V11" si="0">U11*T11</f>
        <v>2350.6806217469439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1460.136815747597</v>
      </c>
      <c r="U12" s="190">
        <f>'Données projet'!D11</f>
        <v>0.45500000000000002</v>
      </c>
      <c r="V12" s="189">
        <f t="shared" ref="V12:V19" si="1">U12*T12</f>
        <v>664.36225116515664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champêtre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786.81644723037925</v>
      </c>
      <c r="U13" s="190">
        <f>'Données projet'!D12</f>
        <v>0.35000000000000003</v>
      </c>
      <c r="V13" s="189">
        <f t="shared" si="1"/>
        <v>275.38575653063276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Charme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609.2796465409341</v>
      </c>
      <c r="U14" s="190">
        <f>'Données projet'!D13</f>
        <v>0.315</v>
      </c>
      <c r="V14" s="189">
        <f t="shared" si="1"/>
        <v>191.92308866039423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(4260+9015)/3.55</f>
        <v>3739.4366197183099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3656/3.55</f>
        <v>1029.8591549295775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 t="shared" ref="I22:I23" si="2">3656/3.55</f>
        <v>1029.8591549295775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63">
        <v>15</v>
      </c>
      <c r="D23" s="194">
        <f>B23*C23</f>
        <v>420</v>
      </c>
      <c r="E23" s="206"/>
      <c r="F23" s="261"/>
      <c r="H23" s="203">
        <v>3</v>
      </c>
      <c r="I23" s="204">
        <f t="shared" si="2"/>
        <v>1029.8591549295775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-21323.984255489813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63">
        <v>20</v>
      </c>
      <c r="D24" s="194">
        <f t="shared" ref="D24:D42" si="3">B24*C24</f>
        <v>800</v>
      </c>
      <c r="E24" s="206"/>
      <c r="F24" s="264"/>
      <c r="H24" s="203">
        <v>4</v>
      </c>
      <c r="I24" s="204">
        <f>2236/3.55</f>
        <v>629.85915492957747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53">
        <v>30</v>
      </c>
      <c r="D25" s="194">
        <f t="shared" si="3"/>
        <v>1560</v>
      </c>
      <c r="E25" s="206"/>
      <c r="F25" s="264"/>
      <c r="G25" s="1"/>
      <c r="H25" s="203">
        <v>5</v>
      </c>
      <c r="I25" s="204">
        <f>2236/3.55</f>
        <v>629.85915492957747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-21323.984255489813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53">
        <v>35</v>
      </c>
      <c r="D26" s="194">
        <f t="shared" si="3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06"/>
      <c r="D27" s="194">
        <f t="shared" si="3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3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3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3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3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3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3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3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3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3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3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3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3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3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3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3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15</v>
      </c>
      <c r="B54" s="193">
        <f>'Données projet'!D62</f>
        <v>34</v>
      </c>
      <c r="C54" s="292">
        <v>5</v>
      </c>
      <c r="D54" s="191">
        <f>B54*C54</f>
        <v>170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20</v>
      </c>
      <c r="B55" s="193">
        <f>'Données projet'!D63</f>
        <v>50</v>
      </c>
      <c r="C55" s="292">
        <v>7</v>
      </c>
      <c r="D55" s="191">
        <f t="shared" ref="D55:D73" si="5">B55*C55</f>
        <v>350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25</v>
      </c>
      <c r="B56" s="193">
        <f>'Données projet'!D64</f>
        <v>52</v>
      </c>
      <c r="C56" s="292">
        <v>9</v>
      </c>
      <c r="D56" s="191">
        <f t="shared" si="5"/>
        <v>468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51</v>
      </c>
      <c r="C57" s="292">
        <v>14</v>
      </c>
      <c r="D57" s="191">
        <f t="shared" si="5"/>
        <v>714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35</v>
      </c>
      <c r="B58" s="193">
        <f>'Données projet'!D66</f>
        <v>49</v>
      </c>
      <c r="C58" s="292">
        <v>14</v>
      </c>
      <c r="D58" s="191">
        <f t="shared" si="5"/>
        <v>686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40</v>
      </c>
      <c r="B59" s="193">
        <f>'Données projet'!D67</f>
        <v>45</v>
      </c>
      <c r="C59" s="292">
        <v>20</v>
      </c>
      <c r="D59" s="191">
        <f t="shared" si="5"/>
        <v>900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45</v>
      </c>
      <c r="B60" s="193">
        <f>'Données projet'!D68</f>
        <v>41</v>
      </c>
      <c r="C60" s="292">
        <v>25</v>
      </c>
      <c r="D60" s="191">
        <f t="shared" si="5"/>
        <v>1025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50</v>
      </c>
      <c r="B61" s="193">
        <f>'Données projet'!D69</f>
        <v>37</v>
      </c>
      <c r="C61" s="292">
        <v>30</v>
      </c>
      <c r="D61" s="191">
        <f t="shared" si="5"/>
        <v>1110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55</v>
      </c>
      <c r="B62" s="193">
        <f>'Données projet'!D70</f>
        <v>258</v>
      </c>
      <c r="C62" s="292">
        <v>80</v>
      </c>
      <c r="D62" s="191">
        <f t="shared" si="5"/>
        <v>20640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5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5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5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6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5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6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5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6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5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6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5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6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5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6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5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6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5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6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5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6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6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6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6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6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6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6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6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6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6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6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6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6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35</v>
      </c>
      <c r="B86" s="193">
        <f>'Données projet'!D89</f>
        <v>0</v>
      </c>
      <c r="C86" s="204"/>
      <c r="D86" s="191">
        <f t="shared" ref="D86:D104" si="7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6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42</v>
      </c>
      <c r="B87" s="193">
        <f>'Données projet'!D90</f>
        <v>182</v>
      </c>
      <c r="C87" s="204">
        <v>15</v>
      </c>
      <c r="D87" s="191">
        <f t="shared" si="7"/>
        <v>2730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6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43</v>
      </c>
      <c r="B88" s="193">
        <f>'Données projet'!D91</f>
        <v>0</v>
      </c>
      <c r="C88" s="204"/>
      <c r="D88" s="191">
        <f t="shared" si="7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6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49</v>
      </c>
      <c r="B89" s="193">
        <f>'Données projet'!D92</f>
        <v>100</v>
      </c>
      <c r="C89" s="204">
        <v>18</v>
      </c>
      <c r="D89" s="191">
        <f t="shared" si="7"/>
        <v>1800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6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0</v>
      </c>
      <c r="C90" s="204"/>
      <c r="D90" s="191">
        <f t="shared" si="7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6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56</v>
      </c>
      <c r="B91" s="193">
        <f>'Données projet'!D94</f>
        <v>79</v>
      </c>
      <c r="C91" s="204">
        <v>20</v>
      </c>
      <c r="D91" s="191">
        <f t="shared" si="7"/>
        <v>1580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6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57</v>
      </c>
      <c r="B92" s="193">
        <f>'Données projet'!D95</f>
        <v>0</v>
      </c>
      <c r="C92" s="204"/>
      <c r="D92" s="191">
        <f t="shared" si="7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6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63</v>
      </c>
      <c r="B93" s="193">
        <f>'Données projet'!D96</f>
        <v>79</v>
      </c>
      <c r="C93" s="204">
        <v>20</v>
      </c>
      <c r="D93" s="191">
        <f t="shared" si="7"/>
        <v>1580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6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64</v>
      </c>
      <c r="B94" s="193">
        <f>'Données projet'!D97</f>
        <v>0</v>
      </c>
      <c r="C94" s="204"/>
      <c r="D94" s="191">
        <f t="shared" si="7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6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71</v>
      </c>
      <c r="B95" s="193">
        <f>'Données projet'!D98</f>
        <v>91</v>
      </c>
      <c r="C95" s="204">
        <v>25</v>
      </c>
      <c r="D95" s="191">
        <f t="shared" si="7"/>
        <v>2275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6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72</v>
      </c>
      <c r="B96" s="193">
        <f>'Données projet'!D99</f>
        <v>0</v>
      </c>
      <c r="C96" s="204"/>
      <c r="D96" s="191">
        <f t="shared" si="7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6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79</v>
      </c>
      <c r="B97" s="193">
        <f>'Données projet'!D100</f>
        <v>88</v>
      </c>
      <c r="C97" s="204">
        <v>30</v>
      </c>
      <c r="D97" s="191">
        <f t="shared" si="7"/>
        <v>2640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8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0</v>
      </c>
      <c r="C98" s="204"/>
      <c r="D98" s="191">
        <f t="shared" si="7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8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87</v>
      </c>
      <c r="B99" s="193">
        <f>'Données projet'!D102</f>
        <v>89</v>
      </c>
      <c r="C99" s="204">
        <v>35</v>
      </c>
      <c r="D99" s="191">
        <f t="shared" si="7"/>
        <v>3115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8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88</v>
      </c>
      <c r="B100" s="193">
        <f>'Données projet'!D103</f>
        <v>0</v>
      </c>
      <c r="C100" s="204"/>
      <c r="D100" s="191">
        <f t="shared" si="7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8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94</v>
      </c>
      <c r="B101" s="193">
        <f>'Données projet'!D104</f>
        <v>0</v>
      </c>
      <c r="C101" s="204"/>
      <c r="D101" s="191">
        <f t="shared" si="7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8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95</v>
      </c>
      <c r="B102" s="193">
        <f>'Données projet'!D105</f>
        <v>269</v>
      </c>
      <c r="C102" s="204">
        <v>40</v>
      </c>
      <c r="D102" s="191">
        <f t="shared" si="7"/>
        <v>10760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8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96</v>
      </c>
      <c r="B103" s="193">
        <f>'Données projet'!D106</f>
        <v>0</v>
      </c>
      <c r="C103" s="204"/>
      <c r="D103" s="191">
        <f t="shared" si="7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8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105</v>
      </c>
      <c r="B104" s="193">
        <f>'Données projet'!D107</f>
        <v>357</v>
      </c>
      <c r="C104" s="204">
        <v>50</v>
      </c>
      <c r="D104" s="191">
        <f t="shared" si="7"/>
        <v>17850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8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8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8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Erable champêtre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8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8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8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8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8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8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8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8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8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3</v>
      </c>
      <c r="C116" s="204">
        <v>8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8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14</v>
      </c>
      <c r="C117" s="204">
        <v>15</v>
      </c>
      <c r="D117" s="191">
        <f t="shared" ref="D117:D135" si="9">B117*C117</f>
        <v>210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8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14</v>
      </c>
      <c r="C118" s="204">
        <v>20</v>
      </c>
      <c r="D118" s="191">
        <f t="shared" si="9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8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14</v>
      </c>
      <c r="C119" s="204">
        <v>25</v>
      </c>
      <c r="D119" s="191">
        <f t="shared" si="9"/>
        <v>350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8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14</v>
      </c>
      <c r="C120" s="204">
        <v>25</v>
      </c>
      <c r="D120" s="191">
        <f t="shared" si="9"/>
        <v>350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8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14</v>
      </c>
      <c r="C121" s="204">
        <v>25</v>
      </c>
      <c r="D121" s="191">
        <f t="shared" si="9"/>
        <v>350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8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11</v>
      </c>
      <c r="C122" s="204">
        <v>30</v>
      </c>
      <c r="D122" s="191">
        <f t="shared" si="9"/>
        <v>330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8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9</v>
      </c>
      <c r="C123" s="204">
        <v>35</v>
      </c>
      <c r="D123" s="191">
        <f t="shared" si="9"/>
        <v>315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8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7</v>
      </c>
      <c r="C124" s="204">
        <v>40</v>
      </c>
      <c r="D124" s="191">
        <f t="shared" si="9"/>
        <v>280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8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65</v>
      </c>
      <c r="B125" s="193">
        <f>'Données projet'!D123</f>
        <v>6</v>
      </c>
      <c r="C125" s="204">
        <v>45</v>
      </c>
      <c r="D125" s="191">
        <f t="shared" si="9"/>
        <v>270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8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70</v>
      </c>
      <c r="B126" s="193">
        <f>'Données projet'!D124</f>
        <v>5</v>
      </c>
      <c r="C126" s="204">
        <v>48</v>
      </c>
      <c r="D126" s="191">
        <f t="shared" si="9"/>
        <v>240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8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75</v>
      </c>
      <c r="B127" s="193">
        <f>'Données projet'!D125</f>
        <v>4</v>
      </c>
      <c r="C127" s="204">
        <v>60</v>
      </c>
      <c r="D127" s="191">
        <f t="shared" si="9"/>
        <v>240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8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80</v>
      </c>
      <c r="B128" s="193">
        <f>'Données projet'!D126</f>
        <v>159</v>
      </c>
      <c r="C128" s="204">
        <v>70</v>
      </c>
      <c r="D128" s="191">
        <f t="shared" si="9"/>
        <v>11130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8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9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0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9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0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9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0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9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0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9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9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9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Charme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87">
        <f>'Données projet'!D141</f>
        <v>0</v>
      </c>
      <c r="C148" s="204"/>
      <c r="D148" s="194">
        <f t="shared" ref="D148:D166" si="11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35</v>
      </c>
      <c r="B149" s="187">
        <f>'Données projet'!D142</f>
        <v>13</v>
      </c>
      <c r="C149" s="204">
        <v>15</v>
      </c>
      <c r="D149" s="194">
        <f t="shared" si="11"/>
        <v>195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40</v>
      </c>
      <c r="B150" s="187">
        <f>'Données projet'!D143</f>
        <v>14</v>
      </c>
      <c r="C150" s="204">
        <v>25</v>
      </c>
      <c r="D150" s="194">
        <f t="shared" si="11"/>
        <v>350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45</v>
      </c>
      <c r="B151" s="187">
        <f>'Données projet'!D144</f>
        <v>14</v>
      </c>
      <c r="C151" s="204">
        <v>30</v>
      </c>
      <c r="D151" s="194">
        <f t="shared" si="11"/>
        <v>420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50</v>
      </c>
      <c r="B152" s="187">
        <f>'Données projet'!D145</f>
        <v>14</v>
      </c>
      <c r="C152" s="204">
        <v>35</v>
      </c>
      <c r="D152" s="194">
        <f t="shared" si="11"/>
        <v>490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55</v>
      </c>
      <c r="B153" s="187">
        <f>'Données projet'!D146</f>
        <v>14</v>
      </c>
      <c r="C153" s="204">
        <v>40</v>
      </c>
      <c r="D153" s="194">
        <f t="shared" si="11"/>
        <v>560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7">
        <f>'Données projet'!D147</f>
        <v>14</v>
      </c>
      <c r="C154" s="204">
        <v>45</v>
      </c>
      <c r="D154" s="194">
        <f t="shared" si="11"/>
        <v>630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65</v>
      </c>
      <c r="B155" s="187">
        <f>'Données projet'!D148</f>
        <v>14</v>
      </c>
      <c r="C155" s="204">
        <v>50</v>
      </c>
      <c r="D155" s="194">
        <f t="shared" si="11"/>
        <v>700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70</v>
      </c>
      <c r="B156" s="187">
        <f>'Données projet'!D149</f>
        <v>14</v>
      </c>
      <c r="C156" s="204">
        <v>50</v>
      </c>
      <c r="D156" s="194">
        <f t="shared" si="11"/>
        <v>700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75</v>
      </c>
      <c r="B157" s="187">
        <f>'Données projet'!D150</f>
        <v>14</v>
      </c>
      <c r="C157" s="204">
        <v>50</v>
      </c>
      <c r="D157" s="194">
        <f t="shared" si="11"/>
        <v>700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80</v>
      </c>
      <c r="B158" s="187">
        <f>'Données projet'!D151</f>
        <v>14</v>
      </c>
      <c r="C158" s="204">
        <v>60</v>
      </c>
      <c r="D158" s="194">
        <f t="shared" si="11"/>
        <v>840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85</v>
      </c>
      <c r="B159" s="187">
        <f>'Données projet'!D152</f>
        <v>14</v>
      </c>
      <c r="C159" s="204">
        <v>65</v>
      </c>
      <c r="D159" s="194">
        <f t="shared" si="11"/>
        <v>910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7">
        <f>'Données projet'!D153</f>
        <v>14</v>
      </c>
      <c r="C160" s="204">
        <v>65</v>
      </c>
      <c r="D160" s="194">
        <f t="shared" si="11"/>
        <v>910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95</v>
      </c>
      <c r="B161" s="187">
        <f>'Données projet'!D154</f>
        <v>14</v>
      </c>
      <c r="C161" s="204">
        <v>65</v>
      </c>
      <c r="D161" s="194">
        <f t="shared" si="11"/>
        <v>910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100</v>
      </c>
      <c r="B162" s="187">
        <f>'Données projet'!D155</f>
        <v>13</v>
      </c>
      <c r="C162" s="204">
        <v>70</v>
      </c>
      <c r="D162" s="194">
        <f t="shared" si="11"/>
        <v>910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105</v>
      </c>
      <c r="B163" s="187">
        <f>'Données projet'!D156</f>
        <v>13</v>
      </c>
      <c r="C163" s="204">
        <v>75</v>
      </c>
      <c r="D163" s="194">
        <f t="shared" si="11"/>
        <v>975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110</v>
      </c>
      <c r="B164" s="187">
        <f>'Données projet'!D157</f>
        <v>13</v>
      </c>
      <c r="C164" s="204">
        <v>75</v>
      </c>
      <c r="D164" s="194">
        <f t="shared" si="11"/>
        <v>975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115</v>
      </c>
      <c r="B165" s="187">
        <f>'Données projet'!D158</f>
        <v>13</v>
      </c>
      <c r="C165" s="204">
        <v>75</v>
      </c>
      <c r="D165" s="194">
        <f t="shared" si="11"/>
        <v>975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87">
        <f>'Données projet'!D159</f>
        <v>222</v>
      </c>
      <c r="C166" s="204">
        <v>80</v>
      </c>
      <c r="D166" s="194">
        <f t="shared" si="11"/>
        <v>17760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2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2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2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2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2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2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2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2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2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2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2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2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2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2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2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2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2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2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2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3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3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3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3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3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3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3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3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3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3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3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3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3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3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3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3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3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3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3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4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4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4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4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4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4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4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4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4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4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4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4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4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4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4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4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4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4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4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5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5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5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5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5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5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5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5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5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5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5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5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5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5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5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5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5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5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5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6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6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6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6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6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6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6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6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6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6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6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6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6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6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6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6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6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6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6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2025-02-26T15:15:16Z</dcterms:modified>
</cp:coreProperties>
</file>