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GRAND OUEST (PB)/2LABO-124/Dossier octobre 2024/"/>
    </mc:Choice>
  </mc:AlternateContent>
  <xr:revisionPtr revIDLastSave="114" documentId="8_{C7EB3746-4BDF-4178-8D69-640AD997C4FF}" xr6:coauthVersionLast="47" xr6:coauthVersionMax="47" xr10:uidLastSave="{5FD54A39-C65D-42A1-B733-6B16E871D892}"/>
  <bookViews>
    <workbookView xWindow="-120" yWindow="-163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6" l="1"/>
  <c r="E48" i="6"/>
  <c r="E79" i="6"/>
  <c r="E81" i="6"/>
  <c r="E50" i="6"/>
  <c r="E82" i="6"/>
  <c r="E80" i="6"/>
  <c r="E51" i="6"/>
  <c r="E49" i="6"/>
  <c r="E19" i="6"/>
  <c r="E18" i="6"/>
  <c r="E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0" i="6" l="1"/>
  <c r="I24" i="6"/>
  <c r="I22" i="6"/>
  <c r="U30" i="6"/>
  <c r="V10" i="6"/>
  <c r="P67" i="6"/>
  <c r="H19" i="2"/>
  <c r="D20" i="2"/>
  <c r="G20" i="2" s="1"/>
  <c r="P40" i="6"/>
  <c r="U31" i="6" l="1"/>
  <c r="U33" i="6" s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R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C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EX156" i="2"/>
  <c r="FS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A161" i="2"/>
  <c r="HH161" i="2"/>
  <c r="AB161" i="2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G163" i="2"/>
  <c r="HH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EX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EB168" i="2"/>
  <c r="EW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G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EB179" i="2"/>
  <c r="HH179" i="2"/>
  <c r="EV179" i="2"/>
  <c r="EY179" i="2" s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HH186" i="2"/>
  <c r="EA186" i="2"/>
  <c r="FS186" i="2"/>
  <c r="ED185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HH190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FQ194" i="2"/>
  <c r="HG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EA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EA201" i="2" l="1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DN187" i="2" a="1"/>
  <c r="DN187" i="2" s="1"/>
  <c r="HJ202" i="2"/>
  <c r="EY202" i="2"/>
  <c r="AX200" i="2"/>
  <c r="AH62" i="2" l="1" a="1"/>
  <c r="AH62" i="2" s="1"/>
  <c r="AH151" i="2" a="1"/>
  <c r="AH151" i="2" s="1"/>
  <c r="AH90" i="2" a="1"/>
  <c r="AH90" i="2" s="1"/>
  <c r="BX107" i="2" a="1"/>
  <c r="BX107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CD36" i="2" l="1"/>
  <c r="CD157" i="2"/>
  <c r="CD134" i="2"/>
  <c r="CD96" i="2"/>
  <c r="CD107" i="2"/>
  <c r="CD60" i="2"/>
  <c r="CD105" i="2"/>
  <c r="CD190" i="2"/>
  <c r="CD65" i="2"/>
  <c r="CD152" i="2"/>
  <c r="CD103" i="2"/>
  <c r="CD159" i="2"/>
  <c r="CD124" i="2"/>
  <c r="CD54" i="2"/>
  <c r="CD66" i="2"/>
  <c r="CD155" i="2"/>
  <c r="CD177" i="2"/>
  <c r="CD45" i="2"/>
  <c r="CD151" i="2"/>
  <c r="CD78" i="2"/>
  <c r="CD67" i="2"/>
  <c r="CD47" i="2"/>
  <c r="CD29" i="2"/>
  <c r="CD48" i="2"/>
  <c r="CD35" i="2"/>
  <c r="CD44" i="2"/>
  <c r="CD62" i="2"/>
  <c r="CD183" i="2"/>
  <c r="CD46" i="2"/>
  <c r="CD8" i="2"/>
  <c r="CD20" i="2"/>
  <c r="CD187" i="2"/>
  <c r="CD173" i="2"/>
  <c r="CD143" i="2"/>
  <c r="CD170" i="2"/>
  <c r="CD132" i="2"/>
  <c r="CD23" i="2"/>
  <c r="CD112" i="2"/>
  <c r="CD58" i="2"/>
  <c r="CD194" i="2"/>
  <c r="CD150" i="2"/>
  <c r="CD156" i="2"/>
  <c r="CD68" i="2"/>
  <c r="CD42" i="2"/>
  <c r="CD161" i="2"/>
  <c r="CD160" i="2"/>
  <c r="CD117" i="2"/>
  <c r="CD171" i="2"/>
  <c r="CD120" i="2"/>
  <c r="CD180" i="2"/>
  <c r="CD201" i="2"/>
  <c r="CD136" i="2"/>
  <c r="CD95" i="2"/>
  <c r="CD30" i="2"/>
  <c r="CD158" i="2"/>
  <c r="CD122" i="2"/>
  <c r="CD153" i="2"/>
  <c r="CD63" i="2"/>
  <c r="CD189" i="2"/>
  <c r="CD24" i="2"/>
  <c r="CD37" i="2"/>
  <c r="CD21" i="2"/>
  <c r="CD9" i="2"/>
  <c r="CD198" i="2"/>
  <c r="CD141" i="2"/>
  <c r="CD98" i="2"/>
  <c r="CD109" i="2"/>
  <c r="CD142" i="2"/>
  <c r="CD185" i="2"/>
  <c r="CD131" i="2"/>
  <c r="CD140" i="2"/>
  <c r="CD81" i="2"/>
  <c r="CD70" i="2"/>
  <c r="CD27" i="2"/>
  <c r="CD186" i="2"/>
  <c r="CD166" i="2"/>
  <c r="CD53" i="2"/>
  <c r="CD59" i="2"/>
  <c r="CD25" i="2"/>
  <c r="CD114" i="2"/>
  <c r="CD71" i="2"/>
  <c r="CD106" i="2"/>
  <c r="CD87" i="2"/>
  <c r="CD162" i="2"/>
  <c r="CD196" i="2"/>
  <c r="CD61" i="2"/>
  <c r="CD32" i="2"/>
  <c r="CD26" i="2"/>
  <c r="CD154" i="2"/>
  <c r="CD72" i="2"/>
  <c r="CD102" i="2"/>
  <c r="CD100" i="2"/>
  <c r="CD73" i="2"/>
  <c r="CD184" i="2"/>
  <c r="CD108" i="2"/>
  <c r="CD148" i="2"/>
  <c r="CD182" i="2"/>
  <c r="CD86" i="2"/>
  <c r="CD191" i="2"/>
  <c r="CD121" i="2"/>
  <c r="CD41" i="2"/>
  <c r="CD165" i="2"/>
  <c r="CD176" i="2"/>
  <c r="CD34" i="2"/>
  <c r="CD33" i="2"/>
  <c r="CD127" i="2"/>
  <c r="CD139" i="2"/>
  <c r="CD13" i="2"/>
  <c r="CD193" i="2"/>
  <c r="CD64" i="2"/>
  <c r="CD69" i="2"/>
  <c r="CD188" i="2"/>
  <c r="CD43" i="2"/>
  <c r="CD75" i="2"/>
  <c r="CD56" i="2"/>
  <c r="CD178" i="2"/>
  <c r="CD192" i="2"/>
  <c r="CD116" i="2"/>
  <c r="CD55" i="2"/>
  <c r="CD104" i="2"/>
  <c r="CD200" i="2"/>
  <c r="CD203" i="2"/>
  <c r="CD179" i="2"/>
  <c r="CD4" i="2"/>
  <c r="CD7" i="2"/>
  <c r="CD77" i="2"/>
  <c r="CD197" i="2"/>
  <c r="CD133" i="2"/>
  <c r="CD51" i="2"/>
  <c r="CD17" i="2"/>
  <c r="CD172" i="2"/>
  <c r="CD6" i="2"/>
  <c r="CD202" i="2"/>
  <c r="CD125" i="2"/>
  <c r="CD80" i="2"/>
  <c r="CD82" i="2"/>
  <c r="CD15" i="2"/>
  <c r="CD22" i="2"/>
  <c r="CD138" i="2"/>
  <c r="CD14" i="2"/>
  <c r="CD169" i="2"/>
  <c r="CD118" i="2"/>
  <c r="CD18" i="2"/>
  <c r="CD164" i="2"/>
  <c r="CD52" i="2"/>
  <c r="CD28" i="2"/>
  <c r="CD76" i="2"/>
  <c r="CD163" i="2"/>
  <c r="CD167" i="2"/>
  <c r="CD39" i="2"/>
  <c r="CD145" i="2"/>
  <c r="CD126" i="2"/>
  <c r="CD115" i="2"/>
  <c r="CD19" i="2"/>
  <c r="CD129" i="2"/>
  <c r="CD88" i="2"/>
  <c r="CD97" i="2"/>
  <c r="CD57" i="2"/>
  <c r="CD50" i="2"/>
  <c r="CD85" i="2"/>
  <c r="CD199" i="2"/>
  <c r="CD49" i="2"/>
  <c r="CD74" i="2"/>
  <c r="CD130" i="2"/>
  <c r="CD31" i="2"/>
  <c r="CD90" i="2"/>
  <c r="CD123" i="2"/>
  <c r="CD137" i="2"/>
  <c r="CD92" i="2"/>
  <c r="CD10" i="2"/>
  <c r="CD128" i="2"/>
  <c r="CD83" i="2"/>
  <c r="CD144" i="2"/>
  <c r="CD111" i="2"/>
  <c r="CD119" i="2"/>
  <c r="CD3" i="2"/>
  <c r="C9" i="4" s="1"/>
  <c r="E9" i="4" s="1"/>
  <c r="F9" i="4" s="1"/>
  <c r="G9" i="4" s="1"/>
  <c r="L9" i="4" s="1"/>
  <c r="CD40" i="2"/>
  <c r="CD147" i="2"/>
  <c r="CD91" i="2"/>
  <c r="CD38" i="2"/>
  <c r="CD113" i="2"/>
  <c r="CD195" i="2"/>
  <c r="CD168" i="2"/>
  <c r="CD16" i="2"/>
  <c r="CD174" i="2"/>
  <c r="CD79" i="2"/>
  <c r="CD110" i="2"/>
  <c r="CD89" i="2"/>
  <c r="CD12" i="2"/>
  <c r="CD101" i="2"/>
  <c r="CD11" i="2"/>
  <c r="CD84" i="2"/>
  <c r="CD146" i="2"/>
  <c r="CD175" i="2"/>
  <c r="CD93" i="2"/>
  <c r="CD99" i="2"/>
  <c r="CD149" i="2"/>
  <c r="CD5" i="2"/>
  <c r="CD181" i="2"/>
  <c r="CD94" i="2"/>
  <c r="CD135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133" i="2"/>
  <c r="AN54" i="2"/>
  <c r="AN134" i="2"/>
  <c r="AN20" i="2"/>
  <c r="AN22" i="2"/>
  <c r="AN188" i="2"/>
  <c r="AN55" i="2"/>
  <c r="AN149" i="2"/>
  <c r="AN102" i="2"/>
  <c r="AN35" i="2"/>
  <c r="AN177" i="2"/>
  <c r="AN190" i="2"/>
  <c r="AN187" i="2"/>
  <c r="AN160" i="2"/>
  <c r="AN147" i="2"/>
  <c r="AN90" i="2"/>
  <c r="AN75" i="2"/>
  <c r="AN140" i="2"/>
  <c r="AN203" i="2"/>
  <c r="AN135" i="2"/>
  <c r="AN74" i="2"/>
  <c r="AN95" i="2"/>
  <c r="AN125" i="2"/>
  <c r="AN14" i="2"/>
  <c r="AN151" i="2"/>
  <c r="AN155" i="2"/>
  <c r="AN182" i="2"/>
  <c r="AN116" i="2"/>
  <c r="AN123" i="2"/>
  <c r="AN118" i="2"/>
  <c r="AN144" i="2"/>
  <c r="AN120" i="2"/>
  <c r="AN156" i="2"/>
  <c r="AN143" i="2"/>
  <c r="AN61" i="2"/>
  <c r="AN40" i="2"/>
  <c r="AN178" i="2"/>
  <c r="AN97" i="2"/>
  <c r="AN18" i="2"/>
  <c r="AN191" i="2"/>
  <c r="AN42" i="2"/>
  <c r="AN43" i="2"/>
  <c r="AN105" i="2"/>
  <c r="AN158" i="2"/>
  <c r="AN41" i="2"/>
  <c r="AN127" i="2"/>
  <c r="AN33" i="2"/>
  <c r="AN180" i="2"/>
  <c r="AN87" i="2"/>
  <c r="AN48" i="2"/>
  <c r="AN110" i="2"/>
  <c r="AN51" i="2"/>
  <c r="AN57" i="2"/>
  <c r="AN98" i="2"/>
  <c r="AN19" i="2"/>
  <c r="AN13" i="2"/>
  <c r="AN179" i="2"/>
  <c r="AN108" i="2"/>
  <c r="AN91" i="2"/>
  <c r="AN183" i="2"/>
  <c r="AN92" i="2"/>
  <c r="AN107" i="2"/>
  <c r="AN59" i="2"/>
  <c r="AN132" i="2"/>
  <c r="AN79" i="2"/>
  <c r="AN68" i="2"/>
  <c r="AN83" i="2"/>
  <c r="AN165" i="2"/>
  <c r="AN26" i="2"/>
  <c r="AN76" i="2"/>
  <c r="AN11" i="2"/>
  <c r="AN73" i="2"/>
  <c r="AN29" i="2"/>
  <c r="AN119" i="2"/>
  <c r="AN168" i="2"/>
  <c r="AN46" i="2"/>
  <c r="AN170" i="2"/>
  <c r="AN9" i="2"/>
  <c r="AN28" i="2"/>
  <c r="AN201" i="2"/>
  <c r="AN111" i="2"/>
  <c r="AN154" i="2"/>
  <c r="AN31" i="2"/>
  <c r="AN94" i="2"/>
  <c r="AN138" i="2"/>
  <c r="AN65" i="2"/>
  <c r="AN5" i="2"/>
  <c r="AN142" i="2"/>
  <c r="AN195" i="2"/>
  <c r="AN10" i="2"/>
  <c r="AN36" i="2"/>
  <c r="AN115" i="2"/>
  <c r="AN85" i="2"/>
  <c r="AN164" i="2"/>
  <c r="AN80" i="2"/>
  <c r="AN131" i="2"/>
  <c r="AN32" i="2"/>
  <c r="AN146" i="2"/>
  <c r="AN44" i="2"/>
  <c r="AN163" i="2"/>
  <c r="AN89" i="2"/>
  <c r="AN150" i="2"/>
  <c r="AN6" i="2"/>
  <c r="AN60" i="2"/>
  <c r="AN69" i="2"/>
  <c r="AN38" i="2"/>
  <c r="AN173" i="2"/>
  <c r="AN106" i="2"/>
  <c r="AN126" i="2"/>
  <c r="AN159" i="2"/>
  <c r="AN104" i="2"/>
  <c r="AN67" i="2"/>
  <c r="AN199" i="2"/>
  <c r="AN70" i="2"/>
  <c r="AN198" i="2"/>
  <c r="AN145" i="2"/>
  <c r="AN194" i="2"/>
  <c r="AN184" i="2"/>
  <c r="AN153" i="2"/>
  <c r="AN167" i="2"/>
  <c r="AN186" i="2"/>
  <c r="AN117" i="2"/>
  <c r="AN64" i="2"/>
  <c r="AN25" i="2"/>
  <c r="AN66" i="2"/>
  <c r="AN103" i="2"/>
  <c r="AN72" i="2"/>
  <c r="AN152" i="2"/>
  <c r="AN78" i="2"/>
  <c r="AN71" i="2"/>
  <c r="AN88" i="2"/>
  <c r="AN112" i="2"/>
  <c r="AN56" i="2"/>
  <c r="AN7" i="2"/>
  <c r="AN12" i="2"/>
  <c r="AN16" i="2"/>
  <c r="AN53" i="2"/>
  <c r="AN82" i="2"/>
  <c r="AN175" i="2"/>
  <c r="AN47" i="2"/>
  <c r="AN101" i="2"/>
  <c r="AN86" i="2"/>
  <c r="AN196" i="2"/>
  <c r="AN181" i="2"/>
  <c r="AN34" i="2"/>
  <c r="AN50" i="2"/>
  <c r="AN141" i="2"/>
  <c r="AN45" i="2"/>
  <c r="AN58" i="2"/>
  <c r="AN139" i="2"/>
  <c r="AN30" i="2"/>
  <c r="AN176" i="2"/>
  <c r="AN113" i="2"/>
  <c r="AN81" i="2"/>
  <c r="AN77" i="2"/>
  <c r="AN130" i="2"/>
  <c r="AN122" i="2"/>
  <c r="AN128" i="2"/>
  <c r="AN185" i="2"/>
  <c r="AN137" i="2"/>
  <c r="AN37" i="2"/>
  <c r="AN39" i="2"/>
  <c r="AN8" i="2"/>
  <c r="AN49" i="2"/>
  <c r="AN171" i="2"/>
  <c r="AN24" i="2"/>
  <c r="AN193" i="2"/>
  <c r="AN148" i="2"/>
  <c r="AN189" i="2"/>
  <c r="AN4" i="2"/>
  <c r="AN129" i="2"/>
  <c r="AN166" i="2"/>
  <c r="AN99" i="2"/>
  <c r="AN109" i="2"/>
  <c r="AN52" i="2"/>
  <c r="AN121" i="2"/>
  <c r="AN157" i="2"/>
  <c r="AN96" i="2"/>
  <c r="AN17" i="2"/>
  <c r="AN21" i="2"/>
  <c r="AN202" i="2"/>
  <c r="AN200" i="2"/>
  <c r="AN124" i="2"/>
  <c r="AN3" i="2"/>
  <c r="C7" i="4" s="1"/>
  <c r="E7" i="4" s="1"/>
  <c r="F7" i="4" s="1"/>
  <c r="G7" i="4" s="1"/>
  <c r="L7" i="4" s="1"/>
  <c r="AN174" i="2"/>
  <c r="AN93" i="2"/>
  <c r="AN162" i="2"/>
  <c r="AN136" i="2"/>
  <c r="AN62" i="2"/>
  <c r="AN23" i="2"/>
  <c r="AN197" i="2"/>
  <c r="AN114" i="2"/>
  <c r="AN172" i="2"/>
  <c r="AN15" i="2"/>
  <c r="AN27" i="2"/>
  <c r="AN63" i="2"/>
  <c r="AN161" i="2"/>
  <c r="AN169" i="2"/>
  <c r="AN84" i="2"/>
  <c r="AN192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50" i="2"/>
  <c r="BI44" i="2"/>
  <c r="BI157" i="2"/>
  <c r="BI145" i="2"/>
  <c r="BI117" i="2"/>
  <c r="BI87" i="2"/>
  <c r="BI96" i="2"/>
  <c r="BI185" i="2"/>
  <c r="BI139" i="2"/>
  <c r="BI123" i="2"/>
  <c r="BI31" i="2"/>
  <c r="BI93" i="2"/>
  <c r="BI182" i="2"/>
  <c r="BI130" i="2"/>
  <c r="BI173" i="2"/>
  <c r="BI3" i="2"/>
  <c r="C8" i="4" s="1"/>
  <c r="E8" i="4" s="1"/>
  <c r="F8" i="4" s="1"/>
  <c r="G8" i="4" s="1"/>
  <c r="L8" i="4" s="1"/>
  <c r="BI151" i="2"/>
  <c r="BI107" i="2"/>
  <c r="BI75" i="2"/>
  <c r="BI164" i="2"/>
  <c r="BI197" i="2"/>
  <c r="BI8" i="2"/>
  <c r="BI35" i="2"/>
  <c r="BI80" i="2"/>
  <c r="BI48" i="2"/>
  <c r="BI58" i="2"/>
  <c r="BI79" i="2"/>
  <c r="BI94" i="2"/>
  <c r="BI170" i="2"/>
  <c r="BI70" i="2"/>
  <c r="BI162" i="2"/>
  <c r="BI61" i="2"/>
  <c r="BI15" i="2"/>
  <c r="BI101" i="2"/>
  <c r="BI161" i="2"/>
  <c r="BI195" i="2"/>
  <c r="BI192" i="2"/>
  <c r="BI86" i="2"/>
  <c r="BI99" i="2"/>
  <c r="BI190" i="2"/>
  <c r="BI191" i="2"/>
  <c r="BI110" i="2"/>
  <c r="BI41" i="2"/>
  <c r="BI181" i="2"/>
  <c r="BI184" i="2"/>
  <c r="BI17" i="2"/>
  <c r="BI135" i="2"/>
  <c r="BI144" i="2"/>
  <c r="BI91" i="2"/>
  <c r="BI171" i="2"/>
  <c r="BI54" i="2"/>
  <c r="BI148" i="2"/>
  <c r="BI64" i="2"/>
  <c r="BI187" i="2"/>
  <c r="BI12" i="2"/>
  <c r="BI115" i="2"/>
  <c r="BI46" i="2"/>
  <c r="BI23" i="2"/>
  <c r="BI159" i="2"/>
  <c r="BI69" i="2"/>
  <c r="BI166" i="2"/>
  <c r="BI100" i="2"/>
  <c r="BI176" i="2"/>
  <c r="BI183" i="2"/>
  <c r="BI156" i="2"/>
  <c r="BI56" i="2"/>
  <c r="BI84" i="2"/>
  <c r="BI95" i="2"/>
  <c r="BI132" i="2"/>
  <c r="BI72" i="2"/>
  <c r="BI50" i="2"/>
  <c r="BI122" i="2"/>
  <c r="BI16" i="2"/>
  <c r="BI140" i="2"/>
  <c r="BI167" i="2"/>
  <c r="BI9" i="2"/>
  <c r="BI40" i="2"/>
  <c r="BI108" i="2"/>
  <c r="BI57" i="2"/>
  <c r="BI137" i="2"/>
  <c r="BI52" i="2"/>
  <c r="BI89" i="2"/>
  <c r="BI34" i="2"/>
  <c r="BI66" i="2"/>
  <c r="BI82" i="2"/>
  <c r="BI98" i="2"/>
  <c r="BI106" i="2"/>
  <c r="BI112" i="2"/>
  <c r="BI196" i="2"/>
  <c r="BI55" i="2"/>
  <c r="BI102" i="2"/>
  <c r="BI45" i="2"/>
  <c r="BI200" i="2"/>
  <c r="BI172" i="2"/>
  <c r="BI78" i="2"/>
  <c r="BI152" i="2"/>
  <c r="BI158" i="2"/>
  <c r="BI175" i="2"/>
  <c r="BI194" i="2"/>
  <c r="BI138" i="2"/>
  <c r="BI28" i="2"/>
  <c r="BI203" i="2"/>
  <c r="BI27" i="2"/>
  <c r="BI193" i="2"/>
  <c r="BI85" i="2"/>
  <c r="BI109" i="2"/>
  <c r="BI59" i="2"/>
  <c r="BI163" i="2"/>
  <c r="BI142" i="2"/>
  <c r="BI149" i="2"/>
  <c r="BI174" i="2"/>
  <c r="BI38" i="2"/>
  <c r="BI169" i="2"/>
  <c r="BI26" i="2"/>
  <c r="BI11" i="2"/>
  <c r="BI30" i="2"/>
  <c r="BI134" i="2"/>
  <c r="BI6" i="2"/>
  <c r="BI136" i="2"/>
  <c r="BI133" i="2"/>
  <c r="BI51" i="2"/>
  <c r="BI126" i="2"/>
  <c r="BI63" i="2"/>
  <c r="BI201" i="2"/>
  <c r="BI76" i="2"/>
  <c r="BI105" i="2"/>
  <c r="BI90" i="2"/>
  <c r="BI68" i="2"/>
  <c r="BI42" i="2"/>
  <c r="BI7" i="2"/>
  <c r="BI67" i="2"/>
  <c r="BI188" i="2"/>
  <c r="BI19" i="2"/>
  <c r="BI165" i="2"/>
  <c r="BI120" i="2"/>
  <c r="BI124" i="2"/>
  <c r="BI21" i="2"/>
  <c r="BI103" i="2"/>
  <c r="BI49" i="2"/>
  <c r="BI202" i="2"/>
  <c r="BI154" i="2"/>
  <c r="BI77" i="2"/>
  <c r="BI60" i="2"/>
  <c r="BI179" i="2"/>
  <c r="BI141" i="2"/>
  <c r="BI121" i="2"/>
  <c r="BI32" i="2"/>
  <c r="BI13" i="2"/>
  <c r="BI43" i="2"/>
  <c r="BI146" i="2"/>
  <c r="BI155" i="2"/>
  <c r="BI180" i="2"/>
  <c r="BI125" i="2"/>
  <c r="BI198" i="2"/>
  <c r="BI143" i="2"/>
  <c r="BI147" i="2"/>
  <c r="BI25" i="2"/>
  <c r="BI189" i="2"/>
  <c r="BI119" i="2"/>
  <c r="BI22" i="2"/>
  <c r="BI177" i="2"/>
  <c r="BI160" i="2"/>
  <c r="BI39" i="2"/>
  <c r="BI129" i="2"/>
  <c r="BI4" i="2"/>
  <c r="BI65" i="2"/>
  <c r="BI104" i="2"/>
  <c r="BI18" i="2"/>
  <c r="BI168" i="2"/>
  <c r="BI10" i="2"/>
  <c r="BI128" i="2"/>
  <c r="BI37" i="2"/>
  <c r="BI186" i="2"/>
  <c r="BI199" i="2"/>
  <c r="BI81" i="2"/>
  <c r="BI29" i="2"/>
  <c r="BI71" i="2"/>
  <c r="BI127" i="2"/>
  <c r="BI24" i="2"/>
  <c r="BI111" i="2"/>
  <c r="BI153" i="2"/>
  <c r="BI73" i="2"/>
  <c r="BI178" i="2"/>
  <c r="BI74" i="2"/>
  <c r="BI116" i="2"/>
  <c r="BI113" i="2"/>
  <c r="BI118" i="2"/>
  <c r="BI5" i="2"/>
  <c r="BI62" i="2"/>
  <c r="BI88" i="2"/>
  <c r="BI53" i="2"/>
  <c r="BI131" i="2"/>
  <c r="BI36" i="2"/>
  <c r="BI33" i="2"/>
  <c r="BI14" i="2"/>
  <c r="BI83" i="2"/>
  <c r="BI92" i="2"/>
  <c r="BI114" i="2"/>
  <c r="BI97" i="2"/>
  <c r="BI2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tc={C32EC6C8-8172-4524-B1F5-428135A0CF39}</author>
    <author>tc={7FB3F135-E007-4C94-9835-D442EAC9290B}</author>
    <author>tc={65CA06CC-B099-4F4D-BA0C-74AEDD45123F}</author>
    <author>tc={1B8D35BA-317F-432B-8849-079D4C22FED9}</author>
    <author>tc={763C7DA3-BC99-43EF-AF0C-CF381EAE67F9}</author>
    <author>tc={5BCEC440-D018-402C-91C2-1F4BE3A2AAC8}</author>
    <author>tc={186ACCAC-59E5-42A7-9A58-7E9E0EA4F487}</author>
    <author>tc={97541565-0B0D-4771-937C-EA3626ADA291}</author>
    <author>tc={5A4D2508-796B-426D-8073-6CFE8B529D4D}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C32EC6C8-8172-4524-B1F5-428135A0CF3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7FB3F135-E007-4C94-9835-D442EAC9290B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65CA06CC-B099-4F4D-BA0C-74AEDD45123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1B8D35BA-317F-432B-8849-079D4C22FED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763C7DA3-BC99-43EF-AF0C-CF381EAE67F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5BCEC440-D018-402C-91C2-1F4BE3A2AAC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186ACCAC-59E5-42A7-9A58-7E9E0EA4F48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97541565-0B0D-4771-937C-EA3626ADA291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5A4D2508-796B-426D-8073-6CFE8B529D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<sst xmlns="http://schemas.openxmlformats.org/spreadsheetml/2006/main" count="1178" uniqueCount="329">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</sst>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98DB8006-E54C-4761-B1EE-799871B1EB96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8.7238773521599047</c:v>
                </c:pt>
                <c:pt idx="2">
                  <c:v>17.063280696299408</c:v>
                </c:pt>
                <c:pt idx="3">
                  <c:v>25.278518235236231</c:v>
                </c:pt>
                <c:pt idx="4">
                  <c:v>33.417217082826525</c:v>
                </c:pt>
                <c:pt idx="5">
                  <c:v>41.500963408389929</c:v>
                </c:pt>
                <c:pt idx="6">
                  <c:v>49.54207086415412</c:v>
                </c:pt>
                <c:pt idx="7">
                  <c:v>57.548477585595947</c:v>
                </c:pt>
                <c:pt idx="8">
                  <c:v>65.52571279747248</c:v>
                </c:pt>
                <c:pt idx="9">
                  <c:v>73.477840550317495</c:v>
                </c:pt>
                <c:pt idx="10">
                  <c:v>81.407968790534127</c:v>
                </c:pt>
                <c:pt idx="11">
                  <c:v>89.318547905534516</c:v>
                </c:pt>
                <c:pt idx="12">
                  <c:v>97.211557203899247</c:v>
                </c:pt>
                <c:pt idx="13">
                  <c:v>105.08862729802443</c:v>
                </c:pt>
                <c:pt idx="14">
                  <c:v>112.95112368620271</c:v>
                </c:pt>
                <c:pt idx="15">
                  <c:v>120.80020574188869</c:v>
                </c:pt>
                <c:pt idx="16">
                  <c:v>128.63686950992857</c:v>
                </c:pt>
                <c:pt idx="17">
                  <c:v>136.46197949248327</c:v>
                </c:pt>
                <c:pt idx="18">
                  <c:v>144.2762927401233</c:v>
                </c:pt>
                <c:pt idx="19">
                  <c:v>152.08047743586482</c:v>
                </c:pt>
                <c:pt idx="20">
                  <c:v>159.87512745516435</c:v>
                </c:pt>
                <c:pt idx="21">
                  <c:v>167.66077393116035</c:v>
                </c:pt>
                <c:pt idx="22">
                  <c:v>175.43789455459577</c:v>
                </c:pt>
                <c:pt idx="23">
                  <c:v>183.20692113504819</c:v>
                </c:pt>
                <c:pt idx="24">
                  <c:v>190.96824581005788</c:v>
                </c:pt>
                <c:pt idx="25">
                  <c:v>198.72222619024129</c:v>
                </c:pt>
                <c:pt idx="26">
                  <c:v>206.46918965801322</c:v>
                </c:pt>
                <c:pt idx="27">
                  <c:v>214.20943698636589</c:v>
                </c:pt>
                <c:pt idx="28">
                  <c:v>221.94324540646099</c:v>
                </c:pt>
                <c:pt idx="29">
                  <c:v>229.67087122468024</c:v>
                </c:pt>
                <c:pt idx="30">
                  <c:v>237.3925520685614</c:v>
                </c:pt>
                <c:pt idx="31">
                  <c:v>245.10850882486457</c:v>
                </c:pt>
                <c:pt idx="32">
                  <c:v>252.81894732054016</c:v>
                </c:pt>
                <c:pt idx="33">
                  <c:v>260.52405978767342</c:v>
                </c:pt>
                <c:pt idx="34">
                  <c:v>268.22402614587037</c:v>
                </c:pt>
                <c:pt idx="35">
                  <c:v>275.91901512953666</c:v>
                </c:pt>
                <c:pt idx="36">
                  <c:v>283.60918528270133</c:v>
                </c:pt>
                <c:pt idx="37">
                  <c:v>291.29468584019929</c:v>
                </c:pt>
                <c:pt idx="38">
                  <c:v>298.9756575109102</c:v>
                </c:pt>
                <c:pt idx="39">
                  <c:v>306.65223317623287</c:v>
                </c:pt>
                <c:pt idx="40">
                  <c:v>314.32453851490487</c:v>
                </c:pt>
                <c:pt idx="41">
                  <c:v>321.99269256358195</c:v>
                </c:pt>
                <c:pt idx="42">
                  <c:v>329.6568082211864</c:v>
                </c:pt>
                <c:pt idx="43">
                  <c:v>337.31699270386952</c:v>
                </c:pt>
                <c:pt idx="44">
                  <c:v>344.97334795645929</c:v>
                </c:pt>
                <c:pt idx="45">
                  <c:v>352.62597102544919</c:v>
                </c:pt>
                <c:pt idx="46">
                  <c:v>360.27495439789868</c:v>
                </c:pt>
                <c:pt idx="47">
                  <c:v>367.92038631003089</c:v>
                </c:pt>
                <c:pt idx="48">
                  <c:v>375.56235102882761</c:v>
                </c:pt>
                <c:pt idx="49">
                  <c:v>383.20092910949398</c:v>
                </c:pt>
                <c:pt idx="50">
                  <c:v>390.83619763131333</c:v>
                </c:pt>
                <c:pt idx="51">
                  <c:v>398.46823041410011</c:v>
                </c:pt>
                <c:pt idx="52">
                  <c:v>239.85910246404572</c:v>
                </c:pt>
                <c:pt idx="53">
                  <c:v>252.83074558705485</c:v>
                </c:pt>
                <c:pt idx="54">
                  <c:v>265.78731726655224</c:v>
                </c:pt>
                <c:pt idx="55">
                  <c:v>278.72965595209877</c:v>
                </c:pt>
                <c:pt idx="56">
                  <c:v>291.65851583527427</c:v>
                </c:pt>
                <c:pt idx="57">
                  <c:v>304.57457875644008</c:v>
                </c:pt>
                <c:pt idx="58">
                  <c:v>317.47846398478754</c:v>
                </c:pt>
                <c:pt idx="59">
                  <c:v>330.37073632430099</c:v>
                </c:pt>
                <c:pt idx="60">
                  <c:v>343.25191288767377</c:v>
                </c:pt>
                <c:pt idx="61">
                  <c:v>356.12246879986401</c:v>
                </c:pt>
                <c:pt idx="62">
                  <c:v>267.65291509049001</c:v>
                </c:pt>
                <c:pt idx="63">
                  <c:v>279.57365298312453</c:v>
                </c:pt>
                <c:pt idx="64">
                  <c:v>291.48299371257053</c:v>
                </c:pt>
                <c:pt idx="65">
                  <c:v>303.3814687484749</c:v>
                </c:pt>
                <c:pt idx="66">
                  <c:v>315.26956445016066</c:v>
                </c:pt>
                <c:pt idx="67">
                  <c:v>327.14772748854381</c:v>
                </c:pt>
                <c:pt idx="68">
                  <c:v>339.01636943905493</c:v>
                </c:pt>
                <c:pt idx="69">
                  <c:v>350.87587069749287</c:v>
                </c:pt>
                <c:pt idx="70">
                  <c:v>362.72658383860352</c:v>
                </c:pt>
                <c:pt idx="71">
                  <c:v>374.56883651267782</c:v>
                </c:pt>
                <c:pt idx="72">
                  <c:v>386.40293395661462</c:v>
                </c:pt>
                <c:pt idx="73">
                  <c:v>398.2291611812359</c:v>
                </c:pt>
                <c:pt idx="74">
                  <c:v>307.22146276591042</c:v>
                </c:pt>
                <c:pt idx="75">
                  <c:v>318.22291876813949</c:v>
                </c:pt>
                <c:pt idx="76">
                  <c:v>329.21595499534607</c:v>
                </c:pt>
                <c:pt idx="77">
                  <c:v>340.20089234590097</c:v>
                </c:pt>
                <c:pt idx="78">
                  <c:v>351.17802929444014</c:v>
                </c:pt>
                <c:pt idx="79">
                  <c:v>362.14764412577466</c:v>
                </c:pt>
                <c:pt idx="80">
                  <c:v>373.1099968839053</c:v>
                </c:pt>
                <c:pt idx="81">
                  <c:v>384.06533107994869</c:v>
                </c:pt>
                <c:pt idx="82">
                  <c:v>395.01387519496728</c:v>
                </c:pt>
                <c:pt idx="83">
                  <c:v>405.95584400744838</c:v>
                </c:pt>
                <c:pt idx="84">
                  <c:v>416.89143977016801</c:v>
                </c:pt>
                <c:pt idx="85">
                  <c:v>427.82085325710864</c:v>
                </c:pt>
                <c:pt idx="86">
                  <c:v>343.45578156792436</c:v>
                </c:pt>
                <c:pt idx="87">
                  <c:v>353.50604121858987</c:v>
                </c:pt>
                <c:pt idx="88">
                  <c:v>363.55004087719925</c:v>
                </c:pt>
                <c:pt idx="89">
                  <c:v>373.58797795476374</c:v>
                </c:pt>
                <c:pt idx="90">
                  <c:v>383.62003838338245</c:v>
                </c:pt>
                <c:pt idx="91">
                  <c:v>393.64639757291462</c:v>
                </c:pt>
                <c:pt idx="92">
                  <c:v>403.66722126506875</c:v>
                </c:pt>
                <c:pt idx="93">
                  <c:v>413.68266629823557</c:v>
                </c:pt>
                <c:pt idx="94">
                  <c:v>423.69288129437263</c:v>
                </c:pt>
                <c:pt idx="95">
                  <c:v>433.69800727757553</c:v>
                </c:pt>
                <c:pt idx="96">
                  <c:v>443.69817823258433</c:v>
                </c:pt>
                <c:pt idx="97">
                  <c:v>453.69352161030451</c:v>
                </c:pt>
                <c:pt idx="98">
                  <c:v>373.51565819693059</c:v>
                </c:pt>
                <c:pt idx="99">
                  <c:v>382.53832906741195</c:v>
                </c:pt>
                <c:pt idx="100">
                  <c:v>391.5563737739929</c:v>
                </c:pt>
                <c:pt idx="101">
                  <c:v>400.56991394266532</c:v>
                </c:pt>
                <c:pt idx="102">
                  <c:v>409.57906527648794</c:v>
                </c:pt>
                <c:pt idx="103">
                  <c:v>418.58393797078651</c:v>
                </c:pt>
                <c:pt idx="104">
                  <c:v>427.58463709075022</c:v>
                </c:pt>
                <c:pt idx="105">
                  <c:v>436.58126291557113</c:v>
                </c:pt>
                <c:pt idx="106">
                  <c:v>445.57391125272744</c:v>
                </c:pt>
                <c:pt idx="107">
                  <c:v>454.56267372556914</c:v>
                </c:pt>
                <c:pt idx="108">
                  <c:v>463.54763803696488</c:v>
                </c:pt>
                <c:pt idx="109">
                  <c:v>472.52888821143966</c:v>
                </c:pt>
                <c:pt idx="110">
                  <c:v>389.99513338800875</c:v>
                </c:pt>
                <c:pt idx="111">
                  <c:v>398.06147882289639</c:v>
                </c:pt>
                <c:pt idx="112">
                  <c:v>406.12428489378766</c:v>
                </c:pt>
                <c:pt idx="113">
                  <c:v>414.18363182026269</c:v>
                </c:pt>
                <c:pt idx="114">
                  <c:v>422.23959644349662</c:v>
                </c:pt>
                <c:pt idx="115">
                  <c:v>430.29225243168997</c:v>
                </c:pt>
                <c:pt idx="116">
                  <c:v>438.34167046931583</c:v>
                </c:pt>
                <c:pt idx="117">
                  <c:v>446.38791843173607</c:v>
                </c:pt>
                <c:pt idx="118">
                  <c:v>454.43106154656789</c:v>
                </c:pt>
                <c:pt idx="119">
                  <c:v>462.47116254302722</c:v>
                </c:pt>
                <c:pt idx="120">
                  <c:v>470.50828179034215</c:v>
                </c:pt>
                <c:pt idx="121">
                  <c:v>478.54247742621516</c:v>
                </c:pt>
                <c:pt idx="122">
                  <c:v>251.00231881385491</c:v>
                </c:pt>
                <c:pt idx="123">
                  <c:v>256.67781822926639</c:v>
                </c:pt>
                <c:pt idx="124">
                  <c:v>262.35047928007265</c:v>
                </c:pt>
                <c:pt idx="125">
                  <c:v>268.0203720944408</c:v>
                </c:pt>
                <c:pt idx="126">
                  <c:v>273.68756358672954</c:v>
                </c:pt>
                <c:pt idx="127">
                  <c:v>279.35211766977835</c:v>
                </c:pt>
                <c:pt idx="128">
                  <c:v>285.0140954490592</c:v>
                </c:pt>
                <c:pt idx="129">
                  <c:v>290.6735554005748</c:v>
                </c:pt>
                <c:pt idx="130">
                  <c:v>296.33055353416273</c:v>
                </c:pt>
                <c:pt idx="131">
                  <c:v>301.9851435436637</c:v>
                </c:pt>
                <c:pt idx="132">
                  <c:v>7.2667013513884219E-12</c:v>
                </c:pt>
                <c:pt idx="133">
                  <c:v>7.2667013513884219E-12</c:v>
                </c:pt>
                <c:pt idx="134">
                  <c:v>7.2667013513884219E-12</c:v>
                </c:pt>
                <c:pt idx="135">
                  <c:v>7.2667013513884219E-12</c:v>
                </c:pt>
                <c:pt idx="136">
                  <c:v>7.2667013513884219E-12</c:v>
                </c:pt>
                <c:pt idx="137">
                  <c:v>7.2667013513884219E-12</c:v>
                </c:pt>
                <c:pt idx="138">
                  <c:v>7.2667013513884219E-12</c:v>
                </c:pt>
                <c:pt idx="139">
                  <c:v>7.2667013513884219E-12</c:v>
                </c:pt>
                <c:pt idx="140">
                  <c:v>7.2667013513884219E-12</c:v>
                </c:pt>
                <c:pt idx="141">
                  <c:v>7.2667013513884219E-12</c:v>
                </c:pt>
                <c:pt idx="142">
                  <c:v>7.2667013513884219E-12</c:v>
                </c:pt>
                <c:pt idx="143">
                  <c:v>7.2667013513884219E-12</c:v>
                </c:pt>
                <c:pt idx="144">
                  <c:v>7.2667013513884219E-12</c:v>
                </c:pt>
                <c:pt idx="145">
                  <c:v>7.2667013513884219E-12</c:v>
                </c:pt>
                <c:pt idx="146">
                  <c:v>7.2667013513884219E-12</c:v>
                </c:pt>
                <c:pt idx="147">
                  <c:v>7.2667013513884219E-12</c:v>
                </c:pt>
                <c:pt idx="148">
                  <c:v>7.2667013513884219E-12</c:v>
                </c:pt>
                <c:pt idx="149">
                  <c:v>7.2667013513884219E-12</c:v>
                </c:pt>
                <c:pt idx="150">
                  <c:v>7.2667013513884219E-12</c:v>
                </c:pt>
                <c:pt idx="151">
                  <c:v>7.2667013513884219E-12</c:v>
                </c:pt>
                <c:pt idx="152">
                  <c:v>7.2667013513884219E-12</c:v>
                </c:pt>
                <c:pt idx="153">
                  <c:v>7.2667013513884219E-12</c:v>
                </c:pt>
                <c:pt idx="154">
                  <c:v>7.2667013513884219E-12</c:v>
                </c:pt>
                <c:pt idx="155">
                  <c:v>7.2667013513884219E-12</c:v>
                </c:pt>
                <c:pt idx="156">
                  <c:v>7.2667013513884219E-12</c:v>
                </c:pt>
                <c:pt idx="157">
                  <c:v>7.2667013513884219E-12</c:v>
                </c:pt>
                <c:pt idx="158">
                  <c:v>7.2667013513884219E-12</c:v>
                </c:pt>
                <c:pt idx="159">
                  <c:v>7.2667013513884219E-12</c:v>
                </c:pt>
                <c:pt idx="160">
                  <c:v>7.2667013513884219E-12</c:v>
                </c:pt>
                <c:pt idx="161">
                  <c:v>7.2667013513884219E-12</c:v>
                </c:pt>
                <c:pt idx="162">
                  <c:v>7.2667013513884219E-12</c:v>
                </c:pt>
                <c:pt idx="163">
                  <c:v>7.2667013513884219E-12</c:v>
                </c:pt>
                <c:pt idx="164">
                  <c:v>7.2667013513884219E-12</c:v>
                </c:pt>
                <c:pt idx="165">
                  <c:v>7.2667013513884219E-12</c:v>
                </c:pt>
                <c:pt idx="166">
                  <c:v>7.2667013513884219E-12</c:v>
                </c:pt>
                <c:pt idx="167">
                  <c:v>7.2667013513884219E-12</c:v>
                </c:pt>
                <c:pt idx="168">
                  <c:v>7.2667013513884219E-12</c:v>
                </c:pt>
                <c:pt idx="169">
                  <c:v>7.2667013513884219E-12</c:v>
                </c:pt>
                <c:pt idx="170">
                  <c:v>7.2667013513884219E-12</c:v>
                </c:pt>
                <c:pt idx="171">
                  <c:v>7.2667013513884219E-12</c:v>
                </c:pt>
                <c:pt idx="172">
                  <c:v>7.2667013513884219E-12</c:v>
                </c:pt>
                <c:pt idx="173">
                  <c:v>7.2667013513884219E-12</c:v>
                </c:pt>
                <c:pt idx="174">
                  <c:v>7.2667013513884219E-12</c:v>
                </c:pt>
                <c:pt idx="175">
                  <c:v>7.2667013513884219E-12</c:v>
                </c:pt>
                <c:pt idx="176">
                  <c:v>7.2667013513884219E-12</c:v>
                </c:pt>
                <c:pt idx="177">
                  <c:v>7.2667013513884219E-12</c:v>
                </c:pt>
                <c:pt idx="178">
                  <c:v>7.2667013513884219E-12</c:v>
                </c:pt>
                <c:pt idx="179">
                  <c:v>7.2667013513884219E-12</c:v>
                </c:pt>
                <c:pt idx="180">
                  <c:v>7.2667013513884219E-12</c:v>
                </c:pt>
                <c:pt idx="181">
                  <c:v>7.2667013513884219E-12</c:v>
                </c:pt>
                <c:pt idx="182">
                  <c:v>7.2667013513884219E-12</c:v>
                </c:pt>
                <c:pt idx="183">
                  <c:v>7.2667013513884219E-12</c:v>
                </c:pt>
                <c:pt idx="184">
                  <c:v>7.2667013513884219E-12</c:v>
                </c:pt>
                <c:pt idx="185">
                  <c:v>7.2667013513884219E-12</c:v>
                </c:pt>
                <c:pt idx="186">
                  <c:v>7.2667013513884219E-12</c:v>
                </c:pt>
                <c:pt idx="187">
                  <c:v>7.2667013513884219E-12</c:v>
                </c:pt>
                <c:pt idx="188">
                  <c:v>7.2667013513884219E-12</c:v>
                </c:pt>
                <c:pt idx="189">
                  <c:v>7.2667013513884219E-12</c:v>
                </c:pt>
                <c:pt idx="190">
                  <c:v>7.2667013513884219E-12</c:v>
                </c:pt>
                <c:pt idx="191">
                  <c:v>7.2667013513884219E-12</c:v>
                </c:pt>
                <c:pt idx="192">
                  <c:v>7.2667013513884219E-12</c:v>
                </c:pt>
                <c:pt idx="193">
                  <c:v>7.2667013513884219E-12</c:v>
                </c:pt>
                <c:pt idx="194">
                  <c:v>7.2667013513884219E-12</c:v>
                </c:pt>
                <c:pt idx="195">
                  <c:v>7.2667013513884219E-12</c:v>
                </c:pt>
                <c:pt idx="196">
                  <c:v>7.2667013513884219E-12</c:v>
                </c:pt>
                <c:pt idx="197">
                  <c:v>7.2667013513884219E-12</c:v>
                </c:pt>
                <c:pt idx="198">
                  <c:v>7.2667013513884219E-12</c:v>
                </c:pt>
                <c:pt idx="199">
                  <c:v>7.2667013513884219E-12</c:v>
                </c:pt>
                <c:pt idx="200">
                  <c:v>7.2667013513884219E-12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C32EC6C8-8172-4524-B1F5-428135A0CF39}">
    <text>A recopier sur toutes les essences.
Correspond aux frais fixes d’entretien mécanique + répulsif gibier</text>
  </threadedComment>
  <threadedComment ref="E50" dT="2024-11-27T17:08:05.48" personId="{44BC7BF0-8157-4572-8E12-7E0C99523682}" id="{7FB3F135-E007-4C94-9835-D442EAC9290B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65CA06CC-B099-4F4D-BA0C-74AEDD45123F}">
    <text>A recopier sur toutes les essences.
Correspond aux frais fixes d’entretien mécanique + répulsif gibier</text>
  </threadedComment>
  <threadedComment ref="E80" dT="2024-11-27T17:07:34.75" personId="{44BC7BF0-8157-4572-8E12-7E0C99523682}" id="{1B8D35BA-317F-432B-8849-079D4C22FED9}">
    <text>A recopier sur toutes les essences.
Correspond aux frais fixes d’entretien mécanique + répulsif gibier</text>
  </threadedComment>
  <threadedComment ref="E81" dT="2024-11-27T17:08:05.48" personId="{44BC7BF0-8157-4572-8E12-7E0C99523682}" id="{763C7DA3-BC99-43EF-AF0C-CF381EAE67F9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5BCEC440-D018-402C-91C2-1F4BE3A2AAC8}">
    <text>A recopier sur toutes les essences.
Correspond aux frais fixes d’entretien mécanique + répulsif gibier</text>
  </threadedComment>
  <threadedComment ref="E111" dT="2024-11-27T17:07:34.75" personId="{44BC7BF0-8157-4572-8E12-7E0C99523682}" id="{186ACCAC-59E5-42A7-9A58-7E9E0EA4F487}">
    <text>A recopier sur toutes les essences.
Correspond aux frais fixes d’entretien mécanique + répulsif gibier</text>
  </threadedComment>
  <threadedComment ref="E112" dT="2024-11-27T17:08:05.48" personId="{44BC7BF0-8157-4572-8E12-7E0C99523682}" id="{97541565-0B0D-4771-937C-EA3626ADA291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5A4D2508-796B-426D-8073-6CFE8B529D4D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2" zoomScale="80" zoomScaleNormal="80" workbookViewId="0">
      <selection activeCell="G19" sqref="G1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10.4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0.67</v>
      </c>
      <c r="D9" s="33">
        <f t="shared" ref="D9:D18" si="0">C9*$C$5</f>
        <v>6.9680000000000009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0.11</v>
      </c>
      <c r="D10" s="33">
        <f t="shared" si="0"/>
        <v>1.1440000000000001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164</v>
      </c>
      <c r="C11" s="32">
        <v>0.22</v>
      </c>
      <c r="D11" s="33">
        <f t="shared" si="0"/>
        <v>2.2880000000000003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10.400000000000002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17</v>
      </c>
      <c r="B36" s="258">
        <v>122.32</v>
      </c>
      <c r="C36" s="258">
        <v>1</v>
      </c>
      <c r="D36" s="259">
        <v>40.76</v>
      </c>
      <c r="E36" s="260">
        <v>0</v>
      </c>
      <c r="F36" s="260">
        <v>1</v>
      </c>
      <c r="G36" s="260">
        <v>0</v>
      </c>
      <c r="H36" s="260">
        <v>0</v>
      </c>
      <c r="I36" s="49">
        <f>IFERROR(B36/A36,"")</f>
        <v>7.1952941176470588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23</v>
      </c>
      <c r="B37" s="262">
        <v>187.68</v>
      </c>
      <c r="C37" s="262">
        <v>2</v>
      </c>
      <c r="D37" s="262">
        <v>57.75</v>
      </c>
      <c r="E37" s="263">
        <v>0.1</v>
      </c>
      <c r="F37" s="263">
        <v>0.8</v>
      </c>
      <c r="G37" s="263">
        <v>0</v>
      </c>
      <c r="H37" s="263">
        <v>0.1</v>
      </c>
      <c r="I37" s="53">
        <f t="shared" ref="I37:I55" si="1">IF(A37&lt;&gt;0,(B37-(B36-D36))/(A37-A36),"")</f>
        <v>17.686666666666667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29</v>
      </c>
      <c r="B38" s="262">
        <v>241.61</v>
      </c>
      <c r="C38" s="262">
        <v>3</v>
      </c>
      <c r="D38" s="262">
        <v>54.64</v>
      </c>
      <c r="E38" s="263">
        <v>0.1</v>
      </c>
      <c r="F38" s="263">
        <v>0.8</v>
      </c>
      <c r="G38" s="263">
        <v>0</v>
      </c>
      <c r="H38" s="263">
        <v>0.1</v>
      </c>
      <c r="I38" s="53">
        <f t="shared" si="1"/>
        <v>18.613333333333333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36</v>
      </c>
      <c r="B39" s="262">
        <v>311.13</v>
      </c>
      <c r="C39" s="262">
        <v>4</v>
      </c>
      <c r="D39" s="262">
        <v>76.069999999999993</v>
      </c>
      <c r="E39" s="263">
        <v>0.3</v>
      </c>
      <c r="F39" s="263">
        <v>0.5</v>
      </c>
      <c r="G39" s="263">
        <v>0</v>
      </c>
      <c r="H39" s="263">
        <v>0.2</v>
      </c>
      <c r="I39" s="49">
        <f t="shared" si="1"/>
        <v>17.737142857142853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44</v>
      </c>
      <c r="B40" s="262">
        <v>367.35</v>
      </c>
      <c r="C40" s="262">
        <v>5</v>
      </c>
      <c r="D40" s="262">
        <v>77.91</v>
      </c>
      <c r="E40" s="263">
        <v>0.3</v>
      </c>
      <c r="F40" s="263">
        <v>0.5</v>
      </c>
      <c r="G40" s="263">
        <v>0</v>
      </c>
      <c r="H40" s="263">
        <v>0.2</v>
      </c>
      <c r="I40" s="49">
        <f t="shared" si="1"/>
        <v>16.536250000000003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52</v>
      </c>
      <c r="B41" s="262">
        <v>406.59</v>
      </c>
      <c r="C41" s="262">
        <v>6</v>
      </c>
      <c r="D41" s="262">
        <v>75.37</v>
      </c>
      <c r="E41" s="263">
        <v>0.7</v>
      </c>
      <c r="F41" s="263">
        <v>0.3</v>
      </c>
      <c r="G41" s="263">
        <v>0</v>
      </c>
      <c r="H41" s="263">
        <v>0</v>
      </c>
      <c r="I41" s="53">
        <f t="shared" si="1"/>
        <v>14.64374999999999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60</v>
      </c>
      <c r="B42" s="262">
        <v>436.34</v>
      </c>
      <c r="C42" s="262">
        <v>7</v>
      </c>
      <c r="D42" s="262">
        <v>436.34</v>
      </c>
      <c r="E42" s="263">
        <v>0.7</v>
      </c>
      <c r="F42" s="263">
        <v>0.3</v>
      </c>
      <c r="G42" s="263">
        <v>0</v>
      </c>
      <c r="H42" s="263">
        <v>0</v>
      </c>
      <c r="I42" s="53">
        <f t="shared" si="1"/>
        <v>13.14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>IF(A65&lt;&gt;0,(B65-(B64-D64))/(A65-A64),"")</f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51</v>
      </c>
      <c r="B88" s="60">
        <v>390.67</v>
      </c>
      <c r="C88" s="60">
        <v>1</v>
      </c>
      <c r="D88" s="60">
        <v>171.3</v>
      </c>
      <c r="E88" s="51">
        <v>0.7</v>
      </c>
      <c r="F88" s="51">
        <v>0.3</v>
      </c>
      <c r="G88" s="51">
        <v>0</v>
      </c>
      <c r="H88" s="87">
        <v>0</v>
      </c>
      <c r="I88" s="53">
        <f>IFERROR(B88/A88,"")</f>
        <v>7.6601960784313725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61</v>
      </c>
      <c r="B89" s="60">
        <v>348.21</v>
      </c>
      <c r="C89" s="60">
        <v>2</v>
      </c>
      <c r="D89" s="60">
        <v>100.2</v>
      </c>
      <c r="E89" s="51">
        <v>0.7</v>
      </c>
      <c r="F89" s="51">
        <v>0.3</v>
      </c>
      <c r="G89" s="51">
        <v>0</v>
      </c>
      <c r="H89" s="87">
        <v>0</v>
      </c>
      <c r="I89" s="53">
        <f t="shared" ref="I89:I97" si="3">IF(A89&lt;&gt;0,(B89-(B88-D88))/(A89-A88),"")</f>
        <v>12.883999999999997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73</v>
      </c>
      <c r="B90" s="60">
        <v>390.43</v>
      </c>
      <c r="C90" s="60">
        <v>3</v>
      </c>
      <c r="D90" s="60">
        <v>102.1</v>
      </c>
      <c r="E90" s="87">
        <v>0.7</v>
      </c>
      <c r="F90" s="87">
        <v>0.3</v>
      </c>
      <c r="G90" s="87">
        <v>0</v>
      </c>
      <c r="H90" s="87">
        <v>0</v>
      </c>
      <c r="I90" s="53">
        <f t="shared" si="3"/>
        <v>11.868333333333334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85</v>
      </c>
      <c r="B91" s="60">
        <v>420.16</v>
      </c>
      <c r="C91" s="60">
        <v>4</v>
      </c>
      <c r="D91" s="60">
        <v>94.69</v>
      </c>
      <c r="E91" s="87">
        <v>0.7</v>
      </c>
      <c r="F91" s="87">
        <v>0.3</v>
      </c>
      <c r="G91" s="87">
        <v>0</v>
      </c>
      <c r="H91" s="87">
        <v>0</v>
      </c>
      <c r="I91" s="53">
        <f t="shared" si="3"/>
        <v>10.985833333333332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97</v>
      </c>
      <c r="B92" s="60">
        <v>446.19</v>
      </c>
      <c r="C92" s="60">
        <v>5</v>
      </c>
      <c r="D92" s="60">
        <v>89.6</v>
      </c>
      <c r="E92" s="87">
        <v>0.7</v>
      </c>
      <c r="F92" s="87">
        <v>0.3</v>
      </c>
      <c r="G92" s="87">
        <v>0</v>
      </c>
      <c r="H92" s="87">
        <v>0</v>
      </c>
      <c r="I92" s="53">
        <f t="shared" si="3"/>
        <v>10.059999999999997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109</v>
      </c>
      <c r="B93" s="60">
        <v>465.16</v>
      </c>
      <c r="C93" s="60">
        <v>6</v>
      </c>
      <c r="D93" s="60">
        <v>91.09</v>
      </c>
      <c r="E93" s="87">
        <v>0.7</v>
      </c>
      <c r="F93" s="87">
        <v>0.3</v>
      </c>
      <c r="G93" s="87">
        <v>0</v>
      </c>
      <c r="H93" s="87">
        <v>0</v>
      </c>
      <c r="I93" s="53">
        <f t="shared" si="3"/>
        <v>9.0474999999999994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121</v>
      </c>
      <c r="B94" s="60">
        <v>471.22</v>
      </c>
      <c r="C94" s="60">
        <v>7</v>
      </c>
      <c r="D94" s="60">
        <v>233.54</v>
      </c>
      <c r="E94" s="87">
        <v>0.7</v>
      </c>
      <c r="F94" s="87">
        <v>0.3</v>
      </c>
      <c r="G94" s="87">
        <v>0</v>
      </c>
      <c r="H94" s="87">
        <v>0</v>
      </c>
      <c r="I94" s="53">
        <f t="shared" si="3"/>
        <v>8.0958333333333314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131</v>
      </c>
      <c r="B95" s="60">
        <v>294.08999999999997</v>
      </c>
      <c r="C95" s="60">
        <v>8</v>
      </c>
      <c r="D95" s="60">
        <v>294.08999999999997</v>
      </c>
      <c r="E95" s="87">
        <v>0.7</v>
      </c>
      <c r="F95" s="87">
        <v>0.3</v>
      </c>
      <c r="G95" s="87">
        <v>0</v>
      </c>
      <c r="H95" s="87">
        <v>0</v>
      </c>
      <c r="I95" s="53">
        <f t="shared" si="3"/>
        <v>5.6409999999999938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ref="I98:I107" si="4">IF(A98&lt;&gt;0,(B98-(B97-D97))/(A98-A97),"")</f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2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ref="I124:I133" si="6">IF(A124&lt;&gt;0,(B124-(B123-D123))/(A124-A123),"")</f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E18" sqref="E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0.02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0.66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0.32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Pin maritime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Chêne sessile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Cèdre de l'Atlas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1.7000000000000002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6.2333333333333343</v>
      </c>
      <c r="H3" s="67">
        <f>(B3+E3+F3)*44/12+(C3+D3)*0.475*44/12</f>
        <v>216.48000000000002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57.34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210.24666666666667</v>
      </c>
      <c r="S3" s="59">
        <f ca="1">AVERAGE(OFFSET($R$3,0,0,'Données projet'!$E$9+1,1))-AVERAGE(OFFSET($H$3,0,0,'Données projet'!$E$9+1,1))</f>
        <v>312.21112796780687</v>
      </c>
      <c r="T3" s="59">
        <f>IF('Données projet'!E9&gt;30,$R$33-$H$33,LOOKUP('Données projet'!$E$9,$A$3:$A$203,R3:R203)-LOOKUP('Données projet'!$E$9,$A$3:$A$203,$H$3:$H$203))</f>
        <v>318.74634178809458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57.34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210.24666666666667</v>
      </c>
      <c r="AN3" s="59">
        <f ca="1">AVERAGE(OFFSET($AM$3,0,0,'Données projet'!$E$10+1,1))-AVERAGE(OFFSET($H$3,0,0,'Données projet'!$E$10+1,1))</f>
        <v>608.11285041597125</v>
      </c>
      <c r="AO3" s="59">
        <f>IF('Données projet'!E10&gt;30,$AM$33-$H$33,LOOKUP('Données projet'!$E$10,$A$3:$A$203,AM3:AM203)-LOOKUP('Données projet'!$E$10,$A$3:$A$203,$H$3:$H$203))</f>
        <v>282.40007659049331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57.34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210.24666666666667</v>
      </c>
      <c r="BI3" s="59">
        <f ca="1">AVERAGE(OFFSET($BH$3,0,0,'Données projet'!$E$11+1,1))-AVERAGE(OFFSET($H$3,0,0,'Données projet'!$E$11+1,1))</f>
        <v>355.12987360915633</v>
      </c>
      <c r="BJ3" s="59">
        <f>IF('Données projet'!E11&gt;30,$BH$33-$H$33,LOOKUP('Données projet'!$E$11,$A$3:$A$203,BH3:BH203)-LOOKUP('Données projet'!$E$11,$A$3:$A$203,$H$3:$H$203))</f>
        <v>286.78588538798715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57.34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57.34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57.34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57.34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57.34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57.34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57.34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1.7000000000000002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6.2333333333333343</v>
      </c>
      <c r="H4" s="67">
        <f t="shared" ref="H4:H67" si="1">(B4+E4+F4)*44/12+(C4+D4)*0.475*44/12</f>
        <v>216.48000000000002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57.559622696480176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7.1952941176470588</v>
      </c>
      <c r="N4" s="13">
        <f>IF('Données projet'!$A$36&gt;35,N3+M4-V3,IF(A4&lt;'Données projet'!$A$36,$K$205^A4,IF(A4='Données projet'!$A$36,'Données projet'!$B$36,N3+M4-V3)))</f>
        <v>1.3267648858502221</v>
      </c>
      <c r="O4" s="13">
        <f>N4*VLOOKUP('Données projet'!$B$9,Paramètres!$A$1:$I$89,3,0)*VLOOKUP('Données projet'!$B$9,Paramètres!$A$1:$I$89,5,0)</f>
        <v>0.79340540173843288</v>
      </c>
      <c r="P4" s="13">
        <f>EXP(-1.0587+0.8836*LN(O4)+0.284)</f>
        <v>0.37561764201183739</v>
      </c>
      <c r="Q4" s="20">
        <f t="shared" ref="Q4:Q34" si="2">(O4+P4)*0.475*44/12</f>
        <v>2.0360484678650539</v>
      </c>
      <c r="R4" s="59">
        <f t="shared" si="0"/>
        <v>214.31022057718124</v>
      </c>
      <c r="S4" s="59">
        <f ca="1">AVERAGE(OFFSET($R$3,0,0,'Données projet'!$E$9+1,1))-AVERAGE(OFFSET($H$3,0,0,'Données projet'!$E$9+1,1))</f>
        <v>312.21112796780687</v>
      </c>
      <c r="T4" s="59">
        <f>$T$3</f>
        <v>318.74634178809458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57.559622696480176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3.5170868571428571</v>
      </c>
      <c r="AK4" s="13">
        <f>EXP(-1.0587+0.8836*LN(AJ4)+0.284)</f>
        <v>1.400101260019349</v>
      </c>
      <c r="AL4" s="20">
        <f t="shared" ref="AL4:AL67" si="4">(AJ4+AK4)*0.475*44/12</f>
        <v>8.5641026373908407</v>
      </c>
      <c r="AM4" s="59">
        <f t="shared" ref="AM4:AM67" si="5">AL4+(AD4+AE4)*44/12</f>
        <v>220.83827474670704</v>
      </c>
      <c r="AN4" s="59">
        <f ca="1">AVERAGE(OFFSET($AM$3,0,0,'Données projet'!$E$10+1,1))-AVERAGE(OFFSET($H$3,0,0,'Données projet'!$E$10+1,1))</f>
        <v>608.11285041597125</v>
      </c>
      <c r="AO4" s="59">
        <f>$AO$3</f>
        <v>282.40007659049331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57.559622696480176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7.6601960784313725</v>
      </c>
      <c r="BD4" s="12">
        <f>IF('Données projet'!$A$88&gt;35,BD3+BC4-BL3,IF(A4&lt;'Données projet'!$A$88,$BA$205^A4,IF(A4='Données projet'!$A$88,'Données projet'!$B$88,BD3+BC4-BL3)))</f>
        <v>7.6601960784313725</v>
      </c>
      <c r="BE4" s="13">
        <f>BD4*VLOOKUP('Données projet'!$B$11,Paramètres!$A$1:$I$89,3,0)*VLOOKUP('Données projet'!$B$11,Paramètres!$A$1:$I$89,5,0)</f>
        <v>3.5849717647058821</v>
      </c>
      <c r="BF4" s="13">
        <f>EXP(-1.0587+0.8836*LN(BE4)+0.284)</f>
        <v>1.4239530307926282</v>
      </c>
      <c r="BG4" s="20">
        <f t="shared" ref="BG4:BG67" si="7">(BE4+BF4)*0.475*44/12</f>
        <v>8.7238773521599047</v>
      </c>
      <c r="BH4" s="59">
        <f t="shared" ref="BH4:BH67" si="8">BG4+(AY4+AZ4)*44/12</f>
        <v>220.99804946147611</v>
      </c>
      <c r="BI4" s="59">
        <f ca="1">AVERAGE(OFFSET($BH$3,0,0,'Données projet'!$E$11+1,1))-AVERAGE(OFFSET($H$3,0,0,'Données projet'!$E$11+1,1))</f>
        <v>355.12987360915633</v>
      </c>
      <c r="BJ4" s="59">
        <f>$BJ$3</f>
        <v>286.78588538798715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57.559622696480176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57.559622696480176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57.559622696480176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57.559622696480176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57.559622696480176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57.559622696480176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57.559622696480176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1.7000000000000002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6.2333333333333343</v>
      </c>
      <c r="H5" s="67">
        <f t="shared" si="1"/>
        <v>216.48000000000002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57.775435430179215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7.1952941176470588</v>
      </c>
      <c r="N5" s="13">
        <f>IF('Données projet'!$A$36&gt;35,N4+M5-V4,IF(A5&lt;'Données projet'!$A$36,$K$205^A5,IF(A5='Données projet'!$A$36,'Données projet'!$B$36,N4+M5-V4)))</f>
        <v>1.7603050623251528</v>
      </c>
      <c r="O5" s="13">
        <f>N5*VLOOKUP('Données projet'!$B$9,Paramètres!$A$1:$I$89,3,0)*VLOOKUP('Données projet'!$B$9,Paramètres!$A$1:$I$89,5,0)</f>
        <v>1.0526624272704415</v>
      </c>
      <c r="P5" s="13">
        <f t="shared" ref="P5:P68" si="33">EXP(-1.0587+0.8836*LN(O5)+0.284)</f>
        <v>0.48222168139326793</v>
      </c>
      <c r="Q5" s="20">
        <f t="shared" si="2"/>
        <v>2.6732564892559605</v>
      </c>
      <c r="R5" s="59">
        <f t="shared" si="0"/>
        <v>216.96096417769084</v>
      </c>
      <c r="S5" s="59">
        <f ca="1">AVERAGE(OFFSET($R$3,0,0,'Données projet'!$E$9+1,1))-AVERAGE(OFFSET($H$3,0,0,'Données projet'!$E$9+1,1))</f>
        <v>312.21112796780687</v>
      </c>
      <c r="T5" s="59">
        <f t="shared" ref="T5:T68" si="34">$T$3</f>
        <v>318.74634178809458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57.775435430179215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7.0341737142857141</v>
      </c>
      <c r="AK5" s="13">
        <f t="shared" ref="AK5:AK68" si="35">EXP(-1.0587+0.8836*LN(AJ5)+0.284)</f>
        <v>2.5831495528484112</v>
      </c>
      <c r="AL5" s="20">
        <f t="shared" si="4"/>
        <v>16.750171356925268</v>
      </c>
      <c r="AM5" s="59">
        <f t="shared" si="5"/>
        <v>231.03787904536017</v>
      </c>
      <c r="AN5" s="59">
        <f ca="1">AVERAGE(OFFSET($AM$3,0,0,'Données projet'!$E$10+1,1))-AVERAGE(OFFSET($H$3,0,0,'Données projet'!$E$10+1,1))</f>
        <v>608.11285041597125</v>
      </c>
      <c r="AO5" s="59">
        <f t="shared" ref="AO5:AO68" si="36">$AO$3</f>
        <v>282.40007659049331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57.775435430179215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7.6601960784313725</v>
      </c>
      <c r="BD5" s="12">
        <f>IF('Données projet'!$A$88&gt;35,BD4+BC5-BL4,IF(A5&lt;'Données projet'!$A$88,$BA$205^A5,IF(A5='Données projet'!$A$88,'Données projet'!$B$88,BD4+BC5-BL4)))</f>
        <v>15.320392156862745</v>
      </c>
      <c r="BE5" s="13">
        <f>BD5*VLOOKUP('Données projet'!$B$11,Paramètres!$A$1:$I$89,3,0)*VLOOKUP('Données projet'!$B$11,Paramètres!$A$1:$I$89,5,0)</f>
        <v>7.1699435294117642</v>
      </c>
      <c r="BF5" s="13">
        <f t="shared" ref="BF5:BF68" si="37">EXP(-1.0587+0.8836*LN(BE5)+0.284)</f>
        <v>2.6271554349706712</v>
      </c>
      <c r="BG5" s="20">
        <f t="shared" si="7"/>
        <v>17.063280696299408</v>
      </c>
      <c r="BH5" s="59">
        <f t="shared" si="8"/>
        <v>231.35098838473431</v>
      </c>
      <c r="BI5" s="59">
        <f ca="1">AVERAGE(OFFSET($BH$3,0,0,'Données projet'!$E$11+1,1))-AVERAGE(OFFSET($H$3,0,0,'Données projet'!$E$11+1,1))</f>
        <v>355.12987360915633</v>
      </c>
      <c r="BJ5" s="59">
        <f t="shared" ref="BJ5:BJ68" si="38">$BJ$3</f>
        <v>286.78588538798715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57.775435430179215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57.775435430179215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57.775435430179215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57.775435430179215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57.775435430179215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57.775435430179215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57.775435430179215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1.7000000000000002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6.2333333333333343</v>
      </c>
      <c r="H6" s="67">
        <f t="shared" si="1"/>
        <v>216.48000000000002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57.987504295433553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7.1952941176470588</v>
      </c>
      <c r="N6" s="13">
        <f>IF('Données projet'!$A$36&gt;35,N5+M6-V5,IF(A6&lt;'Données projet'!$A$36,$K$205^A6,IF(A6='Données projet'!$A$36,'Données projet'!$B$36,N5+M6-V5)))</f>
        <v>2.3355109450773996</v>
      </c>
      <c r="O6" s="13">
        <f>N6*VLOOKUP('Données projet'!$B$9,Paramètres!$A$1:$I$89,3,0)*VLOOKUP('Données projet'!$B$9,Paramètres!$A$1:$I$89,5,0)</f>
        <v>1.3966355451562853</v>
      </c>
      <c r="P6" s="13">
        <f t="shared" si="33"/>
        <v>0.61908101217040834</v>
      </c>
      <c r="Q6" s="20">
        <f t="shared" si="2"/>
        <v>3.5107063373439913</v>
      </c>
      <c r="R6" s="59">
        <f t="shared" si="0"/>
        <v>219.79822208726702</v>
      </c>
      <c r="S6" s="59">
        <f ca="1">AVERAGE(OFFSET($R$3,0,0,'Données projet'!$E$9+1,1))-AVERAGE(OFFSET($H$3,0,0,'Données projet'!$E$9+1,1))</f>
        <v>312.21112796780687</v>
      </c>
      <c r="T6" s="59">
        <f t="shared" si="34"/>
        <v>318.74634178809458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57.987504295433553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10.551260571428571</v>
      </c>
      <c r="AK6" s="13">
        <f t="shared" si="35"/>
        <v>3.6961006326523931</v>
      </c>
      <c r="AL6" s="20">
        <f t="shared" si="4"/>
        <v>24.814154097107675</v>
      </c>
      <c r="AM6" s="59">
        <f t="shared" si="5"/>
        <v>241.10166984703068</v>
      </c>
      <c r="AN6" s="59">
        <f ca="1">AVERAGE(OFFSET($AM$3,0,0,'Données projet'!$E$10+1,1))-AVERAGE(OFFSET($H$3,0,0,'Données projet'!$E$10+1,1))</f>
        <v>608.11285041597125</v>
      </c>
      <c r="AO6" s="59">
        <f t="shared" si="36"/>
        <v>282.40007659049331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57.987504295433553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7.6601960784313725</v>
      </c>
      <c r="BD6" s="12">
        <f>IF('Données projet'!$A$88&gt;35,BD5+BC6-BL5,IF(A6&lt;'Données projet'!$A$88,$BA$205^A6,IF(A6='Données projet'!$A$88,'Données projet'!$B$88,BD5+BC6-BL5)))</f>
        <v>22.980588235294118</v>
      </c>
      <c r="BE6" s="13">
        <f>BD6*VLOOKUP('Données projet'!$B$11,Paramètres!$A$1:$I$89,3,0)*VLOOKUP('Données projet'!$B$11,Paramètres!$A$1:$I$89,5,0)</f>
        <v>10.754915294117646</v>
      </c>
      <c r="BF6" s="13">
        <f t="shared" si="37"/>
        <v>3.7590664677404781</v>
      </c>
      <c r="BG6" s="20">
        <f t="shared" si="7"/>
        <v>25.278518235236231</v>
      </c>
      <c r="BH6" s="59">
        <f t="shared" si="8"/>
        <v>241.56603398515924</v>
      </c>
      <c r="BI6" s="59">
        <f ca="1">AVERAGE(OFFSET($BH$3,0,0,'Données projet'!$E$11+1,1))-AVERAGE(OFFSET($H$3,0,0,'Données projet'!$E$11+1,1))</f>
        <v>355.12987360915633</v>
      </c>
      <c r="BJ6" s="59">
        <f t="shared" si="38"/>
        <v>286.78588538798715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57.987504295433553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57.987504295433553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57.987504295433553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57.987504295433553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57.987504295433553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57.987504295433553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57.987504295433553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1.7000000000000002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6.2333333333333343</v>
      </c>
      <c r="H7" s="67">
        <f t="shared" si="1"/>
        <v>216.48000000000002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58.1958942399907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7.1952941176470588</v>
      </c>
      <c r="N7" s="13">
        <f>IF('Données projet'!$A$36&gt;35,N6+M7-V6,IF(A7&lt;'Données projet'!$A$36,$K$205^A7,IF(A7='Données projet'!$A$36,'Données projet'!$B$36,N6+M7-V6)))</f>
        <v>3.09867391244756</v>
      </c>
      <c r="O7" s="13">
        <f>N7*VLOOKUP('Données projet'!$B$9,Paramètres!$A$1:$I$89,3,0)*VLOOKUP('Données projet'!$B$9,Paramètres!$A$1:$I$89,5,0)</f>
        <v>1.8530069996436409</v>
      </c>
      <c r="P7" s="13">
        <f t="shared" si="33"/>
        <v>0.79478238830446668</v>
      </c>
      <c r="Q7" s="20">
        <f t="shared" si="2"/>
        <v>4.6115665173429541</v>
      </c>
      <c r="R7" s="59">
        <f t="shared" si="0"/>
        <v>222.88540095286444</v>
      </c>
      <c r="S7" s="59">
        <f ca="1">AVERAGE(OFFSET($R$3,0,0,'Données projet'!$E$9+1,1))-AVERAGE(OFFSET($H$3,0,0,'Données projet'!$E$9+1,1))</f>
        <v>312.21112796780687</v>
      </c>
      <c r="T7" s="59">
        <f t="shared" si="34"/>
        <v>318.74634178809458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58.1958942399907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14.068347428571428</v>
      </c>
      <c r="AK7" s="13">
        <f t="shared" si="35"/>
        <v>4.7658421593654818</v>
      </c>
      <c r="AL7" s="20">
        <f t="shared" si="4"/>
        <v>32.802880198990124</v>
      </c>
      <c r="AM7" s="59">
        <f t="shared" si="5"/>
        <v>251.0767146345116</v>
      </c>
      <c r="AN7" s="59">
        <f ca="1">AVERAGE(OFFSET($AM$3,0,0,'Données projet'!$E$10+1,1))-AVERAGE(OFFSET($H$3,0,0,'Données projet'!$E$10+1,1))</f>
        <v>608.11285041597125</v>
      </c>
      <c r="AO7" s="59">
        <f t="shared" si="36"/>
        <v>282.40007659049331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58.1958942399907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7.6601960784313725</v>
      </c>
      <c r="BD7" s="12">
        <f>IF('Données projet'!$A$88&gt;35,BD6+BC7-BL6,IF(A7&lt;'Données projet'!$A$88,$BA$205^A7,IF(A7='Données projet'!$A$88,'Données projet'!$B$88,BD6+BC7-BL6)))</f>
        <v>30.64078431372549</v>
      </c>
      <c r="BE7" s="13">
        <f>BD7*VLOOKUP('Données projet'!$B$11,Paramètres!$A$1:$I$89,3,0)*VLOOKUP('Données projet'!$B$11,Paramètres!$A$1:$I$89,5,0)</f>
        <v>14.339887058823528</v>
      </c>
      <c r="BF7" s="13">
        <f t="shared" si="37"/>
        <v>4.8470318404070136</v>
      </c>
      <c r="BG7" s="20">
        <f t="shared" si="7"/>
        <v>33.417217082826525</v>
      </c>
      <c r="BH7" s="59">
        <f t="shared" si="8"/>
        <v>251.69105151834799</v>
      </c>
      <c r="BI7" s="59">
        <f ca="1">AVERAGE(OFFSET($BH$3,0,0,'Données projet'!$E$11+1,1))-AVERAGE(OFFSET($H$3,0,0,'Données projet'!$E$11+1,1))</f>
        <v>355.12987360915633</v>
      </c>
      <c r="BJ7" s="59">
        <f t="shared" si="38"/>
        <v>286.78588538798715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58.1958942399907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58.1958942399907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58.1958942399907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58.1958942399907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58.1958942399907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58.1958942399907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58.1958942399907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1.7000000000000002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6.2333333333333343</v>
      </c>
      <c r="H8" s="67">
        <f t="shared" si="1"/>
        <v>216.48000000000002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58.400669084899896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7.1952941176470588</v>
      </c>
      <c r="N8" s="13">
        <f>IF('Données projet'!$A$36&gt;35,N7+M8-V7,IF(A8&lt;'Données projet'!$A$36,$K$205^A8,IF(A8='Données projet'!$A$36,'Données projet'!$B$36,N7+M8-V7)))</f>
        <v>4.1112117397355483</v>
      </c>
      <c r="O8" s="13">
        <f>N8*VLOOKUP('Données projet'!$B$9,Paramètres!$A$1:$I$89,3,0)*VLOOKUP('Données projet'!$B$9,Paramètres!$A$1:$I$89,5,0)</f>
        <v>2.4585046203618579</v>
      </c>
      <c r="P8" s="13">
        <f t="shared" si="33"/>
        <v>1.0203495703161323</v>
      </c>
      <c r="Q8" s="20">
        <f t="shared" si="2"/>
        <v>6.0590043820974993</v>
      </c>
      <c r="R8" s="59">
        <f t="shared" si="0"/>
        <v>226.30590213784154</v>
      </c>
      <c r="S8" s="59">
        <f ca="1">AVERAGE(OFFSET($R$3,0,0,'Données projet'!$E$9+1,1))-AVERAGE(OFFSET($H$3,0,0,'Données projet'!$E$9+1,1))</f>
        <v>312.21112796780687</v>
      </c>
      <c r="T8" s="59">
        <f t="shared" si="34"/>
        <v>318.74634178809458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58.400669084899896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17.585434285714282</v>
      </c>
      <c r="AK8" s="13">
        <f t="shared" si="35"/>
        <v>5.804560501905633</v>
      </c>
      <c r="AL8" s="20">
        <f t="shared" si="4"/>
        <v>40.737574255104683</v>
      </c>
      <c r="AM8" s="59">
        <f t="shared" si="5"/>
        <v>260.98447201084872</v>
      </c>
      <c r="AN8" s="59">
        <f ca="1">AVERAGE(OFFSET($AM$3,0,0,'Données projet'!$E$10+1,1))-AVERAGE(OFFSET($H$3,0,0,'Données projet'!$E$10+1,1))</f>
        <v>608.11285041597125</v>
      </c>
      <c r="AO8" s="59">
        <f t="shared" si="36"/>
        <v>282.40007659049331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58.400669084899896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7.6601960784313725</v>
      </c>
      <c r="BD8" s="12">
        <f>IF('Données projet'!$A$88&gt;35,BD7+BC8-BL7,IF(A8&lt;'Données projet'!$A$88,$BA$205^A8,IF(A8='Données projet'!$A$88,'Données projet'!$B$88,BD7+BC8-BL7)))</f>
        <v>38.300980392156859</v>
      </c>
      <c r="BE8" s="13">
        <f>BD8*VLOOKUP('Données projet'!$B$11,Paramètres!$A$1:$I$89,3,0)*VLOOKUP('Données projet'!$B$11,Paramètres!$A$1:$I$89,5,0)</f>
        <v>17.924858823529409</v>
      </c>
      <c r="BF8" s="13">
        <f t="shared" si="37"/>
        <v>5.9034455257853864</v>
      </c>
      <c r="BG8" s="20">
        <f t="shared" si="7"/>
        <v>41.500963408389929</v>
      </c>
      <c r="BH8" s="59">
        <f t="shared" si="8"/>
        <v>261.74786116413395</v>
      </c>
      <c r="BI8" s="59">
        <f ca="1">AVERAGE(OFFSET($BH$3,0,0,'Données projet'!$E$11+1,1))-AVERAGE(OFFSET($H$3,0,0,'Données projet'!$E$11+1,1))</f>
        <v>355.12987360915633</v>
      </c>
      <c r="BJ8" s="59">
        <f t="shared" si="38"/>
        <v>286.78588538798715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58.400669084899896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58.400669084899896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58.400669084899896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58.400669084899896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58.400669084899896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58.400669084899896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58.400669084899896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1.7000000000000002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6.2333333333333343</v>
      </c>
      <c r="H9" s="67">
        <f t="shared" si="1"/>
        <v>216.48000000000002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58.601891544057885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7.1952941176470588</v>
      </c>
      <c r="N9" s="13">
        <f>IF('Données projet'!$A$36&gt;35,N8+M9-V8,IF(A9&lt;'Données projet'!$A$36,$K$205^A9,IF(A9='Données projet'!$A$36,'Données projet'!$B$36,N8+M9-V8)))</f>
        <v>5.4546113745763272</v>
      </c>
      <c r="O9" s="13">
        <f>N9*VLOOKUP('Données projet'!$B$9,Paramètres!$A$1:$I$89,3,0)*VLOOKUP('Données projet'!$B$9,Paramètres!$A$1:$I$89,5,0)</f>
        <v>3.2618576019966441</v>
      </c>
      <c r="P9" s="13">
        <f t="shared" si="33"/>
        <v>1.3099349720938758</v>
      </c>
      <c r="Q9" s="20">
        <f t="shared" si="2"/>
        <v>7.962538733207654</v>
      </c>
      <c r="R9" s="59">
        <f t="shared" si="0"/>
        <v>230.16947439475322</v>
      </c>
      <c r="S9" s="59">
        <f ca="1">AVERAGE(OFFSET($R$3,0,0,'Données projet'!$E$9+1,1))-AVERAGE(OFFSET($H$3,0,0,'Données projet'!$E$9+1,1))</f>
        <v>312.21112796780687</v>
      </c>
      <c r="T9" s="59">
        <f t="shared" si="34"/>
        <v>318.74634178809458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58.601891544057885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21.102521142857139</v>
      </c>
      <c r="AK9" s="13">
        <f t="shared" si="35"/>
        <v>6.8192072738987575</v>
      </c>
      <c r="AL9" s="20">
        <f t="shared" si="4"/>
        <v>48.630343659183183</v>
      </c>
      <c r="AM9" s="59">
        <f t="shared" si="5"/>
        <v>270.83727932072873</v>
      </c>
      <c r="AN9" s="59">
        <f ca="1">AVERAGE(OFFSET($AM$3,0,0,'Données projet'!$E$10+1,1))-AVERAGE(OFFSET($H$3,0,0,'Données projet'!$E$10+1,1))</f>
        <v>608.11285041597125</v>
      </c>
      <c r="AO9" s="59">
        <f t="shared" si="36"/>
        <v>282.40007659049331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58.601891544057885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7.6601960784313725</v>
      </c>
      <c r="BD9" s="12">
        <f>IF('Données projet'!$A$88&gt;35,BD8+BC9-BL8,IF(A9&lt;'Données projet'!$A$88,$BA$205^A9,IF(A9='Données projet'!$A$88,'Données projet'!$B$88,BD8+BC9-BL8)))</f>
        <v>45.961176470588228</v>
      </c>
      <c r="BE9" s="13">
        <f>BD9*VLOOKUP('Données projet'!$B$11,Paramètres!$A$1:$I$89,3,0)*VLOOKUP('Données projet'!$B$11,Paramètres!$A$1:$I$89,5,0)</f>
        <v>21.509830588235292</v>
      </c>
      <c r="BF9" s="13">
        <f t="shared" si="37"/>
        <v>6.9353775634321488</v>
      </c>
      <c r="BG9" s="20">
        <f t="shared" si="7"/>
        <v>49.54207086415412</v>
      </c>
      <c r="BH9" s="59">
        <f t="shared" si="8"/>
        <v>271.74900652569971</v>
      </c>
      <c r="BI9" s="59">
        <f ca="1">AVERAGE(OFFSET($BH$3,0,0,'Données projet'!$E$11+1,1))-AVERAGE(OFFSET($H$3,0,0,'Données projet'!$E$11+1,1))</f>
        <v>355.12987360915633</v>
      </c>
      <c r="BJ9" s="59">
        <f t="shared" si="38"/>
        <v>286.78588538798715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58.601891544057885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58.601891544057885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58.601891544057885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58.601891544057885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58.601891544057885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58.601891544057885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58.601891544057885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1.7000000000000002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6.2333333333333343</v>
      </c>
      <c r="H10" s="67">
        <f t="shared" si="1"/>
        <v>216.48000000000002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58.799623243415496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7.1952941176470588</v>
      </c>
      <c r="N10" s="13">
        <f>IF('Données projet'!$A$36&gt;35,N9+M10-V9,IF(A10&lt;'Données projet'!$A$36,$K$205^A10,IF(A10='Données projet'!$A$36,'Données projet'!$B$36,N9+M10-V9)))</f>
        <v>7.2369868377470841</v>
      </c>
      <c r="O10" s="13">
        <f>N10*VLOOKUP('Données projet'!$B$9,Paramètres!$A$1:$I$89,3,0)*VLOOKUP('Données projet'!$B$9,Paramètres!$A$1:$I$89,5,0)</f>
        <v>4.3277181289727569</v>
      </c>
      <c r="P10" s="13">
        <f t="shared" si="33"/>
        <v>1.6817076039762937</v>
      </c>
      <c r="Q10" s="20">
        <f t="shared" si="2"/>
        <v>10.466416484886262</v>
      </c>
      <c r="R10" s="59">
        <f t="shared" si="0"/>
        <v>234.62059059963198</v>
      </c>
      <c r="S10" s="59">
        <f ca="1">AVERAGE(OFFSET($R$3,0,0,'Données projet'!$E$9+1,1))-AVERAGE(OFFSET($H$3,0,0,'Données projet'!$E$9+1,1))</f>
        <v>312.21112796780687</v>
      </c>
      <c r="T10" s="59">
        <f t="shared" si="34"/>
        <v>318.74634178809458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58.799623243415496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24.619607999999992</v>
      </c>
      <c r="AK10" s="13">
        <f t="shared" si="35"/>
        <v>7.8142639118614152</v>
      </c>
      <c r="AL10" s="20">
        <f t="shared" si="4"/>
        <v>56.488993579825284</v>
      </c>
      <c r="AM10" s="59">
        <f t="shared" si="5"/>
        <v>280.64316769457099</v>
      </c>
      <c r="AN10" s="59">
        <f ca="1">AVERAGE(OFFSET($AM$3,0,0,'Données projet'!$E$10+1,1))-AVERAGE(OFFSET($H$3,0,0,'Données projet'!$E$10+1,1))</f>
        <v>608.11285041597125</v>
      </c>
      <c r="AO10" s="59">
        <f t="shared" si="36"/>
        <v>282.40007659049331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58.799623243415496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7.6601960784313725</v>
      </c>
      <c r="BD10" s="12">
        <f>IF('Données projet'!$A$88&gt;35,BD9+BC10-BL9,IF(A10&lt;'Données projet'!$A$88,$BA$205^A10,IF(A10='Données projet'!$A$88,'Données projet'!$B$88,BD9+BC10-BL9)))</f>
        <v>53.621372549019597</v>
      </c>
      <c r="BE10" s="13">
        <f>BD10*VLOOKUP('Données projet'!$B$11,Paramètres!$A$1:$I$89,3,0)*VLOOKUP('Données projet'!$B$11,Paramètres!$A$1:$I$89,5,0)</f>
        <v>25.094802352941173</v>
      </c>
      <c r="BF10" s="13">
        <f t="shared" si="37"/>
        <v>7.9473857344823413</v>
      </c>
      <c r="BG10" s="20">
        <f t="shared" si="7"/>
        <v>57.548477585595947</v>
      </c>
      <c r="BH10" s="59">
        <f t="shared" si="8"/>
        <v>281.70265170034168</v>
      </c>
      <c r="BI10" s="59">
        <f ca="1">AVERAGE(OFFSET($BH$3,0,0,'Données projet'!$E$11+1,1))-AVERAGE(OFFSET($H$3,0,0,'Données projet'!$E$11+1,1))</f>
        <v>355.12987360915633</v>
      </c>
      <c r="BJ10" s="59">
        <f t="shared" si="38"/>
        <v>286.78588538798715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58.799623243415496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58.799623243415496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58.799623243415496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58.799623243415496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58.799623243415496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58.799623243415496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58.799623243415496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1.7000000000000002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6.2333333333333343</v>
      </c>
      <c r="H11" s="67">
        <f t="shared" si="1"/>
        <v>216.48000000000002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58.993924739851117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7.1952941176470588</v>
      </c>
      <c r="N11" s="13">
        <f>IF('Données projet'!$A$36&gt;35,N10+M11-V10,IF(A11&lt;'Données projet'!$A$36,$K$205^A11,IF(A11='Données projet'!$A$36,'Données projet'!$B$36,N10+M11-V10)))</f>
        <v>9.6017800156830688</v>
      </c>
      <c r="O11" s="13">
        <f>N11*VLOOKUP('Données projet'!$B$9,Paramètres!$A$1:$I$89,3,0)*VLOOKUP('Données projet'!$B$9,Paramètres!$A$1:$I$89,5,0)</f>
        <v>5.7418644493784763</v>
      </c>
      <c r="P11" s="13">
        <f t="shared" si="33"/>
        <v>2.1589930229521412</v>
      </c>
      <c r="Q11" s="20">
        <f t="shared" si="2"/>
        <v>13.760660097642491</v>
      </c>
      <c r="R11" s="59">
        <f t="shared" si="0"/>
        <v>239.84949525487437</v>
      </c>
      <c r="S11" s="59">
        <f ca="1">AVERAGE(OFFSET($R$3,0,0,'Données projet'!$E$9+1,1))-AVERAGE(OFFSET($H$3,0,0,'Données projet'!$E$9+1,1))</f>
        <v>312.21112796780687</v>
      </c>
      <c r="T11" s="59">
        <f t="shared" si="34"/>
        <v>318.74634178809458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58.993924739851117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28.136694857142849</v>
      </c>
      <c r="AK11" s="13">
        <f t="shared" si="35"/>
        <v>8.792851913254415</v>
      </c>
      <c r="AL11" s="20">
        <f t="shared" si="4"/>
        <v>64.318960625108559</v>
      </c>
      <c r="AM11" s="59">
        <f t="shared" si="5"/>
        <v>290.40779578234043</v>
      </c>
      <c r="AN11" s="59">
        <f ca="1">AVERAGE(OFFSET($AM$3,0,0,'Données projet'!$E$10+1,1))-AVERAGE(OFFSET($H$3,0,0,'Données projet'!$E$10+1,1))</f>
        <v>608.11285041597125</v>
      </c>
      <c r="AO11" s="59">
        <f t="shared" si="36"/>
        <v>282.40007659049331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58.993924739851117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7.6601960784313725</v>
      </c>
      <c r="BD11" s="12">
        <f>IF('Données projet'!$A$88&gt;35,BD10+BC11-BL10,IF(A11&lt;'Données projet'!$A$88,$BA$205^A11,IF(A11='Données projet'!$A$88,'Données projet'!$B$88,BD10+BC11-BL10)))</f>
        <v>61.281568627450966</v>
      </c>
      <c r="BE11" s="13">
        <f>BD11*VLOOKUP('Données projet'!$B$11,Paramètres!$A$1:$I$89,3,0)*VLOOKUP('Données projet'!$B$11,Paramètres!$A$1:$I$89,5,0)</f>
        <v>28.679774117647053</v>
      </c>
      <c r="BF11" s="13">
        <f t="shared" si="37"/>
        <v>8.942644713437625</v>
      </c>
      <c r="BG11" s="20">
        <f t="shared" si="7"/>
        <v>65.52571279747248</v>
      </c>
      <c r="BH11" s="59">
        <f t="shared" si="8"/>
        <v>291.61454795470434</v>
      </c>
      <c r="BI11" s="59">
        <f ca="1">AVERAGE(OFFSET($BH$3,0,0,'Données projet'!$E$11+1,1))-AVERAGE(OFFSET($H$3,0,0,'Données projet'!$E$11+1,1))</f>
        <v>355.12987360915633</v>
      </c>
      <c r="BJ11" s="59">
        <f t="shared" si="38"/>
        <v>286.78588538798715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58.993924739851117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58.993924739851117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58.993924739851117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58.993924739851117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58.993924739851117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58.993924739851117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58.993924739851117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1.7000000000000002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6.2333333333333343</v>
      </c>
      <c r="H12" s="67">
        <f t="shared" si="1"/>
        <v>216.48000000000002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59.184855539716651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7.1952941176470588</v>
      </c>
      <c r="N12" s="13">
        <f>IF('Données projet'!$A$36&gt;35,N11+M12-V11,IF(A12&lt;'Données projet'!$A$36,$K$205^A12,IF(A12='Données projet'!$A$36,'Données projet'!$B$36,N11+M12-V11)))</f>
        <v>12.739304566466691</v>
      </c>
      <c r="O12" s="13">
        <f>N12*VLOOKUP('Données projet'!$B$9,Paramètres!$A$1:$I$89,3,0)*VLOOKUP('Données projet'!$B$9,Paramètres!$A$1:$I$89,5,0)</f>
        <v>7.6181041307470823</v>
      </c>
      <c r="P12" s="13">
        <f t="shared" si="33"/>
        <v>2.7717368121157255</v>
      </c>
      <c r="Q12" s="20">
        <f t="shared" si="2"/>
        <v>18.095639642152722</v>
      </c>
      <c r="R12" s="59">
        <f t="shared" si="0"/>
        <v>246.10677662111377</v>
      </c>
      <c r="S12" s="59">
        <f ca="1">AVERAGE(OFFSET($R$3,0,0,'Données projet'!$E$9+1,1))-AVERAGE(OFFSET($H$3,0,0,'Données projet'!$E$9+1,1))</f>
        <v>312.21112796780687</v>
      </c>
      <c r="T12" s="59">
        <f t="shared" si="34"/>
        <v>318.74634178809458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59.184855539716651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31.653781714285703</v>
      </c>
      <c r="AK12" s="13">
        <f t="shared" si="35"/>
        <v>9.757265618420071</v>
      </c>
      <c r="AL12" s="20">
        <f t="shared" si="4"/>
        <v>72.124240771129223</v>
      </c>
      <c r="AM12" s="59">
        <f t="shared" si="5"/>
        <v>300.13537775009024</v>
      </c>
      <c r="AN12" s="59">
        <f ca="1">AVERAGE(OFFSET($AM$3,0,0,'Données projet'!$E$10+1,1))-AVERAGE(OFFSET($H$3,0,0,'Données projet'!$E$10+1,1))</f>
        <v>608.11285041597125</v>
      </c>
      <c r="AO12" s="59">
        <f t="shared" si="36"/>
        <v>282.40007659049331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59.184855539716651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7.6601960784313725</v>
      </c>
      <c r="BD12" s="12">
        <f>IF('Données projet'!$A$88&gt;35,BD11+BC12-BL11,IF(A12&lt;'Données projet'!$A$88,$BA$205^A12,IF(A12='Données projet'!$A$88,'Données projet'!$B$88,BD11+BC12-BL11)))</f>
        <v>68.941764705882335</v>
      </c>
      <c r="BE12" s="13">
        <f>BD12*VLOOKUP('Données projet'!$B$11,Paramètres!$A$1:$I$89,3,0)*VLOOKUP('Données projet'!$B$11,Paramètres!$A$1:$I$89,5,0)</f>
        <v>32.264745882352933</v>
      </c>
      <c r="BF12" s="13">
        <f t="shared" si="37"/>
        <v>9.9234879264418083</v>
      </c>
      <c r="BG12" s="20">
        <f t="shared" si="7"/>
        <v>73.477840550317495</v>
      </c>
      <c r="BH12" s="59">
        <f t="shared" si="8"/>
        <v>301.48897752927854</v>
      </c>
      <c r="BI12" s="59">
        <f ca="1">AVERAGE(OFFSET($BH$3,0,0,'Données projet'!$E$11+1,1))-AVERAGE(OFFSET($H$3,0,0,'Données projet'!$E$11+1,1))</f>
        <v>355.12987360915633</v>
      </c>
      <c r="BJ12" s="59">
        <f t="shared" si="38"/>
        <v>286.78588538798715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59.184855539716651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59.184855539716651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59.184855539716651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59.184855539716651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59.184855539716651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59.184855539716651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59.184855539716651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1.7000000000000002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6.2333333333333343</v>
      </c>
      <c r="H13" s="67">
        <f t="shared" si="1"/>
        <v>216.48000000000002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59.372474117061842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7.1952941176470588</v>
      </c>
      <c r="N13" s="13">
        <f>IF('Données projet'!$A$36&gt;35,N12+M13-V12,IF(A13&lt;'Données projet'!$A$36,$K$205^A13,IF(A13='Données projet'!$A$36,'Données projet'!$B$36,N12+M13-V12)))</f>
        <v>16.902061968939393</v>
      </c>
      <c r="O13" s="13">
        <f>N13*VLOOKUP('Données projet'!$B$9,Paramètres!$A$1:$I$89,3,0)*VLOOKUP('Données projet'!$B$9,Paramètres!$A$1:$I$89,5,0)</f>
        <v>10.107433057425759</v>
      </c>
      <c r="P13" s="13">
        <f t="shared" si="33"/>
        <v>3.5583834102125023</v>
      </c>
      <c r="Q13" s="20">
        <f t="shared" si="2"/>
        <v>23.80129701446997</v>
      </c>
      <c r="R13" s="59">
        <f t="shared" si="0"/>
        <v>253.7225909992523</v>
      </c>
      <c r="S13" s="59">
        <f ca="1">AVERAGE(OFFSET($R$3,0,0,'Données projet'!$E$9+1,1))-AVERAGE(OFFSET($H$3,0,0,'Données projet'!$E$9+1,1))</f>
        <v>312.21112796780687</v>
      </c>
      <c r="T13" s="59">
        <f t="shared" si="34"/>
        <v>318.74634178809458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59.372474117061842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35.170868571428556</v>
      </c>
      <c r="AK13" s="13">
        <f t="shared" si="35"/>
        <v>10.709259603674569</v>
      </c>
      <c r="AL13" s="20">
        <f t="shared" si="4"/>
        <v>79.90788990497127</v>
      </c>
      <c r="AM13" s="59">
        <f t="shared" si="5"/>
        <v>309.82918388975361</v>
      </c>
      <c r="AN13" s="59">
        <f ca="1">AVERAGE(OFFSET($AM$3,0,0,'Données projet'!$E$10+1,1))-AVERAGE(OFFSET($H$3,0,0,'Données projet'!$E$10+1,1))</f>
        <v>608.11285041597125</v>
      </c>
      <c r="AO13" s="59">
        <f t="shared" si="36"/>
        <v>282.40007659049331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59.372474117061842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7.6601960784313725</v>
      </c>
      <c r="BD13" s="12">
        <f>IF('Données projet'!$A$88&gt;35,BD12+BC13-BL12,IF(A13&lt;'Données projet'!$A$88,$BA$205^A13,IF(A13='Données projet'!$A$88,'Données projet'!$B$88,BD12+BC13-BL12)))</f>
        <v>76.601960784313704</v>
      </c>
      <c r="BE13" s="13">
        <f>BD13*VLOOKUP('Données projet'!$B$11,Paramètres!$A$1:$I$89,3,0)*VLOOKUP('Données projet'!$B$11,Paramètres!$A$1:$I$89,5,0)</f>
        <v>35.84971764705881</v>
      </c>
      <c r="BF13" s="13">
        <f t="shared" si="37"/>
        <v>10.891699840329213</v>
      </c>
      <c r="BG13" s="20">
        <f t="shared" si="7"/>
        <v>81.407968790534127</v>
      </c>
      <c r="BH13" s="59">
        <f t="shared" si="8"/>
        <v>311.32926277531647</v>
      </c>
      <c r="BI13" s="59">
        <f ca="1">AVERAGE(OFFSET($BH$3,0,0,'Données projet'!$E$11+1,1))-AVERAGE(OFFSET($H$3,0,0,'Données projet'!$E$11+1,1))</f>
        <v>355.12987360915633</v>
      </c>
      <c r="BJ13" s="59">
        <f t="shared" si="38"/>
        <v>286.78588538798715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59.372474117061842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59.372474117061842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59.372474117061842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59.372474117061842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59.372474117061842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59.372474117061842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59.372474117061842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1.7000000000000002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6.2333333333333343</v>
      </c>
      <c r="H14" s="67">
        <f t="shared" si="1"/>
        <v>216.48000000000002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59.556837931542383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7.1952941176470588</v>
      </c>
      <c r="N14" s="13">
        <f>IF('Données projet'!$A$36&gt;35,N13+M14-V13,IF(A14&lt;'Données projet'!$A$36,$K$205^A14,IF(A14='Données projet'!$A$36,'Données projet'!$B$36,N13+M14-V13)))</f>
        <v>22.425062318853254</v>
      </c>
      <c r="O14" s="13">
        <f>N14*VLOOKUP('Données projet'!$B$9,Paramètres!$A$1:$I$89,3,0)*VLOOKUP('Données projet'!$B$9,Paramètres!$A$1:$I$89,5,0)</f>
        <v>13.410187266674248</v>
      </c>
      <c r="P14" s="13">
        <f t="shared" si="33"/>
        <v>4.5682881717800319</v>
      </c>
      <c r="Q14" s="20">
        <f t="shared" si="2"/>
        <v>31.312511388641202</v>
      </c>
      <c r="R14" s="59">
        <f t="shared" si="0"/>
        <v>263.13202824874105</v>
      </c>
      <c r="S14" s="59">
        <f ca="1">AVERAGE(OFFSET($R$3,0,0,'Données projet'!$E$9+1,1))-AVERAGE(OFFSET($H$3,0,0,'Données projet'!$E$9+1,1))</f>
        <v>312.21112796780687</v>
      </c>
      <c r="T14" s="59">
        <f t="shared" si="34"/>
        <v>318.74634178809458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59.556837931542383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38.687955428571414</v>
      </c>
      <c r="AK14" s="13">
        <f t="shared" si="35"/>
        <v>11.650217223542473</v>
      </c>
      <c r="AL14" s="20">
        <f t="shared" si="4"/>
        <v>87.672317369098337</v>
      </c>
      <c r="AM14" s="59">
        <f t="shared" si="5"/>
        <v>319.49183422919816</v>
      </c>
      <c r="AN14" s="59">
        <f ca="1">AVERAGE(OFFSET($AM$3,0,0,'Données projet'!$E$10+1,1))-AVERAGE(OFFSET($H$3,0,0,'Données projet'!$E$10+1,1))</f>
        <v>608.11285041597125</v>
      </c>
      <c r="AO14" s="59">
        <f t="shared" si="36"/>
        <v>282.40007659049331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59.556837931542383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7.6601960784313725</v>
      </c>
      <c r="BD14" s="12">
        <f>IF('Données projet'!$A$88&gt;35,BD13+BC14-BL13,IF(A14&lt;'Données projet'!$A$88,$BA$205^A14,IF(A14='Données projet'!$A$88,'Données projet'!$B$88,BD13+BC14-BL13)))</f>
        <v>84.262156862745073</v>
      </c>
      <c r="BE14" s="13">
        <f>BD14*VLOOKUP('Données projet'!$B$11,Paramètres!$A$1:$I$89,3,0)*VLOOKUP('Données projet'!$B$11,Paramètres!$A$1:$I$89,5,0)</f>
        <v>39.434689411764694</v>
      </c>
      <c r="BF14" s="13">
        <f t="shared" si="37"/>
        <v>11.848687376102017</v>
      </c>
      <c r="BG14" s="20">
        <f t="shared" si="7"/>
        <v>89.318547905534516</v>
      </c>
      <c r="BH14" s="59">
        <f t="shared" si="8"/>
        <v>321.13806476563434</v>
      </c>
      <c r="BI14" s="59">
        <f ca="1">AVERAGE(OFFSET($BH$3,0,0,'Données projet'!$E$11+1,1))-AVERAGE(OFFSET($H$3,0,0,'Données projet'!$E$11+1,1))</f>
        <v>355.12987360915633</v>
      </c>
      <c r="BJ14" s="59">
        <f t="shared" si="38"/>
        <v>286.78588538798715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59.556837931542383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59.556837931542383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59.556837931542383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59.556837931542383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59.556837931542383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59.556837931542383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59.556837931542383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1.7000000000000002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6.2333333333333343</v>
      </c>
      <c r="H15" s="67">
        <f t="shared" si="1"/>
        <v>216.48000000000002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59.73800344601743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7.1952941176470588</v>
      </c>
      <c r="N15" s="13">
        <f>IF('Données projet'!$A$36&gt;35,N14+M15-V14,IF(A15&lt;'Données projet'!$A$36,$K$205^A15,IF(A15='Données projet'!$A$36,'Données projet'!$B$36,N14+M15-V14)))</f>
        <v>29.752785247657449</v>
      </c>
      <c r="O15" s="13">
        <f>N15*VLOOKUP('Données projet'!$B$9,Paramètres!$A$1:$I$89,3,0)*VLOOKUP('Données projet'!$B$9,Paramètres!$A$1:$I$89,5,0)</f>
        <v>17.792165578099155</v>
      </c>
      <c r="P15" s="13">
        <f t="shared" si="33"/>
        <v>5.8648139940544119</v>
      </c>
      <c r="Q15" s="20">
        <f t="shared" si="2"/>
        <v>41.202572754834129</v>
      </c>
      <c r="R15" s="59">
        <f t="shared" si="0"/>
        <v>274.90858539023134</v>
      </c>
      <c r="S15" s="59">
        <f ca="1">AVERAGE(OFFSET($R$3,0,0,'Données projet'!$E$9+1,1))-AVERAGE(OFFSET($H$3,0,0,'Données projet'!$E$9+1,1))</f>
        <v>312.21112796780687</v>
      </c>
      <c r="T15" s="59">
        <f t="shared" si="34"/>
        <v>318.74634178809458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59.73800344601743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42.205042285714271</v>
      </c>
      <c r="AK15" s="13">
        <f t="shared" si="35"/>
        <v>12.581255887241159</v>
      </c>
      <c r="AL15" s="20">
        <f t="shared" si="4"/>
        <v>95.419469317897367</v>
      </c>
      <c r="AM15" s="59">
        <f t="shared" si="5"/>
        <v>329.12548195329458</v>
      </c>
      <c r="AN15" s="59">
        <f ca="1">AVERAGE(OFFSET($AM$3,0,0,'Données projet'!$E$10+1,1))-AVERAGE(OFFSET($H$3,0,0,'Données projet'!$E$10+1,1))</f>
        <v>608.11285041597125</v>
      </c>
      <c r="AO15" s="59">
        <f t="shared" si="36"/>
        <v>282.40007659049331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59.73800344601743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7.6601960784313725</v>
      </c>
      <c r="BD15" s="12">
        <f>IF('Données projet'!$A$88&gt;35,BD14+BC15-BL14,IF(A15&lt;'Données projet'!$A$88,$BA$205^A15,IF(A15='Données projet'!$A$88,'Données projet'!$B$88,BD14+BC15-BL14)))</f>
        <v>91.922352941176442</v>
      </c>
      <c r="BE15" s="13">
        <f>BD15*VLOOKUP('Données projet'!$B$11,Paramètres!$A$1:$I$89,3,0)*VLOOKUP('Données projet'!$B$11,Paramètres!$A$1:$I$89,5,0)</f>
        <v>43.019661176470578</v>
      </c>
      <c r="BF15" s="13">
        <f t="shared" si="37"/>
        <v>12.795586978878276</v>
      </c>
      <c r="BG15" s="20">
        <f t="shared" si="7"/>
        <v>97.211557203899247</v>
      </c>
      <c r="BH15" s="59">
        <f t="shared" si="8"/>
        <v>330.91756983929645</v>
      </c>
      <c r="BI15" s="59">
        <f ca="1">AVERAGE(OFFSET($BH$3,0,0,'Données projet'!$E$11+1,1))-AVERAGE(OFFSET($H$3,0,0,'Données projet'!$E$11+1,1))</f>
        <v>355.12987360915633</v>
      </c>
      <c r="BJ15" s="59">
        <f t="shared" si="38"/>
        <v>286.78588538798715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59.73800344601743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59.73800344601743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59.73800344601743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59.73800344601743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59.73800344601743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59.73800344601743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59.73800344601743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1.7000000000000002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6.2333333333333343</v>
      </c>
      <c r="H16" s="67">
        <f t="shared" si="1"/>
        <v>216.48000000000002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59.916026143841762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7.1952941176470588</v>
      </c>
      <c r="N16" s="13">
        <f>IF('Données projet'!$A$36&gt;35,N15+M16-V15,IF(A16&lt;'Données projet'!$A$36,$K$205^A16,IF(A16='Données projet'!$A$36,'Données projet'!$B$36,N15+M16-V15)))</f>
        <v>39.474950722834407</v>
      </c>
      <c r="O16" s="13">
        <f>N16*VLOOKUP('Données projet'!$B$9,Paramètres!$A$1:$I$89,3,0)*VLOOKUP('Données projet'!$B$9,Paramètres!$A$1:$I$89,5,0)</f>
        <v>23.606020532254977</v>
      </c>
      <c r="P16" s="13">
        <f t="shared" si="33"/>
        <v>7.5293067975293804</v>
      </c>
      <c r="Q16" s="20">
        <f t="shared" si="2"/>
        <v>54.227361766041078</v>
      </c>
      <c r="R16" s="59">
        <f t="shared" si="0"/>
        <v>289.80834651568307</v>
      </c>
      <c r="S16" s="59">
        <f ca="1">AVERAGE(OFFSET($R$3,0,0,'Données projet'!$E$9+1,1))-AVERAGE(OFFSET($H$3,0,0,'Données projet'!$E$9+1,1))</f>
        <v>312.21112796780687</v>
      </c>
      <c r="T16" s="59">
        <f t="shared" si="34"/>
        <v>318.74634178809458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59.916026143841762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45.722129142857128</v>
      </c>
      <c r="AK16" s="13">
        <f t="shared" si="35"/>
        <v>13.50329614922042</v>
      </c>
      <c r="AL16" s="20">
        <f t="shared" si="4"/>
        <v>103.1509490503684</v>
      </c>
      <c r="AM16" s="59">
        <f t="shared" si="5"/>
        <v>338.73193380001038</v>
      </c>
      <c r="AN16" s="59">
        <f ca="1">AVERAGE(OFFSET($AM$3,0,0,'Données projet'!$E$10+1,1))-AVERAGE(OFFSET($H$3,0,0,'Données projet'!$E$10+1,1))</f>
        <v>608.11285041597125</v>
      </c>
      <c r="AO16" s="59">
        <f t="shared" si="36"/>
        <v>282.40007659049331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59.916026143841762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7.6601960784313725</v>
      </c>
      <c r="BD16" s="12">
        <f>IF('Données projet'!$A$88&gt;35,BD15+BC16-BL15,IF(A16&lt;'Données projet'!$A$88,$BA$205^A16,IF(A16='Données projet'!$A$88,'Données projet'!$B$88,BD15+BC16-BL15)))</f>
        <v>99.582549019607811</v>
      </c>
      <c r="BE16" s="13">
        <f>BD16*VLOOKUP('Données projet'!$B$11,Paramètres!$A$1:$I$89,3,0)*VLOOKUP('Données projet'!$B$11,Paramètres!$A$1:$I$89,5,0)</f>
        <v>46.604632941176455</v>
      </c>
      <c r="BF16" s="13">
        <f t="shared" si="37"/>
        <v>13.733334885440446</v>
      </c>
      <c r="BG16" s="20">
        <f t="shared" si="7"/>
        <v>105.08862729802443</v>
      </c>
      <c r="BH16" s="59">
        <f t="shared" si="8"/>
        <v>340.66961204766642</v>
      </c>
      <c r="BI16" s="59">
        <f ca="1">AVERAGE(OFFSET($BH$3,0,0,'Données projet'!$E$11+1,1))-AVERAGE(OFFSET($H$3,0,0,'Données projet'!$E$11+1,1))</f>
        <v>355.12987360915633</v>
      </c>
      <c r="BJ16" s="59">
        <f t="shared" si="38"/>
        <v>286.78588538798715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59.916026143841762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59.916026143841762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59.916026143841762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59.916026143841762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59.916026143841762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59.916026143841762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59.916026143841762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1.7000000000000002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6.2333333333333343</v>
      </c>
      <c r="H17" s="67">
        <f t="shared" si="1"/>
        <v>216.48000000000002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60.090960545857953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7.1952941176470588</v>
      </c>
      <c r="N17" s="13">
        <f>IF('Données projet'!$A$36&gt;35,N16+M17-V16,IF(A17&lt;'Données projet'!$A$36,$K$205^A17,IF(A17='Données projet'!$A$36,'Données projet'!$B$36,N16+M17-V16)))</f>
        <v>52.373978489724536</v>
      </c>
      <c r="O17" s="13">
        <f>N17*VLOOKUP('Données projet'!$B$9,Paramètres!$A$1:$I$89,3,0)*VLOOKUP('Données projet'!$B$9,Paramètres!$A$1:$I$89,5,0)</f>
        <v>31.319639136855276</v>
      </c>
      <c r="P17" s="13">
        <f t="shared" si="33"/>
        <v>9.6661992876148126</v>
      </c>
      <c r="Q17" s="20">
        <f t="shared" si="2"/>
        <v>71.383668589285392</v>
      </c>
      <c r="R17" s="59">
        <f t="shared" si="0"/>
        <v>308.82830170187566</v>
      </c>
      <c r="S17" s="59">
        <f ca="1">AVERAGE(OFFSET($R$3,0,0,'Données projet'!$E$9+1,1))-AVERAGE(OFFSET($H$3,0,0,'Données projet'!$E$9+1,1))</f>
        <v>312.21112796780687</v>
      </c>
      <c r="T17" s="59">
        <f t="shared" si="34"/>
        <v>318.74634178809458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60.090960545857953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49.239215999999978</v>
      </c>
      <c r="AK17" s="13">
        <f t="shared" si="35"/>
        <v>14.417108895027585</v>
      </c>
      <c r="AL17" s="20">
        <f t="shared" si="4"/>
        <v>110.86809919217301</v>
      </c>
      <c r="AM17" s="59">
        <f t="shared" si="5"/>
        <v>348.3127323047633</v>
      </c>
      <c r="AN17" s="59">
        <f ca="1">AVERAGE(OFFSET($AM$3,0,0,'Données projet'!$E$10+1,1))-AVERAGE(OFFSET($H$3,0,0,'Données projet'!$E$10+1,1))</f>
        <v>608.11285041597125</v>
      </c>
      <c r="AO17" s="59">
        <f t="shared" si="36"/>
        <v>282.40007659049331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60.090960545857953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7.6601960784313725</v>
      </c>
      <c r="BD17" s="12">
        <f>IF('Données projet'!$A$88&gt;35,BD16+BC17-BL16,IF(A17&lt;'Données projet'!$A$88,$BA$205^A17,IF(A17='Données projet'!$A$88,'Données projet'!$B$88,BD16+BC17-BL16)))</f>
        <v>107.24274509803918</v>
      </c>
      <c r="BE17" s="13">
        <f>BD17*VLOOKUP('Données projet'!$B$11,Paramètres!$A$1:$I$89,3,0)*VLOOKUP('Données projet'!$B$11,Paramètres!$A$1:$I$89,5,0)</f>
        <v>50.189604705882338</v>
      </c>
      <c r="BF17" s="13">
        <f t="shared" si="37"/>
        <v>14.66271511394697</v>
      </c>
      <c r="BG17" s="20">
        <f t="shared" si="7"/>
        <v>112.95112368620271</v>
      </c>
      <c r="BH17" s="59">
        <f t="shared" si="8"/>
        <v>350.395756798793</v>
      </c>
      <c r="BI17" s="59">
        <f ca="1">AVERAGE(OFFSET($BH$3,0,0,'Données projet'!$E$11+1,1))-AVERAGE(OFFSET($H$3,0,0,'Données projet'!$E$11+1,1))</f>
        <v>355.12987360915633</v>
      </c>
      <c r="BJ17" s="59">
        <f t="shared" si="38"/>
        <v>286.78588538798715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60.090960545857953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60.090960545857953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60.090960545857953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60.090960545857953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60.090960545857953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60.090960545857953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60.090960545857953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1.7000000000000002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6.2333333333333343</v>
      </c>
      <c r="H18" s="67">
        <f t="shared" si="1"/>
        <v>216.48000000000002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60.262860227093896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7.1952941176470588</v>
      </c>
      <c r="N18" s="13">
        <f>IF('Données projet'!$A$36&gt;35,N17+M18-V17,IF(A18&lt;'Données projet'!$A$36,$K$205^A18,IF(A18='Données projet'!$A$36,'Données projet'!$B$36,N17+M18-V17)))</f>
        <v>69.487955592441367</v>
      </c>
      <c r="O18" s="13">
        <f>N18*VLOOKUP('Données projet'!$B$9,Paramètres!$A$1:$I$89,3,0)*VLOOKUP('Données projet'!$B$9,Paramètres!$A$1:$I$89,5,0)</f>
        <v>41.553797444279937</v>
      </c>
      <c r="P18" s="13">
        <f t="shared" si="33"/>
        <v>12.409563214842624</v>
      </c>
      <c r="Q18" s="20">
        <f t="shared" si="2"/>
        <v>93.986186481305097</v>
      </c>
      <c r="R18" s="59">
        <f t="shared" si="0"/>
        <v>333.28334064731604</v>
      </c>
      <c r="S18" s="59">
        <f ca="1">AVERAGE(OFFSET($R$3,0,0,'Données projet'!$E$9+1,1))-AVERAGE(OFFSET($H$3,0,0,'Données projet'!$E$9+1,1))</f>
        <v>312.21112796780687</v>
      </c>
      <c r="T18" s="59">
        <f t="shared" si="34"/>
        <v>318.74634178809458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60.262860227093896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52.756302857142842</v>
      </c>
      <c r="AK18" s="13">
        <f t="shared" si="35"/>
        <v>15.323348643415981</v>
      </c>
      <c r="AL18" s="20">
        <f t="shared" si="4"/>
        <v>118.57205969680662</v>
      </c>
      <c r="AM18" s="59">
        <f t="shared" si="5"/>
        <v>357.86921386281756</v>
      </c>
      <c r="AN18" s="59">
        <f ca="1">AVERAGE(OFFSET($AM$3,0,0,'Données projet'!$E$10+1,1))-AVERAGE(OFFSET($H$3,0,0,'Données projet'!$E$10+1,1))</f>
        <v>608.11285041597125</v>
      </c>
      <c r="AO18" s="59">
        <f t="shared" si="36"/>
        <v>282.40007659049331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60.262860227093896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7.6601960784313725</v>
      </c>
      <c r="BD18" s="12">
        <f>IF('Données projet'!$A$88&gt;35,BD17+BC18-BL17,IF(A18&lt;'Données projet'!$A$88,$BA$205^A18,IF(A18='Données projet'!$A$88,'Données projet'!$B$88,BD17+BC18-BL17)))</f>
        <v>114.90294117647055</v>
      </c>
      <c r="BE18" s="13">
        <f>BD18*VLOOKUP('Données projet'!$B$11,Paramètres!$A$1:$I$89,3,0)*VLOOKUP('Données projet'!$B$11,Paramètres!$A$1:$I$89,5,0)</f>
        <v>53.774576470588215</v>
      </c>
      <c r="BF18" s="13">
        <f t="shared" si="37"/>
        <v>15.584393333367014</v>
      </c>
      <c r="BG18" s="20">
        <f t="shared" si="7"/>
        <v>120.80020574188869</v>
      </c>
      <c r="BH18" s="59">
        <f t="shared" si="8"/>
        <v>360.09735990789966</v>
      </c>
      <c r="BI18" s="59">
        <f ca="1">AVERAGE(OFFSET($BH$3,0,0,'Données projet'!$E$11+1,1))-AVERAGE(OFFSET($H$3,0,0,'Données projet'!$E$11+1,1))</f>
        <v>355.12987360915633</v>
      </c>
      <c r="BJ18" s="59">
        <f t="shared" si="38"/>
        <v>286.78588538798715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60.262860227093896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60.262860227093896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60.262860227093896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60.262860227093896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60.262860227093896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60.262860227093896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60.262860227093896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1.7000000000000002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6.2333333333333343</v>
      </c>
      <c r="H19" s="67">
        <f t="shared" si="1"/>
        <v>216.48000000000002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60.431777833170521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7.1952941176470588</v>
      </c>
      <c r="N19" s="13">
        <f>IF('Données projet'!$A$36&gt;35,N18+M19-V18,IF(A19&lt;'Données projet'!$A$36,$K$205^A19,IF(A19='Données projet'!$A$36,'Données projet'!$B$36,N18+M19-V18)))</f>
        <v>92.194179469570756</v>
      </c>
      <c r="O19" s="13">
        <f>N19*VLOOKUP('Données projet'!$B$9,Paramètres!$A$1:$I$89,3,0)*VLOOKUP('Données projet'!$B$9,Paramètres!$A$1:$I$89,5,0)</f>
        <v>55.13211932280332</v>
      </c>
      <c r="P19" s="13">
        <f t="shared" si="33"/>
        <v>15.931521231978957</v>
      </c>
      <c r="Q19" s="20">
        <f t="shared" si="2"/>
        <v>123.76917396624582</v>
      </c>
      <c r="R19" s="59">
        <f t="shared" si="0"/>
        <v>364.90791491009327</v>
      </c>
      <c r="S19" s="59">
        <f ca="1">AVERAGE(OFFSET($R$3,0,0,'Données projet'!$E$9+1,1))-AVERAGE(OFFSET($H$3,0,0,'Données projet'!$E$9+1,1))</f>
        <v>312.21112796780687</v>
      </c>
      <c r="T19" s="59">
        <f t="shared" si="34"/>
        <v>318.74634178809458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60.431777833170521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56.273389714285692</v>
      </c>
      <c r="AK19" s="13">
        <f t="shared" si="35"/>
        <v>16.222577706752112</v>
      </c>
      <c r="AL19" s="20">
        <f t="shared" si="4"/>
        <v>126.26380992497417</v>
      </c>
      <c r="AM19" s="59">
        <f t="shared" si="5"/>
        <v>367.40255086882166</v>
      </c>
      <c r="AN19" s="59">
        <f ca="1">AVERAGE(OFFSET($AM$3,0,0,'Données projet'!$E$10+1,1))-AVERAGE(OFFSET($H$3,0,0,'Données projet'!$E$10+1,1))</f>
        <v>608.11285041597125</v>
      </c>
      <c r="AO19" s="59">
        <f t="shared" si="36"/>
        <v>282.40007659049331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60.431777833170521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7.6601960784313725</v>
      </c>
      <c r="BD19" s="12">
        <f>IF('Données projet'!$A$88&gt;35,BD18+BC19-BL18,IF(A19&lt;'Données projet'!$A$88,$BA$205^A19,IF(A19='Données projet'!$A$88,'Données projet'!$B$88,BD18+BC19-BL18)))</f>
        <v>122.56313725490192</v>
      </c>
      <c r="BE19" s="13">
        <f>BD19*VLOOKUP('Données projet'!$B$11,Paramètres!$A$1:$I$89,3,0)*VLOOKUP('Données projet'!$B$11,Paramètres!$A$1:$I$89,5,0)</f>
        <v>57.359548235294099</v>
      </c>
      <c r="BF19" s="13">
        <f t="shared" si="37"/>
        <v>16.49894143547829</v>
      </c>
      <c r="BG19" s="20">
        <f t="shared" si="7"/>
        <v>128.63686950992857</v>
      </c>
      <c r="BH19" s="59">
        <f t="shared" si="8"/>
        <v>369.77561045377604</v>
      </c>
      <c r="BI19" s="59">
        <f ca="1">AVERAGE(OFFSET($BH$3,0,0,'Données projet'!$E$11+1,1))-AVERAGE(OFFSET($H$3,0,0,'Données projet'!$E$11+1,1))</f>
        <v>355.12987360915633</v>
      </c>
      <c r="BJ19" s="59">
        <f t="shared" si="38"/>
        <v>286.78588538798715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60.431777833170521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60.431777833170521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60.431777833170521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60.431777833170521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60.431777833170521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60.431777833170521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60.431777833170521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1.7000000000000002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6.2333333333333343</v>
      </c>
      <c r="H20" s="67">
        <f t="shared" si="1"/>
        <v>216.48000000000002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60.597765096424901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122.32</v>
      </c>
      <c r="L20" s="12">
        <f>VLOOKUP(A20,'Données projet'!$A$35:$I$55,9,0)</f>
        <v>7.1952941176470588</v>
      </c>
      <c r="M20" s="12">
        <f t="array" ref="M20">INDEX(L:L,MIN(IF(ISNUMBER(L20:L216),ROW(L20:L216),"")))</f>
        <v>7.1952941176470588</v>
      </c>
      <c r="N20" s="13">
        <f>IF('Données projet'!$A$36&gt;35,N19+M20-V19,IF(A20&lt;'Données projet'!$A$36,$K$205^A20,IF(A20='Données projet'!$A$36,'Données projet'!$B$36,N19+M20-V19)))</f>
        <v>122.32</v>
      </c>
      <c r="O20" s="13">
        <f>N20*VLOOKUP('Données projet'!$B$9,Paramètres!$A$1:$I$89,3,0)*VLOOKUP('Données projet'!$B$9,Paramètres!$A$1:$I$89,5,0)</f>
        <v>73.147360000000006</v>
      </c>
      <c r="P20" s="13">
        <f t="shared" si="33"/>
        <v>20.453046120222783</v>
      </c>
      <c r="Q20" s="20">
        <f t="shared" si="2"/>
        <v>163.02070732605469</v>
      </c>
      <c r="R20" s="59">
        <f t="shared" si="0"/>
        <v>405.99029045739042</v>
      </c>
      <c r="S20" s="59">
        <f ca="1">AVERAGE(OFFSET($R$3,0,0,'Données projet'!$E$9+1,1))-AVERAGE(OFFSET($H$3,0,0,'Données projet'!$E$9+1,1))</f>
        <v>312.21112796780687</v>
      </c>
      <c r="T20" s="59">
        <f t="shared" si="34"/>
        <v>318.74634178809458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40.76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0.45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14.49315281448583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14.49315281448583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60.597765096424901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59.790476571428549</v>
      </c>
      <c r="AK20" s="13">
        <f t="shared" si="35"/>
        <v>17.115284135607041</v>
      </c>
      <c r="AL20" s="20">
        <f t="shared" si="4"/>
        <v>133.94419989808699</v>
      </c>
      <c r="AM20" s="59">
        <f t="shared" si="5"/>
        <v>376.91378302942275</v>
      </c>
      <c r="AN20" s="59">
        <f ca="1">AVERAGE(OFFSET($AM$3,0,0,'Données projet'!$E$10+1,1))-AVERAGE(OFFSET($H$3,0,0,'Données projet'!$E$10+1,1))</f>
        <v>608.11285041597125</v>
      </c>
      <c r="AO20" s="59">
        <f t="shared" si="36"/>
        <v>282.40007659049331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60.597765096424901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7.6601960784313725</v>
      </c>
      <c r="BD20" s="12">
        <f>IF('Données projet'!$A$88&gt;35,BD19+BC20-BL19,IF(A20&lt;'Données projet'!$A$88,$BA$205^A20,IF(A20='Données projet'!$A$88,'Données projet'!$B$88,BD19+BC20-BL19)))</f>
        <v>130.2233333333333</v>
      </c>
      <c r="BE20" s="13">
        <f>BD20*VLOOKUP('Données projet'!$B$11,Paramètres!$A$1:$I$89,3,0)*VLOOKUP('Données projet'!$B$11,Paramètres!$A$1:$I$89,5,0)</f>
        <v>60.944519999999983</v>
      </c>
      <c r="BF20" s="13">
        <f t="shared" si="37"/>
        <v>17.406855785157887</v>
      </c>
      <c r="BG20" s="20">
        <f t="shared" si="7"/>
        <v>136.46197949248327</v>
      </c>
      <c r="BH20" s="59">
        <f t="shared" si="8"/>
        <v>379.43156262381899</v>
      </c>
      <c r="BI20" s="59">
        <f ca="1">AVERAGE(OFFSET($BH$3,0,0,'Données projet'!$E$11+1,1))-AVERAGE(OFFSET($H$3,0,0,'Données projet'!$E$11+1,1))</f>
        <v>355.12987360915633</v>
      </c>
      <c r="BJ20" s="59">
        <f t="shared" si="38"/>
        <v>286.78588538798715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60.597765096424901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60.597765096424901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60.597765096424901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60.597765096424901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60.597765096424901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60.597765096424901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60.597765096424901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1.7000000000000002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6.2333333333333343</v>
      </c>
      <c r="H21" s="67">
        <f t="shared" si="1"/>
        <v>216.48000000000002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60.760872851753746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17.686666666666667</v>
      </c>
      <c r="N21" s="13">
        <f>IF('Données projet'!$A$36&gt;35,N20+M21-V20,IF(A21&lt;'Données projet'!$A$36,$K$205^A21,IF(A21='Données projet'!$A$36,'Données projet'!$B$36,N20+M21-V20)))</f>
        <v>99.24666666666667</v>
      </c>
      <c r="O21" s="13">
        <f>N21*VLOOKUP('Données projet'!$B$9,Paramètres!$A$1:$I$89,3,0)*VLOOKUP('Données projet'!$B$9,Paramètres!$A$1:$I$89,5,0)</f>
        <v>59.34950666666667</v>
      </c>
      <c r="P21" s="13">
        <f t="shared" si="33"/>
        <v>17.003699693551216</v>
      </c>
      <c r="Q21" s="20">
        <f t="shared" si="2"/>
        <v>132.98183441071282</v>
      </c>
      <c r="R21" s="59">
        <f t="shared" si="0"/>
        <v>377.7717015338099</v>
      </c>
      <c r="S21" s="59">
        <f ca="1">AVERAGE(OFFSET($R$3,0,0,'Données projet'!$E$9+1,1))-AVERAGE(OFFSET($H$3,0,0,'Données projet'!$E$9+1,1))</f>
        <v>312.21112796780687</v>
      </c>
      <c r="T21" s="59">
        <f t="shared" si="34"/>
        <v>318.74634178809458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14.096836788611933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14.096836788611933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60.760872851753746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63.307563428571406</v>
      </c>
      <c r="AK21" s="13">
        <f t="shared" si="35"/>
        <v>18.001895319269028</v>
      </c>
      <c r="AL21" s="20">
        <f t="shared" si="4"/>
        <v>141.61397398582207</v>
      </c>
      <c r="AM21" s="59">
        <f t="shared" si="5"/>
        <v>386.40384110891915</v>
      </c>
      <c r="AN21" s="59">
        <f ca="1">AVERAGE(OFFSET($AM$3,0,0,'Données projet'!$E$10+1,1))-AVERAGE(OFFSET($H$3,0,0,'Données projet'!$E$10+1,1))</f>
        <v>608.11285041597125</v>
      </c>
      <c r="AO21" s="59">
        <f t="shared" si="36"/>
        <v>282.40007659049331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60.760872851753746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7.6601960784313725</v>
      </c>
      <c r="BD21" s="12">
        <f>IF('Données projet'!$A$88&gt;35,BD20+BC21-BL20,IF(A21&lt;'Données projet'!$A$88,$BA$205^A21,IF(A21='Données projet'!$A$88,'Données projet'!$B$88,BD20+BC21-BL20)))</f>
        <v>137.88352941176467</v>
      </c>
      <c r="BE21" s="13">
        <f>BD21*VLOOKUP('Données projet'!$B$11,Paramètres!$A$1:$I$89,3,0)*VLOOKUP('Données projet'!$B$11,Paramètres!$A$1:$I$89,5,0)</f>
        <v>64.529491764705867</v>
      </c>
      <c r="BF21" s="13">
        <f t="shared" si="37"/>
        <v>18.308571052589809</v>
      </c>
      <c r="BG21" s="20">
        <f t="shared" si="7"/>
        <v>144.2762927401233</v>
      </c>
      <c r="BH21" s="59">
        <f t="shared" si="8"/>
        <v>389.06615986322038</v>
      </c>
      <c r="BI21" s="59">
        <f ca="1">AVERAGE(OFFSET($BH$3,0,0,'Données projet'!$E$11+1,1))-AVERAGE(OFFSET($H$3,0,0,'Données projet'!$E$11+1,1))</f>
        <v>355.12987360915633</v>
      </c>
      <c r="BJ21" s="59">
        <f t="shared" si="38"/>
        <v>286.78588538798715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60.760872851753746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60.760872851753746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60.760872851753746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60.760872851753746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60.760872851753746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60.760872851753746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60.760872851753746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1.7000000000000002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6.2333333333333343</v>
      </c>
      <c r="H22" s="67">
        <f t="shared" si="1"/>
        <v>216.48000000000002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60.921151052181948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17.686666666666667</v>
      </c>
      <c r="N22" s="13">
        <f>IF('Données projet'!$A$36&gt;35,N21+M22-V21,IF(A22&lt;'Données projet'!$A$36,$K$205^A22,IF(A22='Données projet'!$A$36,'Données projet'!$B$36,N21+M22-V21)))</f>
        <v>116.93333333333334</v>
      </c>
      <c r="O22" s="13">
        <f>N22*VLOOKUP('Données projet'!$B$9,Paramètres!$A$1:$I$89,3,0)*VLOOKUP('Données projet'!$B$9,Paramètres!$A$1:$I$89,5,0)</f>
        <v>69.92613333333334</v>
      </c>
      <c r="P22" s="13">
        <f t="shared" si="33"/>
        <v>19.655112747639016</v>
      </c>
      <c r="Q22" s="20">
        <f t="shared" si="2"/>
        <v>156.02067025769352</v>
      </c>
      <c r="R22" s="59">
        <f t="shared" si="0"/>
        <v>402.62044633791623</v>
      </c>
      <c r="S22" s="59">
        <f ca="1">AVERAGE(OFFSET($R$3,0,0,'Données projet'!$E$9+1,1))-AVERAGE(OFFSET($H$3,0,0,'Données projet'!$E$9+1,1))</f>
        <v>312.21112796780687</v>
      </c>
      <c r="T22" s="59">
        <f t="shared" si="34"/>
        <v>318.74634178809458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13.711358045306911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13.711358045306911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60.921151052181948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66.82465028571427</v>
      </c>
      <c r="AK22" s="13">
        <f t="shared" si="35"/>
        <v>18.882788477272459</v>
      </c>
      <c r="AL22" s="20">
        <f t="shared" si="4"/>
        <v>149.27378917886855</v>
      </c>
      <c r="AM22" s="59">
        <f t="shared" si="5"/>
        <v>395.87356525909127</v>
      </c>
      <c r="AN22" s="59">
        <f ca="1">AVERAGE(OFFSET($AM$3,0,0,'Données projet'!$E$10+1,1))-AVERAGE(OFFSET($H$3,0,0,'Données projet'!$E$10+1,1))</f>
        <v>608.11285041597125</v>
      </c>
      <c r="AO22" s="59">
        <f t="shared" si="36"/>
        <v>282.40007659049331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60.921151052181948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7.6601960784313725</v>
      </c>
      <c r="BD22" s="12">
        <f>IF('Données projet'!$A$88&gt;35,BD21+BC22-BL21,IF(A22&lt;'Données projet'!$A$88,$BA$205^A22,IF(A22='Données projet'!$A$88,'Données projet'!$B$88,BD21+BC22-BL21)))</f>
        <v>145.54372549019604</v>
      </c>
      <c r="BE22" s="13">
        <f>BD22*VLOOKUP('Données projet'!$B$11,Paramètres!$A$1:$I$89,3,0)*VLOOKUP('Données projet'!$B$11,Paramètres!$A$1:$I$89,5,0)</f>
        <v>68.114463529411751</v>
      </c>
      <c r="BF22" s="13">
        <f t="shared" si="37"/>
        <v>19.204470883524991</v>
      </c>
      <c r="BG22" s="20">
        <f t="shared" si="7"/>
        <v>152.08047743586482</v>
      </c>
      <c r="BH22" s="59">
        <f t="shared" si="8"/>
        <v>398.68025351608753</v>
      </c>
      <c r="BI22" s="59">
        <f ca="1">AVERAGE(OFFSET($BH$3,0,0,'Données projet'!$E$11+1,1))-AVERAGE(OFFSET($H$3,0,0,'Données projet'!$E$11+1,1))</f>
        <v>355.12987360915633</v>
      </c>
      <c r="BJ22" s="59">
        <f t="shared" si="38"/>
        <v>286.78588538798715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60.921151052181948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60.921151052181948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60.921151052181948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60.921151052181948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60.921151052181948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60.921151052181948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60.921151052181948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1.7000000000000002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6.2333333333333343</v>
      </c>
      <c r="H23" s="67">
        <f t="shared" si="1"/>
        <v>216.48000000000002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61.078648784161089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17.686666666666667</v>
      </c>
      <c r="N23" s="13">
        <f>IF('Données projet'!$A$36&gt;35,N22+M23-V22,IF(A23&lt;'Données projet'!$A$36,$K$205^A23,IF(A23='Données projet'!$A$36,'Données projet'!$B$36,N22+M23-V22)))</f>
        <v>134.62</v>
      </c>
      <c r="O23" s="13">
        <f>N23*VLOOKUP('Données projet'!$B$9,Paramètres!$A$1:$I$89,3,0)*VLOOKUP('Données projet'!$B$9,Paramètres!$A$1:$I$89,5,0)</f>
        <v>80.502760000000009</v>
      </c>
      <c r="P23" s="13">
        <f t="shared" si="33"/>
        <v>22.260066705482632</v>
      </c>
      <c r="Q23" s="20">
        <f t="shared" si="2"/>
        <v>178.97858984538223</v>
      </c>
      <c r="R23" s="59">
        <f t="shared" si="0"/>
        <v>427.37807983175071</v>
      </c>
      <c r="S23" s="59">
        <f ca="1">AVERAGE(OFFSET($R$3,0,0,'Données projet'!$E$9+1,1))-AVERAGE(OFFSET($H$3,0,0,'Données projet'!$E$9+1,1))</f>
        <v>312.21112796780687</v>
      </c>
      <c r="T23" s="59">
        <f t="shared" si="34"/>
        <v>318.74634178809458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13.336420238509012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13.336420238509012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61.078648784161089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70.341737142857127</v>
      </c>
      <c r="AK23" s="13">
        <f t="shared" si="35"/>
        <v>19.758298879173367</v>
      </c>
      <c r="AL23" s="20">
        <f t="shared" si="4"/>
        <v>156.92422940503644</v>
      </c>
      <c r="AM23" s="59">
        <f t="shared" si="5"/>
        <v>405.32371939140489</v>
      </c>
      <c r="AN23" s="59">
        <f ca="1">AVERAGE(OFFSET($AM$3,0,0,'Données projet'!$E$10+1,1))-AVERAGE(OFFSET($H$3,0,0,'Données projet'!$E$10+1,1))</f>
        <v>608.11285041597125</v>
      </c>
      <c r="AO23" s="59">
        <f t="shared" si="36"/>
        <v>282.40007659049331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61.078648784161089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7.6601960784313725</v>
      </c>
      <c r="BD23" s="12">
        <f>IF('Données projet'!$A$88&gt;35,BD22+BC23-BL22,IF(A23&lt;'Données projet'!$A$88,$BA$205^A23,IF(A23='Données projet'!$A$88,'Données projet'!$B$88,BD22+BC23-BL22)))</f>
        <v>153.20392156862741</v>
      </c>
      <c r="BE23" s="13">
        <f>BD23*VLOOKUP('Données projet'!$B$11,Paramètres!$A$1:$I$89,3,0)*VLOOKUP('Données projet'!$B$11,Paramètres!$A$1:$I$89,5,0)</f>
        <v>71.69943529411762</v>
      </c>
      <c r="BF23" s="13">
        <f t="shared" si="37"/>
        <v>20.094896259086788</v>
      </c>
      <c r="BG23" s="20">
        <f t="shared" si="7"/>
        <v>159.87512745516435</v>
      </c>
      <c r="BH23" s="59">
        <f t="shared" si="8"/>
        <v>408.27461744153283</v>
      </c>
      <c r="BI23" s="59">
        <f ca="1">AVERAGE(OFFSET($BH$3,0,0,'Données projet'!$E$11+1,1))-AVERAGE(OFFSET($H$3,0,0,'Données projet'!$E$11+1,1))</f>
        <v>355.12987360915633</v>
      </c>
      <c r="BJ23" s="59">
        <f t="shared" si="38"/>
        <v>286.78588538798715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61.078648784161089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61.078648784161089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61.078648784161089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61.078648784161089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61.078648784161089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61.078648784161089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61.078648784161089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1.7000000000000002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6.2333333333333343</v>
      </c>
      <c r="H24" s="67">
        <f t="shared" si="1"/>
        <v>216.48000000000002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61.233414282602581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17.686666666666667</v>
      </c>
      <c r="N24" s="13">
        <f>IF('Données projet'!$A$36&gt;35,N23+M24-V23,IF(A24&lt;'Données projet'!$A$36,$K$205^A24,IF(A24='Données projet'!$A$36,'Données projet'!$B$36,N23+M24-V23)))</f>
        <v>152.30666666666667</v>
      </c>
      <c r="O24" s="13">
        <f>N24*VLOOKUP('Données projet'!$B$9,Paramètres!$A$1:$I$89,3,0)*VLOOKUP('Données projet'!$B$9,Paramètres!$A$1:$I$89,5,0)</f>
        <v>91.079386666666679</v>
      </c>
      <c r="P24" s="13">
        <f t="shared" si="33"/>
        <v>24.825366166504242</v>
      </c>
      <c r="Q24" s="20">
        <f t="shared" si="2"/>
        <v>201.8674445177727</v>
      </c>
      <c r="R24" s="59">
        <f t="shared" si="0"/>
        <v>452.0566302206488</v>
      </c>
      <c r="S24" s="59">
        <f ca="1">AVERAGE(OFFSET($R$3,0,0,'Données projet'!$E$9+1,1))-AVERAGE(OFFSET($H$3,0,0,'Données projet'!$E$9+1,1))</f>
        <v>312.21112796780687</v>
      </c>
      <c r="T24" s="59">
        <f t="shared" si="34"/>
        <v>318.74634178809458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12.971735125755124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12.971735125755124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61.233414282602581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73.858823999999984</v>
      </c>
      <c r="AK24" s="13">
        <f t="shared" si="35"/>
        <v>20.628726373651425</v>
      </c>
      <c r="AL24" s="20">
        <f t="shared" si="4"/>
        <v>164.56581690077618</v>
      </c>
      <c r="AM24" s="59">
        <f t="shared" si="5"/>
        <v>414.75500260365231</v>
      </c>
      <c r="AN24" s="59">
        <f ca="1">AVERAGE(OFFSET($AM$3,0,0,'Données projet'!$E$10+1,1))-AVERAGE(OFFSET($H$3,0,0,'Données projet'!$E$10+1,1))</f>
        <v>608.11285041597125</v>
      </c>
      <c r="AO24" s="59">
        <f t="shared" si="36"/>
        <v>282.40007659049331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61.233414282602581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7.6601960784313725</v>
      </c>
      <c r="BD24" s="12">
        <f>IF('Données projet'!$A$88&gt;35,BD23+BC24-BL23,IF(A24&lt;'Données projet'!$A$88,$BA$205^A24,IF(A24='Données projet'!$A$88,'Données projet'!$B$88,BD23+BC24-BL23)))</f>
        <v>160.86411764705878</v>
      </c>
      <c r="BE24" s="13">
        <f>BD24*VLOOKUP('Données projet'!$B$11,Paramètres!$A$1:$I$89,3,0)*VLOOKUP('Données projet'!$B$11,Paramètres!$A$1:$I$89,5,0)</f>
        <v>75.284407058823504</v>
      </c>
      <c r="BF24" s="13">
        <f t="shared" si="37"/>
        <v>20.980152136101097</v>
      </c>
      <c r="BG24" s="20">
        <f t="shared" si="7"/>
        <v>167.66077393116035</v>
      </c>
      <c r="BH24" s="59">
        <f t="shared" si="8"/>
        <v>417.84995963403651</v>
      </c>
      <c r="BI24" s="59">
        <f ca="1">AVERAGE(OFFSET($BH$3,0,0,'Données projet'!$E$11+1,1))-AVERAGE(OFFSET($H$3,0,0,'Données projet'!$E$11+1,1))</f>
        <v>355.12987360915633</v>
      </c>
      <c r="BJ24" s="59">
        <f t="shared" si="38"/>
        <v>286.78588538798715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61.233414282602581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61.233414282602581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61.233414282602581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61.233414282602581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61.233414282602581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61.233414282602581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61.233414282602581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1.7000000000000002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6.2333333333333343</v>
      </c>
      <c r="H25" s="67">
        <f t="shared" si="1"/>
        <v>216.48000000000002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61.385494945649924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17.686666666666667</v>
      </c>
      <c r="N25" s="13">
        <f>IF('Données projet'!$A$36&gt;35,N24+M25-V24,IF(A25&lt;'Données projet'!$A$36,$K$205^A25,IF(A25='Données projet'!$A$36,'Données projet'!$B$36,N24+M25-V24)))</f>
        <v>169.99333333333334</v>
      </c>
      <c r="O25" s="13">
        <f>N25*VLOOKUP('Données projet'!$B$9,Paramètres!$A$1:$I$89,3,0)*VLOOKUP('Données projet'!$B$9,Paramètres!$A$1:$I$89,5,0)</f>
        <v>101.65601333333333</v>
      </c>
      <c r="P25" s="13">
        <f t="shared" si="33"/>
        <v>27.356141971554642</v>
      </c>
      <c r="Q25" s="20">
        <f t="shared" si="2"/>
        <v>224.6961704893466</v>
      </c>
      <c r="R25" s="59">
        <f t="shared" si="0"/>
        <v>476.66520751228518</v>
      </c>
      <c r="S25" s="59">
        <f ca="1">AVERAGE(OFFSET($R$3,0,0,'Données projet'!$E$9+1,1))-AVERAGE(OFFSET($H$3,0,0,'Données projet'!$E$9+1,1))</f>
        <v>312.21112796780687</v>
      </c>
      <c r="T25" s="59">
        <f t="shared" si="34"/>
        <v>318.74634178809458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12.617022346587447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12.617022346587447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61.385494945649924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77.375910857142856</v>
      </c>
      <c r="AK25" s="13">
        <f t="shared" si="35"/>
        <v>21.49434063873689</v>
      </c>
      <c r="AL25" s="20">
        <f t="shared" si="4"/>
        <v>172.19902135532388</v>
      </c>
      <c r="AM25" s="59">
        <f t="shared" si="5"/>
        <v>424.16805837826246</v>
      </c>
      <c r="AN25" s="59">
        <f ca="1">AVERAGE(OFFSET($AM$3,0,0,'Données projet'!$E$10+1,1))-AVERAGE(OFFSET($H$3,0,0,'Données projet'!$E$10+1,1))</f>
        <v>608.11285041597125</v>
      </c>
      <c r="AO25" s="59">
        <f t="shared" si="36"/>
        <v>282.40007659049331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61.385494945649924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7.6601960784313725</v>
      </c>
      <c r="BD25" s="12">
        <f>IF('Données projet'!$A$88&gt;35,BD24+BC25-BL24,IF(A25&lt;'Données projet'!$A$88,$BA$205^A25,IF(A25='Données projet'!$A$88,'Données projet'!$B$88,BD24+BC25-BL24)))</f>
        <v>168.52431372549015</v>
      </c>
      <c r="BE25" s="13">
        <f>BD25*VLOOKUP('Données projet'!$B$11,Paramètres!$A$1:$I$89,3,0)*VLOOKUP('Données projet'!$B$11,Paramètres!$A$1:$I$89,5,0)</f>
        <v>78.869378823529388</v>
      </c>
      <c r="BF25" s="13">
        <f t="shared" si="37"/>
        <v>21.860512786764833</v>
      </c>
      <c r="BG25" s="20">
        <f t="shared" si="7"/>
        <v>175.43789455459577</v>
      </c>
      <c r="BH25" s="59">
        <f t="shared" si="8"/>
        <v>427.40693157753435</v>
      </c>
      <c r="BI25" s="59">
        <f ca="1">AVERAGE(OFFSET($BH$3,0,0,'Données projet'!$E$11+1,1))-AVERAGE(OFFSET($H$3,0,0,'Données projet'!$E$11+1,1))</f>
        <v>355.12987360915633</v>
      </c>
      <c r="BJ25" s="59">
        <f t="shared" si="38"/>
        <v>286.78588538798715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61.385494945649924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61.385494945649924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61.385494945649924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61.385494945649924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61.385494945649924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61.385494945649924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61.385494945649924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1.7000000000000002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6.2333333333333343</v>
      </c>
      <c r="H26" s="67">
        <f t="shared" si="1"/>
        <v>216.48000000000002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61.534937349194827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187.68</v>
      </c>
      <c r="L26" s="12">
        <f>VLOOKUP(A26,'Données projet'!$A$35:$I$55,9,0)</f>
        <v>17.686666666666667</v>
      </c>
      <c r="M26" s="12">
        <f t="array" ref="M26">INDEX(L:L,MIN(IF(ISNUMBER(L26:L222),ROW(L26:L222),"")))</f>
        <v>17.686666666666667</v>
      </c>
      <c r="N26" s="13">
        <f>IF('Données projet'!$A$36&gt;35,N25+M26-V25,IF(A26&lt;'Données projet'!$A$36,$K$205^A26,IF(A26='Données projet'!$A$36,'Données projet'!$B$36,N25+M26-V25)))</f>
        <v>187.68</v>
      </c>
      <c r="O26" s="13">
        <f>N26*VLOOKUP('Données projet'!$B$9,Paramètres!$A$1:$I$89,3,0)*VLOOKUP('Données projet'!$B$9,Paramètres!$A$1:$I$89,5,0)</f>
        <v>112.23264000000002</v>
      </c>
      <c r="P26" s="13">
        <f t="shared" si="33"/>
        <v>29.85639523393861</v>
      </c>
      <c r="Q26" s="20">
        <f t="shared" si="2"/>
        <v>247.47173636577645</v>
      </c>
      <c r="R26" s="59">
        <f t="shared" si="0"/>
        <v>501.21095109060195</v>
      </c>
      <c r="S26" s="59">
        <f ca="1">AVERAGE(OFFSET($R$3,0,0,'Données projet'!$E$9+1,1))-AVERAGE(OFFSET($H$3,0,0,'Données projet'!$E$9+1,1))</f>
        <v>312.21112796780687</v>
      </c>
      <c r="T26" s="59">
        <f t="shared" si="34"/>
        <v>318.74634178809458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57.75</v>
      </c>
      <c r="W26" s="16">
        <f>IF(ISNA(VLOOKUP(A26,'Données projet'!$A$35:$I$55,5,0)),0%,VLOOKUP(A26,'Données projet'!$A$35:$I$55,5,0)*VLOOKUP('Données projet'!$B$9,Paramètres!$A$1:$I$89,7,0))</f>
        <v>4.5000000000000005E-2</v>
      </c>
      <c r="X26" s="16">
        <f>IF(ISNA(VLOOKUP(A26,'Données projet'!$A$35:$I$55,6,0)),0%,VLOOKUP(A26,'Données projet'!$A$35:$I$55,6,0)*VLOOKUP('Données projet'!$B$9,Paramètres!$A$1:$I$89,7,0))</f>
        <v>0.36000000000000004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2.0615508083869565</v>
      </c>
      <c r="AA26" s="21">
        <f>EXP(-LN(2)/25)*AA25+(1-EXP(-LN(2)/25))/(LN(2)/25)*Calculateur!V26*Calculateur!X26*VLOOKUP('Données projet'!$B$9,Paramètres!$A$1:$I$89,3,0)*0.475*44/12</f>
        <v>28.699478785754813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30.761029594141771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61.534937349194827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80.892997714285713</v>
      </c>
      <c r="AK26" s="13">
        <f t="shared" si="35"/>
        <v>22.355385450466887</v>
      </c>
      <c r="AL26" s="20">
        <f t="shared" si="4"/>
        <v>179.82426734527743</v>
      </c>
      <c r="AM26" s="59">
        <f t="shared" si="5"/>
        <v>433.56348207010291</v>
      </c>
      <c r="AN26" s="59">
        <f ca="1">AVERAGE(OFFSET($AM$3,0,0,'Données projet'!$E$10+1,1))-AVERAGE(OFFSET($H$3,0,0,'Données projet'!$E$10+1,1))</f>
        <v>608.11285041597125</v>
      </c>
      <c r="AO26" s="59">
        <f t="shared" si="36"/>
        <v>282.40007659049331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61.534937349194827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7.6601960784313725</v>
      </c>
      <c r="BD26" s="12">
        <f>IF('Données projet'!$A$88&gt;35,BD25+BC26-BL25,IF(A26&lt;'Données projet'!$A$88,$BA$205^A26,IF(A26='Données projet'!$A$88,'Données projet'!$B$88,BD25+BC26-BL25)))</f>
        <v>176.18450980392151</v>
      </c>
      <c r="BE26" s="13">
        <f>BD26*VLOOKUP('Données projet'!$B$11,Paramètres!$A$1:$I$89,3,0)*VLOOKUP('Données projet'!$B$11,Paramètres!$A$1:$I$89,5,0)</f>
        <v>82.454350588235272</v>
      </c>
      <c r="BF26" s="13">
        <f t="shared" si="37"/>
        <v>22.736226140022069</v>
      </c>
      <c r="BG26" s="20">
        <f t="shared" si="7"/>
        <v>183.20692113504819</v>
      </c>
      <c r="BH26" s="59">
        <f t="shared" si="8"/>
        <v>436.94613585987366</v>
      </c>
      <c r="BI26" s="59">
        <f ca="1">AVERAGE(OFFSET($BH$3,0,0,'Données projet'!$E$11+1,1))-AVERAGE(OFFSET($H$3,0,0,'Données projet'!$E$11+1,1))</f>
        <v>355.12987360915633</v>
      </c>
      <c r="BJ26" s="59">
        <f t="shared" si="38"/>
        <v>286.78588538798715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61.534937349194827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61.534937349194827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61.534937349194827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61.534937349194827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61.534937349194827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61.534937349194827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61.534937349194827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1.7000000000000002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6.2333333333333343</v>
      </c>
      <c r="H27" s="67">
        <f t="shared" si="1"/>
        <v>216.48000000000002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61.681787261141388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18.613333333333333</v>
      </c>
      <c r="N27" s="13">
        <f>IF('Données projet'!$A$36&gt;35,N26+M27-V26,IF(A27&lt;'Données projet'!$A$36,$K$205^A27,IF(A27='Données projet'!$A$36,'Données projet'!$B$36,N26+M27-V26)))</f>
        <v>148.54333333333335</v>
      </c>
      <c r="O27" s="13">
        <f>N27*VLOOKUP('Données projet'!$B$9,Paramètres!$A$1:$I$89,3,0)*VLOOKUP('Données projet'!$B$9,Paramètres!$A$1:$I$89,5,0)</f>
        <v>88.828913333333347</v>
      </c>
      <c r="P27" s="13">
        <f t="shared" si="33"/>
        <v>24.282572155728136</v>
      </c>
      <c r="Q27" s="20">
        <f t="shared" si="2"/>
        <v>197.00250389344876</v>
      </c>
      <c r="R27" s="59">
        <f t="shared" si="0"/>
        <v>452.50239051763378</v>
      </c>
      <c r="S27" s="59">
        <f ca="1">AVERAGE(OFFSET($R$3,0,0,'Données projet'!$E$9+1,1))-AVERAGE(OFFSET($H$3,0,0,'Données projet'!$E$9+1,1))</f>
        <v>312.21112796780687</v>
      </c>
      <c r="T27" s="59">
        <f t="shared" si="34"/>
        <v>318.74634178809458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2.0211250544563213</v>
      </c>
      <c r="AA27" s="21">
        <f>EXP(-LN(2)/25)*AA26+(1-EXP(-LN(2)/25))/(LN(2)/25)*Calculateur!V27*Calculateur!X27*VLOOKUP('Données projet'!$B$9,Paramètres!$A$1:$I$89,3,0)*0.475*44/12</f>
        <v>27.914690029118351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29.935815083574671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61.681787261141388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84.410084571428584</v>
      </c>
      <c r="AK27" s="13">
        <f t="shared" si="35"/>
        <v>23.212082188219242</v>
      </c>
      <c r="AL27" s="20">
        <f t="shared" si="4"/>
        <v>187.44194043971996</v>
      </c>
      <c r="AM27" s="59">
        <f t="shared" si="5"/>
        <v>442.94182706390501</v>
      </c>
      <c r="AN27" s="59">
        <f ca="1">AVERAGE(OFFSET($AM$3,0,0,'Données projet'!$E$10+1,1))-AVERAGE(OFFSET($H$3,0,0,'Données projet'!$E$10+1,1))</f>
        <v>608.11285041597125</v>
      </c>
      <c r="AO27" s="59">
        <f t="shared" si="36"/>
        <v>282.40007659049331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61.681787261141388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7.6601960784313725</v>
      </c>
      <c r="BD27" s="12">
        <f>IF('Données projet'!$A$88&gt;35,BD26+BC27-BL26,IF(A27&lt;'Données projet'!$A$88,$BA$205^A27,IF(A27='Données projet'!$A$88,'Données projet'!$B$88,BD26+BC27-BL26)))</f>
        <v>183.84470588235288</v>
      </c>
      <c r="BE27" s="13">
        <f>BD27*VLOOKUP('Données projet'!$B$11,Paramètres!$A$1:$I$89,3,0)*VLOOKUP('Données projet'!$B$11,Paramètres!$A$1:$I$89,5,0)</f>
        <v>86.039322352941156</v>
      </c>
      <c r="BF27" s="13">
        <f t="shared" si="37"/>
        <v>23.60751734661363</v>
      </c>
      <c r="BG27" s="20">
        <f t="shared" si="7"/>
        <v>190.96824581005788</v>
      </c>
      <c r="BH27" s="59">
        <f t="shared" si="8"/>
        <v>446.46813243424293</v>
      </c>
      <c r="BI27" s="59">
        <f ca="1">AVERAGE(OFFSET($BH$3,0,0,'Données projet'!$E$11+1,1))-AVERAGE(OFFSET($H$3,0,0,'Données projet'!$E$11+1,1))</f>
        <v>355.12987360915633</v>
      </c>
      <c r="BJ27" s="59">
        <f t="shared" si="38"/>
        <v>286.78588538798715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61.681787261141388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61.681787261141388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61.681787261141388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61.681787261141388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61.681787261141388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61.681787261141388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61.681787261141388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1.7000000000000002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6.2333333333333343</v>
      </c>
      <c r="H28" s="67">
        <f t="shared" si="1"/>
        <v>216.48000000000002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61.826089655422891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18.613333333333333</v>
      </c>
      <c r="N28" s="13">
        <f>IF('Données projet'!$A$36&gt;35,N27+M28-V27,IF(A28&lt;'Données projet'!$A$36,$K$205^A28,IF(A28='Données projet'!$A$36,'Données projet'!$B$36,N27+M28-V27)))</f>
        <v>167.15666666666669</v>
      </c>
      <c r="O28" s="13">
        <f>N28*VLOOKUP('Données projet'!$B$9,Paramètres!$A$1:$I$89,3,0)*VLOOKUP('Données projet'!$B$9,Paramètres!$A$1:$I$89,5,0)</f>
        <v>99.959686666666684</v>
      </c>
      <c r="P28" s="13">
        <f t="shared" si="33"/>
        <v>26.952393227223038</v>
      </c>
      <c r="Q28" s="20">
        <f t="shared" si="2"/>
        <v>221.03853914852459</v>
      </c>
      <c r="R28" s="59">
        <f t="shared" si="0"/>
        <v>478.28975677396403</v>
      </c>
      <c r="S28" s="59">
        <f ca="1">AVERAGE(OFFSET($R$3,0,0,'Données projet'!$E$9+1,1))-AVERAGE(OFFSET($H$3,0,0,'Données projet'!$E$9+1,1))</f>
        <v>312.21112796780687</v>
      </c>
      <c r="T28" s="59">
        <f t="shared" si="34"/>
        <v>318.74634178809458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1.9814920249029906</v>
      </c>
      <c r="AA28" s="21">
        <f>EXP(-LN(2)/25)*AA27+(1-EXP(-LN(2)/25))/(LN(2)/25)*Calculateur!V28*Calculateur!X28*VLOOKUP('Données projet'!$B$9,Paramètres!$A$1:$I$89,3,0)*0.475*44/12</f>
        <v>27.15136136230236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29.132853387205351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61.826089655422891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87.927171428571441</v>
      </c>
      <c r="AK28" s="13">
        <f t="shared" si="35"/>
        <v>24.06463273936156</v>
      </c>
      <c r="AL28" s="20">
        <f t="shared" si="4"/>
        <v>195.05239225914997</v>
      </c>
      <c r="AM28" s="59">
        <f t="shared" si="5"/>
        <v>452.30360988458938</v>
      </c>
      <c r="AN28" s="59">
        <f ca="1">AVERAGE(OFFSET($AM$3,0,0,'Données projet'!$E$10+1,1))-AVERAGE(OFFSET($H$3,0,0,'Données projet'!$E$10+1,1))</f>
        <v>608.11285041597125</v>
      </c>
      <c r="AO28" s="59">
        <f t="shared" si="36"/>
        <v>282.40007659049331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61.826089655422891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7.6601960784313725</v>
      </c>
      <c r="BD28" s="12">
        <f>IF('Données projet'!$A$88&gt;35,BD27+BC28-BL27,IF(A28&lt;'Données projet'!$A$88,$BA$205^A28,IF(A28='Données projet'!$A$88,'Données projet'!$B$88,BD27+BC28-BL27)))</f>
        <v>191.50490196078425</v>
      </c>
      <c r="BE28" s="13">
        <f>BD28*VLOOKUP('Données projet'!$B$11,Paramètres!$A$1:$I$89,3,0)*VLOOKUP('Données projet'!$B$11,Paramètres!$A$1:$I$89,5,0)</f>
        <v>89.62429411764704</v>
      </c>
      <c r="BF28" s="13">
        <f t="shared" si="37"/>
        <v>24.474591733209216</v>
      </c>
      <c r="BG28" s="20">
        <f t="shared" si="7"/>
        <v>198.72222619024129</v>
      </c>
      <c r="BH28" s="59">
        <f t="shared" si="8"/>
        <v>455.97344381568075</v>
      </c>
      <c r="BI28" s="59">
        <f ca="1">AVERAGE(OFFSET($BH$3,0,0,'Données projet'!$E$11+1,1))-AVERAGE(OFFSET($H$3,0,0,'Données projet'!$E$11+1,1))</f>
        <v>355.12987360915633</v>
      </c>
      <c r="BJ28" s="59">
        <f t="shared" si="38"/>
        <v>286.78588538798715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61.826089655422891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61.826089655422891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61.826089655422891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61.826089655422891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61.826089655422891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61.826089655422891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61.826089655422891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1.7000000000000002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6.2333333333333343</v>
      </c>
      <c r="H29" s="67">
        <f t="shared" si="1"/>
        <v>216.48000000000002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61.967888725775438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18.613333333333333</v>
      </c>
      <c r="N29" s="13">
        <f>IF('Données projet'!$A$36&gt;35,N28+M29-V28,IF(A29&lt;'Données projet'!$A$36,$K$205^A29,IF(A29='Données projet'!$A$36,'Données projet'!$B$36,N28+M29-V28)))</f>
        <v>185.77000000000004</v>
      </c>
      <c r="O29" s="13">
        <f>N29*VLOOKUP('Données projet'!$B$9,Paramètres!$A$1:$I$89,3,0)*VLOOKUP('Données projet'!$B$9,Paramètres!$A$1:$I$89,5,0)</f>
        <v>111.09046000000004</v>
      </c>
      <c r="P29" s="13">
        <f t="shared" si="33"/>
        <v>29.587757766677999</v>
      </c>
      <c r="Q29" s="20">
        <f t="shared" si="2"/>
        <v>245.01456261029759</v>
      </c>
      <c r="R29" s="59">
        <f t="shared" si="0"/>
        <v>504.0079323825853</v>
      </c>
      <c r="S29" s="59">
        <f ca="1">AVERAGE(OFFSET($R$3,0,0,'Données projet'!$E$9+1,1))-AVERAGE(OFFSET($H$3,0,0,'Données projet'!$E$9+1,1))</f>
        <v>312.21112796780687</v>
      </c>
      <c r="T29" s="59">
        <f t="shared" si="34"/>
        <v>318.74634178809458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1.9426361748854397</v>
      </c>
      <c r="AA29" s="21">
        <f>EXP(-LN(2)/25)*AA28+(1-EXP(-LN(2)/25))/(LN(2)/25)*Calculateur!V29*Calculateur!X29*VLOOKUP('Données projet'!$B$9,Paramètres!$A$1:$I$89,3,0)*0.475*44/12</f>
        <v>26.408905958022164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28.351542132907603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61.967888725775438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91.444258285714298</v>
      </c>
      <c r="AK29" s="13">
        <f t="shared" si="35"/>
        <v>24.913221926074399</v>
      </c>
      <c r="AL29" s="20">
        <f t="shared" si="4"/>
        <v>202.65594470219867</v>
      </c>
      <c r="AM29" s="59">
        <f t="shared" si="5"/>
        <v>461.6493144744864</v>
      </c>
      <c r="AN29" s="59">
        <f ca="1">AVERAGE(OFFSET($AM$3,0,0,'Données projet'!$E$10+1,1))-AVERAGE(OFFSET($H$3,0,0,'Données projet'!$E$10+1,1))</f>
        <v>608.11285041597125</v>
      </c>
      <c r="AO29" s="59">
        <f t="shared" si="36"/>
        <v>282.40007659049331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61.967888725775438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7.6601960784313725</v>
      </c>
      <c r="BD29" s="12">
        <f>IF('Données projet'!$A$88&gt;35,BD28+BC29-BL28,IF(A29&lt;'Données projet'!$A$88,$BA$205^A29,IF(A29='Données projet'!$A$88,'Données projet'!$B$88,BD28+BC29-BL28)))</f>
        <v>199.16509803921562</v>
      </c>
      <c r="BE29" s="13">
        <f>BD29*VLOOKUP('Données projet'!$B$11,Paramètres!$A$1:$I$89,3,0)*VLOOKUP('Données projet'!$B$11,Paramètres!$A$1:$I$89,5,0)</f>
        <v>93.209265882352909</v>
      </c>
      <c r="BF29" s="13">
        <f t="shared" si="37"/>
        <v>25.33763727057336</v>
      </c>
      <c r="BG29" s="20">
        <f t="shared" si="7"/>
        <v>206.46918965801322</v>
      </c>
      <c r="BH29" s="59">
        <f t="shared" si="8"/>
        <v>465.46255943030098</v>
      </c>
      <c r="BI29" s="59">
        <f ca="1">AVERAGE(OFFSET($BH$3,0,0,'Données projet'!$E$11+1,1))-AVERAGE(OFFSET($H$3,0,0,'Données projet'!$E$11+1,1))</f>
        <v>355.12987360915633</v>
      </c>
      <c r="BJ29" s="59">
        <f t="shared" si="38"/>
        <v>286.78588538798715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61.967888725775438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61.967888725775438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61.967888725775438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61.967888725775438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61.967888725775438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61.967888725775438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61.967888725775438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1.7000000000000002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6.2333333333333343</v>
      </c>
      <c r="H30" s="67">
        <f t="shared" si="1"/>
        <v>216.48000000000002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62.107227899272587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18.613333333333333</v>
      </c>
      <c r="N30" s="13">
        <f>IF('Données projet'!$A$36&gt;35,N29+M30-V29,IF(A30&lt;'Données projet'!$A$36,$K$205^A30,IF(A30='Données projet'!$A$36,'Données projet'!$B$36,N29+M30-V29)))</f>
        <v>204.38333333333338</v>
      </c>
      <c r="O30" s="13">
        <f>N30*VLOOKUP('Données projet'!$B$9,Paramètres!$A$1:$I$89,3,0)*VLOOKUP('Données projet'!$B$9,Paramètres!$A$1:$I$89,5,0)</f>
        <v>122.22123333333337</v>
      </c>
      <c r="P30" s="13">
        <f t="shared" si="33"/>
        <v>32.192511187778997</v>
      </c>
      <c r="Q30" s="20">
        <f t="shared" si="2"/>
        <v>268.937271707604</v>
      </c>
      <c r="R30" s="59">
        <f t="shared" si="0"/>
        <v>529.66377400493684</v>
      </c>
      <c r="S30" s="59">
        <f ca="1">AVERAGE(OFFSET($R$3,0,0,'Données projet'!$E$9+1,1))-AVERAGE(OFFSET($H$3,0,0,'Données projet'!$E$9+1,1))</f>
        <v>312.21112796780687</v>
      </c>
      <c r="T30" s="59">
        <f t="shared" si="34"/>
        <v>318.74634178809458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1.9045422643870047</v>
      </c>
      <c r="AA30" s="21">
        <f>EXP(-LN(2)/25)*AA29+(1-EXP(-LN(2)/25))/(LN(2)/25)*Calculateur!V30*Calculateur!X30*VLOOKUP('Données projet'!$B$9,Paramètres!$A$1:$I$89,3,0)*0.475*44/12</f>
        <v>25.686753035816043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27.591295300203047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62.107227899272587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94.961345142857169</v>
      </c>
      <c r="AK30" s="13">
        <f t="shared" si="35"/>
        <v>25.758019548315733</v>
      </c>
      <c r="AL30" s="20">
        <f t="shared" si="4"/>
        <v>210.25289350379276</v>
      </c>
      <c r="AM30" s="59">
        <f t="shared" si="5"/>
        <v>470.97939580112563</v>
      </c>
      <c r="AN30" s="59">
        <f ca="1">AVERAGE(OFFSET($AM$3,0,0,'Données projet'!$E$10+1,1))-AVERAGE(OFFSET($H$3,0,0,'Données projet'!$E$10+1,1))</f>
        <v>608.11285041597125</v>
      </c>
      <c r="AO30" s="59">
        <f t="shared" si="36"/>
        <v>282.40007659049331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62.107227899272587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7.6601960784313725</v>
      </c>
      <c r="BD30" s="12">
        <f>IF('Données projet'!$A$88&gt;35,BD29+BC30-BL29,IF(A30&lt;'Données projet'!$A$88,$BA$205^A30,IF(A30='Données projet'!$A$88,'Données projet'!$B$88,BD29+BC30-BL29)))</f>
        <v>206.82529411764699</v>
      </c>
      <c r="BE30" s="13">
        <f>BD30*VLOOKUP('Données projet'!$B$11,Paramètres!$A$1:$I$89,3,0)*VLOOKUP('Données projet'!$B$11,Paramètres!$A$1:$I$89,5,0)</f>
        <v>96.794237647058793</v>
      </c>
      <c r="BF30" s="13">
        <f t="shared" si="37"/>
        <v>26.196826651333119</v>
      </c>
      <c r="BG30" s="20">
        <f t="shared" si="7"/>
        <v>214.20943698636589</v>
      </c>
      <c r="BH30" s="59">
        <f t="shared" si="8"/>
        <v>474.93593928369876</v>
      </c>
      <c r="BI30" s="59">
        <f ca="1">AVERAGE(OFFSET($BH$3,0,0,'Données projet'!$E$11+1,1))-AVERAGE(OFFSET($H$3,0,0,'Données projet'!$E$11+1,1))</f>
        <v>355.12987360915633</v>
      </c>
      <c r="BJ30" s="59">
        <f t="shared" si="38"/>
        <v>286.78588538798715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62.107227899272587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62.107227899272587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62.107227899272587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62.107227899272587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62.107227899272587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62.107227899272587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62.107227899272587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1.7000000000000002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6.2333333333333343</v>
      </c>
      <c r="H31" s="67">
        <f t="shared" si="1"/>
        <v>216.48000000000002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62.244149849625295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18.613333333333333</v>
      </c>
      <c r="N31" s="13">
        <f>IF('Données projet'!$A$36&gt;35,N30+M31-V30,IF(A31&lt;'Données projet'!$A$36,$K$205^A31,IF(A31='Données projet'!$A$36,'Données projet'!$B$36,N30+M31-V30)))</f>
        <v>222.99666666666673</v>
      </c>
      <c r="O31" s="13">
        <f>N31*VLOOKUP('Données projet'!$B$9,Paramètres!$A$1:$I$89,3,0)*VLOOKUP('Données projet'!$B$9,Paramètres!$A$1:$I$89,5,0)</f>
        <v>133.35200666666671</v>
      </c>
      <c r="P31" s="13">
        <f t="shared" si="33"/>
        <v>34.769758316414304</v>
      </c>
      <c r="Q31" s="20">
        <f t="shared" si="2"/>
        <v>292.81207401219939</v>
      </c>
      <c r="R31" s="59">
        <f t="shared" si="0"/>
        <v>555.26284568304777</v>
      </c>
      <c r="S31" s="59">
        <f ca="1">AVERAGE(OFFSET($R$3,0,0,'Données projet'!$E$9+1,1))-AVERAGE(OFFSET($H$3,0,0,'Données projet'!$E$9+1,1))</f>
        <v>312.21112796780687</v>
      </c>
      <c r="T31" s="59">
        <f t="shared" si="34"/>
        <v>318.74634178809458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1.8671953522384528</v>
      </c>
      <c r="AA31" s="21">
        <f>EXP(-LN(2)/25)*AA30+(1-EXP(-LN(2)/25))/(LN(2)/25)*Calculateur!V31*Calculateur!X31*VLOOKUP('Données projet'!$B$9,Paramètres!$A$1:$I$89,3,0)*0.475*44/12</f>
        <v>24.984347423244017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26.851542775482471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62.244149849625295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98.478432000000026</v>
      </c>
      <c r="AK31" s="13">
        <f t="shared" si="35"/>
        <v>26.599182115615513</v>
      </c>
      <c r="AL31" s="20">
        <f t="shared" si="4"/>
        <v>217.84351125136371</v>
      </c>
      <c r="AM31" s="59">
        <f t="shared" si="5"/>
        <v>480.29428292221201</v>
      </c>
      <c r="AN31" s="59">
        <f ca="1">AVERAGE(OFFSET($AM$3,0,0,'Données projet'!$E$10+1,1))-AVERAGE(OFFSET($H$3,0,0,'Données projet'!$E$10+1,1))</f>
        <v>608.11285041597125</v>
      </c>
      <c r="AO31" s="59">
        <f t="shared" si="36"/>
        <v>282.40007659049331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62.244149849625295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7.6601960784313725</v>
      </c>
      <c r="BD31" s="12">
        <f>IF('Données projet'!$A$88&gt;35,BD30+BC31-BL30,IF(A31&lt;'Données projet'!$A$88,$BA$205^A31,IF(A31='Données projet'!$A$88,'Données projet'!$B$88,BD30+BC31-BL30)))</f>
        <v>214.48549019607836</v>
      </c>
      <c r="BE31" s="13">
        <f>BD31*VLOOKUP('Données projet'!$B$11,Paramètres!$A$1:$I$89,3,0)*VLOOKUP('Données projet'!$B$11,Paramètres!$A$1:$I$89,5,0)</f>
        <v>100.37920941176468</v>
      </c>
      <c r="BF31" s="13">
        <f t="shared" si="37"/>
        <v>27.052319051275138</v>
      </c>
      <c r="BG31" s="20">
        <f t="shared" si="7"/>
        <v>221.94324540646099</v>
      </c>
      <c r="BH31" s="59">
        <f t="shared" si="8"/>
        <v>484.39401707730929</v>
      </c>
      <c r="BI31" s="59">
        <f ca="1">AVERAGE(OFFSET($BH$3,0,0,'Données projet'!$E$11+1,1))-AVERAGE(OFFSET($H$3,0,0,'Données projet'!$E$11+1,1))</f>
        <v>355.12987360915633</v>
      </c>
      <c r="BJ31" s="59">
        <f t="shared" si="38"/>
        <v>286.78588538798715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62.244149849625295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62.244149849625295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62.244149849625295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62.244149849625295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62.244149849625295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62.244149849625295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62.244149849625295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1.7000000000000002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6.2333333333333343</v>
      </c>
      <c r="H32" s="67">
        <f t="shared" si="1"/>
        <v>216.48000000000002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62.378696510251004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241.61</v>
      </c>
      <c r="L32" s="12">
        <f>VLOOKUP(A32,'Données projet'!$A$35:$I$55,9,0)</f>
        <v>18.613333333333333</v>
      </c>
      <c r="M32" s="12">
        <f t="array" ref="M32">INDEX(L:L,MIN(IF(ISNUMBER(L32:L228),ROW(L32:L228),"")))</f>
        <v>18.613333333333333</v>
      </c>
      <c r="N32" s="13">
        <f>IF('Données projet'!$A$36&gt;35,N31+M32-V31,IF(A32&lt;'Données projet'!$A$36,$K$205^A32,IF(A32='Données projet'!$A$36,'Données projet'!$B$36,N31+M32-V31)))</f>
        <v>241.61000000000007</v>
      </c>
      <c r="O32" s="13">
        <f>N32*VLOOKUP('Données projet'!$B$9,Paramètres!$A$1:$I$89,3,0)*VLOOKUP('Données projet'!$B$9,Paramètres!$A$1:$I$89,5,0)</f>
        <v>144.48278000000005</v>
      </c>
      <c r="P32" s="13">
        <f t="shared" si="33"/>
        <v>37.322056105193219</v>
      </c>
      <c r="Q32" s="20">
        <f t="shared" si="2"/>
        <v>316.6434228832116</v>
      </c>
      <c r="R32" s="59">
        <f t="shared" si="0"/>
        <v>580.80975453190968</v>
      </c>
      <c r="S32" s="59">
        <f ca="1">AVERAGE(OFFSET($R$3,0,0,'Données projet'!$E$9+1,1))-AVERAGE(OFFSET($H$3,0,0,'Données projet'!$E$9+1,1))</f>
        <v>312.21112796780687</v>
      </c>
      <c r="T32" s="59">
        <f t="shared" si="34"/>
        <v>318.74634178809458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54.64</v>
      </c>
      <c r="W32" s="16">
        <f>IF(ISNA(VLOOKUP(A32,'Données projet'!$A$35:$I$55,5,0)),0%,VLOOKUP(A32,'Données projet'!$A$35:$I$55,5,0)*VLOOKUP('Données projet'!$B$9,Paramètres!$A$1:$I$89,7,0))</f>
        <v>4.5000000000000005E-2</v>
      </c>
      <c r="X32" s="16">
        <f>IF(ISNA(VLOOKUP(A32,'Données projet'!$A$35:$I$55,6,0)),0%,VLOOKUP(A32,'Données projet'!$A$35:$I$55,6,0)*VLOOKUP('Données projet'!$B$9,Paramètres!$A$1:$I$89,7,0))</f>
        <v>0.36000000000000004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3.7811112867125427</v>
      </c>
      <c r="AA32" s="21">
        <f>EXP(-LN(2)/25)*AA31+(1-EXP(-LN(2)/25))/(LN(2)/25)*Calculateur!V32*Calculateur!X32*VLOOKUP('Données projet'!$B$9,Paramètres!$A$1:$I$89,3,0)*0.475*44/12</f>
        <v>39.843953246524457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43.625064533237001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62.378696510251004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101.99551885714288</v>
      </c>
      <c r="AK32" s="13">
        <f t="shared" si="35"/>
        <v>27.436854324518826</v>
      </c>
      <c r="AL32" s="20">
        <f t="shared" si="4"/>
        <v>225.4280499580608</v>
      </c>
      <c r="AM32" s="59">
        <f t="shared" si="5"/>
        <v>489.59438160675893</v>
      </c>
      <c r="AN32" s="59">
        <f ca="1">AVERAGE(OFFSET($AM$3,0,0,'Données projet'!$E$10+1,1))-AVERAGE(OFFSET($H$3,0,0,'Données projet'!$E$10+1,1))</f>
        <v>608.11285041597125</v>
      </c>
      <c r="AO32" s="59">
        <f t="shared" si="36"/>
        <v>282.40007659049331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62.378696510251004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7.6601960784313725</v>
      </c>
      <c r="BD32" s="12">
        <f>IF('Données projet'!$A$88&gt;35,BD31+BC32-BL31,IF(A32&lt;'Données projet'!$A$88,$BA$205^A32,IF(A32='Données projet'!$A$88,'Données projet'!$B$88,BD31+BC32-BL31)))</f>
        <v>222.14568627450973</v>
      </c>
      <c r="BE32" s="13">
        <f>BD32*VLOOKUP('Données projet'!$B$11,Paramètres!$A$1:$I$89,3,0)*VLOOKUP('Données projet'!$B$11,Paramètres!$A$1:$I$89,5,0)</f>
        <v>103.96418117647056</v>
      </c>
      <c r="BF32" s="13">
        <f t="shared" si="37"/>
        <v>27.904261631958295</v>
      </c>
      <c r="BG32" s="20">
        <f t="shared" si="7"/>
        <v>229.67087122468024</v>
      </c>
      <c r="BH32" s="59">
        <f t="shared" si="8"/>
        <v>493.83720287337837</v>
      </c>
      <c r="BI32" s="59">
        <f ca="1">AVERAGE(OFFSET($BH$3,0,0,'Données projet'!$E$11+1,1))-AVERAGE(OFFSET($H$3,0,0,'Données projet'!$E$11+1,1))</f>
        <v>355.12987360915633</v>
      </c>
      <c r="BJ32" s="59">
        <f t="shared" si="38"/>
        <v>286.78588538798715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62.378696510251004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62.378696510251004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62.378696510251004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62.378696510251004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62.378696510251004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62.378696510251004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62.378696510251004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1.7000000000000002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6.2333333333333343</v>
      </c>
      <c r="H33" s="67">
        <f t="shared" si="1"/>
        <v>216.48000000000002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62.510909087116126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17.737142857142853</v>
      </c>
      <c r="N33" s="13">
        <f>IF('Données projet'!$A$36&gt;35,N32+M33-V32,IF(A33&lt;'Données projet'!$A$36,$K$205^A33,IF(A33='Données projet'!$A$36,'Données projet'!$B$36,N32+M33-V32)))</f>
        <v>204.70714285714291</v>
      </c>
      <c r="O33" s="13">
        <f>N33*VLOOKUP('Données projet'!$B$9,Paramètres!$A$1:$I$89,3,0)*VLOOKUP('Données projet'!$B$9,Paramètres!$A$1:$I$89,5,0)</f>
        <v>122.41487142857147</v>
      </c>
      <c r="P33" s="13">
        <f t="shared" si="33"/>
        <v>32.237573625209684</v>
      </c>
      <c r="Q33" s="20">
        <f t="shared" si="2"/>
        <v>269.35300846866886</v>
      </c>
      <c r="R33" s="59">
        <f t="shared" si="0"/>
        <v>535.2263417880946</v>
      </c>
      <c r="S33" s="59">
        <f ca="1">AVERAGE(OFFSET($R$3,0,0,'Données projet'!$E$9+1,1))-AVERAGE(OFFSET($H$3,0,0,'Données projet'!$E$9+1,1))</f>
        <v>312.21112796780687</v>
      </c>
      <c r="T33" s="59">
        <f t="shared" si="34"/>
        <v>318.74634178809458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3.7069660006302714</v>
      </c>
      <c r="AA33" s="21">
        <f>EXP(-LN(2)/25)*AA32+(1-EXP(-LN(2)/25))/(LN(2)/25)*Calculateur!V33*Calculateur!X33*VLOOKUP('Données projet'!$B$9,Paramètres!$A$1:$I$89,3,0)*0.475*44/12</f>
        <v>38.75441824969581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42.461384250326084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62.510909087116126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105.51260571428575</v>
      </c>
      <c r="AK33" s="13">
        <f t="shared" si="35"/>
        <v>28.271170326518615</v>
      </c>
      <c r="AL33" s="20">
        <f t="shared" si="4"/>
        <v>233.00674327106756</v>
      </c>
      <c r="AM33" s="59">
        <f t="shared" si="5"/>
        <v>498.88007659049333</v>
      </c>
      <c r="AN33" s="59">
        <f ca="1">AVERAGE(OFFSET($AM$3,0,0,'Données projet'!$E$10+1,1))-AVERAGE(OFFSET($H$3,0,0,'Données projet'!$E$10+1,1))</f>
        <v>608.11285041597125</v>
      </c>
      <c r="AO33" s="59">
        <f t="shared" si="36"/>
        <v>282.40007659049331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62.510909087116126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7.6601960784313725</v>
      </c>
      <c r="BD33" s="12">
        <f>IF('Données projet'!$A$88&gt;35,BD32+BC33-BL32,IF(A33&lt;'Données projet'!$A$88,$BA$205^A33,IF(A33='Données projet'!$A$88,'Données projet'!$B$88,BD32+BC33-BL32)))</f>
        <v>229.8058823529411</v>
      </c>
      <c r="BE33" s="13">
        <f>BD33*VLOOKUP('Données projet'!$B$11,Paramètres!$A$1:$I$89,3,0)*VLOOKUP('Données projet'!$B$11,Paramètres!$A$1:$I$89,5,0)</f>
        <v>107.54915294117643</v>
      </c>
      <c r="BF33" s="13">
        <f t="shared" si="37"/>
        <v>28.752790830246401</v>
      </c>
      <c r="BG33" s="20">
        <f t="shared" si="7"/>
        <v>237.3925520685614</v>
      </c>
      <c r="BH33" s="59">
        <f t="shared" si="8"/>
        <v>503.26588538798717</v>
      </c>
      <c r="BI33" s="59">
        <f ca="1">AVERAGE(OFFSET($BH$3,0,0,'Données projet'!$E$11+1,1))-AVERAGE(OFFSET($H$3,0,0,'Données projet'!$E$11+1,1))</f>
        <v>355.12987360915633</v>
      </c>
      <c r="BJ33" s="59">
        <f t="shared" si="38"/>
        <v>286.78588538798715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62.510909087116126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62.510909087116126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62.510909087116126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62.510909087116126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62.510909087116126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62.510909087116126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62.510909087116126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1.7000000000000002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6.2333333333333343</v>
      </c>
      <c r="H34" s="67">
        <f t="shared" si="1"/>
        <v>216.48000000000002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62.640828071355671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17.737142857142853</v>
      </c>
      <c r="N34" s="13">
        <f>IF('Données projet'!$A$36&gt;35,N33+M34-V33,IF(A34&lt;'Données projet'!$A$36,$K$205^A34,IF(A34='Données projet'!$A$36,'Données projet'!$B$36,N33+M34-V33)))</f>
        <v>222.44428571428577</v>
      </c>
      <c r="O34" s="13">
        <f>N34*VLOOKUP('Données projet'!$B$9,Paramètres!$A$1:$I$89,3,0)*VLOOKUP('Données projet'!$B$9,Paramètres!$A$1:$I$89,5,0)</f>
        <v>133.02168285714291</v>
      </c>
      <c r="P34" s="13">
        <f t="shared" si="33"/>
        <v>34.693645048951552</v>
      </c>
      <c r="Q34" s="20">
        <f t="shared" si="2"/>
        <v>292.10419610311448</v>
      </c>
      <c r="R34" s="59">
        <f t="shared" si="0"/>
        <v>558.45389903141859</v>
      </c>
      <c r="S34" s="59">
        <f ca="1">AVERAGE(OFFSET($R$3,0,0,'Données projet'!$E$9+1,1))-AVERAGE(OFFSET($H$3,0,0,'Données projet'!$E$9+1,1))</f>
        <v>312.21112796780687</v>
      </c>
      <c r="T34" s="59">
        <f t="shared" si="34"/>
        <v>318.74634178809458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3.6342746583839145</v>
      </c>
      <c r="AA34" s="21">
        <f>EXP(-LN(2)/25)*AA33+(1-EXP(-LN(2)/25))/(LN(2)/25)*Calculateur!V34*Calculateur!X34*VLOOKUP('Données projet'!$B$9,Paramètres!$A$1:$I$89,3,0)*0.475*44/12</f>
        <v>37.694676644651594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41.32895130303551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62.640828071355671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109.02969257142863</v>
      </c>
      <c r="AK34" s="13">
        <f t="shared" si="35"/>
        <v>29.102254822181546</v>
      </c>
      <c r="AL34" s="20">
        <f t="shared" si="4"/>
        <v>240.57980837720436</v>
      </c>
      <c r="AM34" s="59">
        <f t="shared" si="5"/>
        <v>506.92951130550847</v>
      </c>
      <c r="AN34" s="59">
        <f ca="1">AVERAGE(OFFSET($AM$3,0,0,'Données projet'!$E$10+1,1))-AVERAGE(OFFSET($H$3,0,0,'Données projet'!$E$10+1,1))</f>
        <v>608.11285041597125</v>
      </c>
      <c r="AO34" s="59">
        <f t="shared" si="36"/>
        <v>282.40007659049331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62.640828071355671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7.6601960784313725</v>
      </c>
      <c r="BD34" s="12">
        <f>IF('Données projet'!$A$88&gt;35,BD33+BC34-BL33,IF(A34&lt;'Données projet'!$A$88,$BA$205^A34,IF(A34='Données projet'!$A$88,'Données projet'!$B$88,BD33+BC34-BL33)))</f>
        <v>237.46607843137247</v>
      </c>
      <c r="BE34" s="13">
        <f>BD34*VLOOKUP('Données projet'!$B$11,Paramètres!$A$1:$I$89,3,0)*VLOOKUP('Données projet'!$B$11,Paramètres!$A$1:$I$89,5,0)</f>
        <v>111.13412470588231</v>
      </c>
      <c r="BF34" s="13">
        <f t="shared" si="37"/>
        <v>29.59803347107345</v>
      </c>
      <c r="BG34" s="20">
        <f t="shared" si="7"/>
        <v>245.10850882486457</v>
      </c>
      <c r="BH34" s="59">
        <f t="shared" si="8"/>
        <v>511.45821175316871</v>
      </c>
      <c r="BI34" s="59">
        <f ca="1">AVERAGE(OFFSET($BH$3,0,0,'Données projet'!$E$11+1,1))-AVERAGE(OFFSET($H$3,0,0,'Données projet'!$E$11+1,1))</f>
        <v>355.12987360915633</v>
      </c>
      <c r="BJ34" s="59">
        <f t="shared" si="38"/>
        <v>286.78588538798715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62.640828071355671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62.640828071355671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62.640828071355671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62.640828071355671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62.640828071355671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62.640828071355671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62.640828071355671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1.7000000000000002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6.2333333333333343</v>
      </c>
      <c r="H35" s="67">
        <f t="shared" si="1"/>
        <v>216.48000000000002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62.768493251674009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17.737142857142853</v>
      </c>
      <c r="N35" s="13">
        <f>IF('Données projet'!$A$36&gt;35,N34+M35-V34,IF(A35&lt;'Données projet'!$A$36,$K$205^A35,IF(A35='Données projet'!$A$36,'Données projet'!$B$36,N34+M35-V34)))</f>
        <v>240.18142857142863</v>
      </c>
      <c r="O35" s="13">
        <f>N35*VLOOKUP('Données projet'!$B$9,Paramètres!$A$1:$I$89,3,0)*VLOOKUP('Données projet'!$B$9,Paramètres!$A$1:$I$89,5,0)</f>
        <v>143.62849428571434</v>
      </c>
      <c r="P35" s="13">
        <f t="shared" si="33"/>
        <v>37.127000660847131</v>
      </c>
      <c r="Q35" s="20">
        <f t="shared" ref="Q35:Q66" si="53">(O35+P35)*0.475*44/12</f>
        <v>314.81582036526123</v>
      </c>
      <c r="R35" s="59">
        <f t="shared" si="0"/>
        <v>581.63362895473256</v>
      </c>
      <c r="S35" s="59">
        <f ca="1">AVERAGE(OFFSET($R$3,0,0,'Données projet'!$E$9+1,1))-AVERAGE(OFFSET($H$3,0,0,'Données projet'!$E$9+1,1))</f>
        <v>312.21112796780687</v>
      </c>
      <c r="T35" s="59">
        <f t="shared" si="34"/>
        <v>318.74634178809458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3.5630087490216678</v>
      </c>
      <c r="AA35" s="21">
        <f>EXP(-LN(2)/25)*AA34+(1-EXP(-LN(2)/25))/(LN(2)/25)*Calculateur!V35*Calculateur!X35*VLOOKUP('Données projet'!$B$9,Paramètres!$A$1:$I$89,3,0)*0.475*44/12</f>
        <v>36.663913729526705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40.226922478548374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62.768493251674009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112.54677942857147</v>
      </c>
      <c r="AK35" s="13">
        <f t="shared" si="35"/>
        <v>29.930224010130704</v>
      </c>
      <c r="AL35" s="20">
        <f t="shared" si="4"/>
        <v>248.14744765573963</v>
      </c>
      <c r="AM35" s="59">
        <f t="shared" si="5"/>
        <v>514.96525624521098</v>
      </c>
      <c r="AN35" s="59">
        <f ca="1">AVERAGE(OFFSET($AM$3,0,0,'Données projet'!$E$10+1,1))-AVERAGE(OFFSET($H$3,0,0,'Données projet'!$E$10+1,1))</f>
        <v>608.11285041597125</v>
      </c>
      <c r="AO35" s="59">
        <f t="shared" si="36"/>
        <v>282.40007659049331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62.768493251674009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7.6601960784313725</v>
      </c>
      <c r="BD35" s="12">
        <f>IF('Données projet'!$A$88&gt;35,BD34+BC35-BL34,IF(A35&lt;'Données projet'!$A$88,$BA$205^A35,IF(A35='Données projet'!$A$88,'Données projet'!$B$88,BD34+BC35-BL34)))</f>
        <v>245.12627450980384</v>
      </c>
      <c r="BE35" s="13">
        <f>BD35*VLOOKUP('Données projet'!$B$11,Paramètres!$A$1:$I$89,3,0)*VLOOKUP('Données projet'!$B$11,Paramètres!$A$1:$I$89,5,0)</f>
        <v>114.7190964705882</v>
      </c>
      <c r="BF35" s="13">
        <f t="shared" si="37"/>
        <v>30.440107732592779</v>
      </c>
      <c r="BG35" s="20">
        <f t="shared" si="7"/>
        <v>252.81894732054016</v>
      </c>
      <c r="BH35" s="59">
        <f t="shared" si="8"/>
        <v>519.63675591001152</v>
      </c>
      <c r="BI35" s="59">
        <f ca="1">AVERAGE(OFFSET($BH$3,0,0,'Données projet'!$E$11+1,1))-AVERAGE(OFFSET($H$3,0,0,'Données projet'!$E$11+1,1))</f>
        <v>355.12987360915633</v>
      </c>
      <c r="BJ35" s="59">
        <f t="shared" si="38"/>
        <v>286.78588538798715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62.768493251674009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62.768493251674009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62.768493251674009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62.768493251674009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62.768493251674009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62.768493251674009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62.768493251674009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1.7000000000000002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6.2333333333333343</v>
      </c>
      <c r="H36" s="67">
        <f t="shared" si="1"/>
        <v>216.48000000000002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62.893943726530395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17.737142857142853</v>
      </c>
      <c r="N36" s="13">
        <f>IF('Données projet'!$A$36&gt;35,N35+M36-V35,IF(A36&lt;'Données projet'!$A$36,$K$205^A36,IF(A36='Données projet'!$A$36,'Données projet'!$B$36,N35+M36-V35)))</f>
        <v>257.91857142857145</v>
      </c>
      <c r="O36" s="13">
        <f>N36*VLOOKUP('Données projet'!$B$9,Paramètres!$A$1:$I$89,3,0)*VLOOKUP('Données projet'!$B$9,Paramètres!$A$1:$I$89,5,0)</f>
        <v>154.23530571428574</v>
      </c>
      <c r="P36" s="13">
        <f t="shared" si="33"/>
        <v>39.539508761330566</v>
      </c>
      <c r="Q36" s="20">
        <f t="shared" si="53"/>
        <v>337.49113521169841</v>
      </c>
      <c r="R36" s="59">
        <f t="shared" si="0"/>
        <v>604.76892887564327</v>
      </c>
      <c r="S36" s="59">
        <f ca="1">AVERAGE(OFFSET($R$3,0,0,'Données projet'!$E$9+1,1))-AVERAGE(OFFSET($H$3,0,0,'Données projet'!$E$9+1,1))</f>
        <v>312.21112796780687</v>
      </c>
      <c r="T36" s="59">
        <f t="shared" si="34"/>
        <v>318.74634178809458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3.4931403206741019</v>
      </c>
      <c r="AA36" s="21">
        <f>EXP(-LN(2)/25)*AA35+(1-EXP(-LN(2)/25))/(LN(2)/25)*Calculateur!V36*Calculateur!X36*VLOOKUP('Données projet'!$B$9,Paramètres!$A$1:$I$89,3,0)*0.475*44/12</f>
        <v>35.661337080521371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39.154477401195471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62.893943726530395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116.06386628571434</v>
      </c>
      <c r="AK36" s="13">
        <f t="shared" si="35"/>
        <v>30.755186414072718</v>
      </c>
      <c r="AL36" s="20">
        <f t="shared" si="4"/>
        <v>255.70985011879577</v>
      </c>
      <c r="AM36" s="59">
        <f t="shared" si="5"/>
        <v>522.98764378274063</v>
      </c>
      <c r="AN36" s="59">
        <f ca="1">AVERAGE(OFFSET($AM$3,0,0,'Données projet'!$E$10+1,1))-AVERAGE(OFFSET($H$3,0,0,'Données projet'!$E$10+1,1))</f>
        <v>608.11285041597125</v>
      </c>
      <c r="AO36" s="59">
        <f t="shared" si="36"/>
        <v>282.40007659049331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62.893943726530395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7.6601960784313725</v>
      </c>
      <c r="BD36" s="12">
        <f>IF('Données projet'!$A$88&gt;35,BD35+BC36-BL35,IF(A36&lt;'Données projet'!$A$88,$BA$205^A36,IF(A36='Données projet'!$A$88,'Données projet'!$B$88,BD35+BC36-BL35)))</f>
        <v>252.7864705882352</v>
      </c>
      <c r="BE36" s="13">
        <f>BD36*VLOOKUP('Données projet'!$B$11,Paramètres!$A$1:$I$89,3,0)*VLOOKUP('Données projet'!$B$11,Paramètres!$A$1:$I$89,5,0)</f>
        <v>118.30406823529408</v>
      </c>
      <c r="BF36" s="13">
        <f t="shared" si="37"/>
        <v>31.279123987293506</v>
      </c>
      <c r="BG36" s="20">
        <f t="shared" si="7"/>
        <v>260.52405978767342</v>
      </c>
      <c r="BH36" s="59">
        <f t="shared" si="8"/>
        <v>527.80185345161817</v>
      </c>
      <c r="BI36" s="59">
        <f ca="1">AVERAGE(OFFSET($BH$3,0,0,'Données projet'!$E$11+1,1))-AVERAGE(OFFSET($H$3,0,0,'Données projet'!$E$11+1,1))</f>
        <v>355.12987360915633</v>
      </c>
      <c r="BJ36" s="59">
        <f t="shared" si="38"/>
        <v>286.78588538798715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62.893943726530395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62.893943726530395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62.893943726530395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62.893943726530395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62.893943726530395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62.893943726530395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62.893943726530395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1.7000000000000002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6.2333333333333343</v>
      </c>
      <c r="H37" s="67">
        <f t="shared" si="1"/>
        <v>216.48000000000002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63.017217916113282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17.737142857142853</v>
      </c>
      <c r="N37" s="13">
        <f>IF('Données projet'!$A$36&gt;35,N36+M37-V36,IF(A37&lt;'Données projet'!$A$36,$K$205^A37,IF(A37='Données projet'!$A$36,'Données projet'!$B$36,N36+M37-V36)))</f>
        <v>275.65571428571428</v>
      </c>
      <c r="O37" s="13">
        <f>N37*VLOOKUP('Données projet'!$B$9,Paramètres!$A$1:$I$89,3,0)*VLOOKUP('Données projet'!$B$9,Paramètres!$A$1:$I$89,5,0)</f>
        <v>164.84211714285715</v>
      </c>
      <c r="P37" s="13">
        <f t="shared" si="33"/>
        <v>41.932766136496305</v>
      </c>
      <c r="Q37" s="20">
        <f t="shared" si="53"/>
        <v>360.13292171154058</v>
      </c>
      <c r="R37" s="59">
        <f t="shared" si="0"/>
        <v>627.86272073728924</v>
      </c>
      <c r="S37" s="59">
        <f ca="1">AVERAGE(OFFSET($R$3,0,0,'Données projet'!$E$9+1,1))-AVERAGE(OFFSET($H$3,0,0,'Données projet'!$E$9+1,1))</f>
        <v>312.21112796780687</v>
      </c>
      <c r="T37" s="59">
        <f t="shared" si="34"/>
        <v>318.74634178809458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3.4246419695908985</v>
      </c>
      <c r="AA37" s="21">
        <f>EXP(-LN(2)/25)*AA36+(1-EXP(-LN(2)/25))/(LN(2)/25)*Calculateur!V37*Calculateur!X37*VLOOKUP('Données projet'!$B$9,Paramètres!$A$1:$I$89,3,0)*0.475*44/12</f>
        <v>34.686175942706299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38.1108179122972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63.017217916113282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119.58095314285718</v>
      </c>
      <c r="AK37" s="13">
        <f t="shared" si="35"/>
        <v>31.577243606763055</v>
      </c>
      <c r="AL37" s="20">
        <f t="shared" si="4"/>
        <v>263.26719267225525</v>
      </c>
      <c r="AM37" s="59">
        <f t="shared" si="5"/>
        <v>530.99699169800397</v>
      </c>
      <c r="AN37" s="59">
        <f ca="1">AVERAGE(OFFSET($AM$3,0,0,'Données projet'!$E$10+1,1))-AVERAGE(OFFSET($H$3,0,0,'Données projet'!$E$10+1,1))</f>
        <v>608.11285041597125</v>
      </c>
      <c r="AO37" s="59">
        <f t="shared" si="36"/>
        <v>282.40007659049331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63.017217916113282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7.6601960784313725</v>
      </c>
      <c r="BD37" s="12">
        <f>IF('Données projet'!$A$88&gt;35,BD36+BC37-BL36,IF(A37&lt;'Données projet'!$A$88,$BA$205^A37,IF(A37='Données projet'!$A$88,'Données projet'!$B$88,BD36+BC37-BL36)))</f>
        <v>260.4466666666666</v>
      </c>
      <c r="BE37" s="13">
        <f>BD37*VLOOKUP('Données projet'!$B$11,Paramètres!$A$1:$I$89,3,0)*VLOOKUP('Données projet'!$B$11,Paramètres!$A$1:$I$89,5,0)</f>
        <v>121.88903999999997</v>
      </c>
      <c r="BF37" s="13">
        <f t="shared" si="37"/>
        <v>32.115185538298832</v>
      </c>
      <c r="BG37" s="20">
        <f t="shared" si="7"/>
        <v>268.22402614587037</v>
      </c>
      <c r="BH37" s="59">
        <f t="shared" si="8"/>
        <v>535.95382517161909</v>
      </c>
      <c r="BI37" s="59">
        <f ca="1">AVERAGE(OFFSET($BH$3,0,0,'Données projet'!$E$11+1,1))-AVERAGE(OFFSET($H$3,0,0,'Données projet'!$E$11+1,1))</f>
        <v>355.12987360915633</v>
      </c>
      <c r="BJ37" s="59">
        <f t="shared" si="38"/>
        <v>286.78588538798715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63.017217916113282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63.017217916113282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63.017217916113282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63.017217916113282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63.017217916113282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63.017217916113282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63.017217916113282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1.7000000000000002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6.2333333333333343</v>
      </c>
      <c r="H38" s="67">
        <f t="shared" si="1"/>
        <v>216.48000000000002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63.138353574106688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17.737142857142853</v>
      </c>
      <c r="N38" s="13">
        <f>IF('Données projet'!$A$36&gt;35,N37+M38-V37,IF(A38&lt;'Données projet'!$A$36,$K$205^A38,IF(A38='Données projet'!$A$36,'Données projet'!$B$36,N37+M38-V37)))</f>
        <v>293.39285714285711</v>
      </c>
      <c r="O38" s="13">
        <f>N38*VLOOKUP('Données projet'!$B$9,Paramètres!$A$1:$I$89,3,0)*VLOOKUP('Données projet'!$B$9,Paramètres!$A$1:$I$89,5,0)</f>
        <v>175.44892857142858</v>
      </c>
      <c r="P38" s="13">
        <f t="shared" si="33"/>
        <v>44.308152462369684</v>
      </c>
      <c r="Q38" s="20">
        <f t="shared" si="53"/>
        <v>382.7435828005319</v>
      </c>
      <c r="R38" s="59">
        <f t="shared" si="0"/>
        <v>650.9175459055898</v>
      </c>
      <c r="S38" s="59">
        <f ca="1">AVERAGE(OFFSET($R$3,0,0,'Données projet'!$E$9+1,1))-AVERAGE(OFFSET($H$3,0,0,'Données projet'!$E$9+1,1))</f>
        <v>312.21112796780687</v>
      </c>
      <c r="T38" s="59">
        <f t="shared" si="34"/>
        <v>318.74634178809458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3.3574868293925682</v>
      </c>
      <c r="AA38" s="21">
        <f>EXP(-LN(2)/25)*AA37+(1-EXP(-LN(2)/25))/(LN(2)/25)*Calculateur!V38*Calculateur!X38*VLOOKUP('Données projet'!$B$9,Paramètres!$A$1:$I$89,3,0)*0.475*44/12</f>
        <v>33.737680637486278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37.095167466878848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63.138353574106688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123.09804000000005</v>
      </c>
      <c r="AK38" s="13">
        <f t="shared" si="35"/>
        <v>32.396490846405321</v>
      </c>
      <c r="AL38" s="20">
        <f t="shared" si="4"/>
        <v>270.81964122415599</v>
      </c>
      <c r="AM38" s="59">
        <f t="shared" si="5"/>
        <v>538.99360432921389</v>
      </c>
      <c r="AN38" s="59">
        <f ca="1">AVERAGE(OFFSET($AM$3,0,0,'Données projet'!$E$10+1,1))-AVERAGE(OFFSET($H$3,0,0,'Données projet'!$E$10+1,1))</f>
        <v>608.11285041597125</v>
      </c>
      <c r="AO38" s="59">
        <f t="shared" si="36"/>
        <v>282.40007659049331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63.138353574106688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7.6601960784313725</v>
      </c>
      <c r="BD38" s="12">
        <f>IF('Données projet'!$A$88&gt;35,BD37+BC38-BL37,IF(A38&lt;'Données projet'!$A$88,$BA$205^A38,IF(A38='Données projet'!$A$88,'Données projet'!$B$88,BD37+BC38-BL37)))</f>
        <v>268.106862745098</v>
      </c>
      <c r="BE38" s="13">
        <f>BD38*VLOOKUP('Données projet'!$B$11,Paramètres!$A$1:$I$89,3,0)*VLOOKUP('Données projet'!$B$11,Paramètres!$A$1:$I$89,5,0)</f>
        <v>125.47401176470586</v>
      </c>
      <c r="BF38" s="13">
        <f t="shared" si="37"/>
        <v>32.948389266607037</v>
      </c>
      <c r="BG38" s="20">
        <f t="shared" si="7"/>
        <v>275.91901512953666</v>
      </c>
      <c r="BH38" s="59">
        <f t="shared" si="8"/>
        <v>544.09297823459451</v>
      </c>
      <c r="BI38" s="59">
        <f ca="1">AVERAGE(OFFSET($BH$3,0,0,'Données projet'!$E$11+1,1))-AVERAGE(OFFSET($H$3,0,0,'Données projet'!$E$11+1,1))</f>
        <v>355.12987360915633</v>
      </c>
      <c r="BJ38" s="59">
        <f t="shared" si="38"/>
        <v>286.78588538798715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63.138353574106688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63.138353574106688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63.138353574106688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63.138353574106688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63.138353574106688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63.138353574106688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63.138353574106688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1.7000000000000002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6.2333333333333343</v>
      </c>
      <c r="H39" s="67">
        <f t="shared" si="1"/>
        <v>216.48000000000002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63.257387799252683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311.13</v>
      </c>
      <c r="L39" s="12">
        <f>VLOOKUP(A39,'Données projet'!$A$35:$I$55,9,0)</f>
        <v>17.737142857142853</v>
      </c>
      <c r="M39" s="12">
        <f t="array" ref="M39">INDEX(L:L,MIN(IF(ISNUMBER(L39:L235),ROW(L39:L235),"")))</f>
        <v>17.737142857142853</v>
      </c>
      <c r="N39" s="13">
        <f>IF('Données projet'!$A$36&gt;35,N38+M39-V38,IF(A39&lt;'Données projet'!$A$36,$K$205^A39,IF(A39='Données projet'!$A$36,'Données projet'!$B$36,N38+M39-V38)))</f>
        <v>311.12999999999994</v>
      </c>
      <c r="O39" s="13">
        <f>N39*VLOOKUP('Données projet'!$B$9,Paramètres!$A$1:$I$89,3,0)*VLOOKUP('Données projet'!$B$9,Paramètres!$A$1:$I$89,5,0)</f>
        <v>186.05573999999996</v>
      </c>
      <c r="P39" s="13">
        <f t="shared" si="33"/>
        <v>46.66687117215772</v>
      </c>
      <c r="Q39" s="20">
        <f t="shared" si="53"/>
        <v>405.32521445817457</v>
      </c>
      <c r="R39" s="59">
        <f t="shared" si="0"/>
        <v>673.93563638876776</v>
      </c>
      <c r="S39" s="59">
        <f ca="1">AVERAGE(OFFSET($R$3,0,0,'Données projet'!$E$9+1,1))-AVERAGE(OFFSET($H$3,0,0,'Données projet'!$E$9+1,1))</f>
        <v>312.21112796780687</v>
      </c>
      <c r="T39" s="59">
        <f t="shared" si="34"/>
        <v>318.74634178809458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76.069999999999993</v>
      </c>
      <c r="W39" s="16">
        <f>IF(ISNA(VLOOKUP(A39,'Données projet'!$A$35:$I$55,5,0)),0%,VLOOKUP(A39,'Données projet'!$A$35:$I$55,5,0)*VLOOKUP('Données projet'!$B$9,Paramètres!$A$1:$I$89,7,0))</f>
        <v>0.13500000000000001</v>
      </c>
      <c r="X39" s="16">
        <f>IF(ISNA(VLOOKUP(A39,'Données projet'!$A$35:$I$55,6,0)),0%,VLOOKUP(A39,'Données projet'!$A$35:$I$55,6,0)*VLOOKUP('Données projet'!$B$9,Paramètres!$A$1:$I$89,7,0))</f>
        <v>0.22500000000000001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11.438254793987262</v>
      </c>
      <c r="AA39" s="21">
        <f>EXP(-LN(2)/25)*AA38+(1-EXP(-LN(2)/25))/(LN(2)/25)*Calculateur!V39*Calculateur!X39*VLOOKUP('Données projet'!$B$9,Paramètres!$A$1:$I$89,3,0)*0.475*44/12</f>
        <v>46.339338553954832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57.777593347942094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63.257387799252683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126.61512685714293</v>
      </c>
      <c r="AK39" s="13">
        <f t="shared" si="35"/>
        <v>33.213017638275041</v>
      </c>
      <c r="AL39" s="20">
        <f t="shared" si="4"/>
        <v>278.36735166285297</v>
      </c>
      <c r="AM39" s="59">
        <f t="shared" si="5"/>
        <v>546.97777359344616</v>
      </c>
      <c r="AN39" s="59">
        <f ca="1">AVERAGE(OFFSET($AM$3,0,0,'Données projet'!$E$10+1,1))-AVERAGE(OFFSET($H$3,0,0,'Données projet'!$E$10+1,1))</f>
        <v>608.11285041597125</v>
      </c>
      <c r="AO39" s="59">
        <f t="shared" si="36"/>
        <v>282.40007659049331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63.257387799252683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7.6601960784313725</v>
      </c>
      <c r="BD39" s="12">
        <f>IF('Données projet'!$A$88&gt;35,BD38+BC39-BL38,IF(A39&lt;'Données projet'!$A$88,$BA$205^A39,IF(A39='Données projet'!$A$88,'Données projet'!$B$88,BD38+BC39-BL38)))</f>
        <v>275.7670588235294</v>
      </c>
      <c r="BE39" s="13">
        <f>BD39*VLOOKUP('Données projet'!$B$11,Paramètres!$A$1:$I$89,3,0)*VLOOKUP('Données projet'!$B$11,Paramètres!$A$1:$I$89,5,0)</f>
        <v>129.05898352941176</v>
      </c>
      <c r="BF39" s="13">
        <f t="shared" si="37"/>
        <v>33.778826202282794</v>
      </c>
      <c r="BG39" s="20">
        <f t="shared" si="7"/>
        <v>283.60918528270133</v>
      </c>
      <c r="BH39" s="59">
        <f t="shared" si="8"/>
        <v>552.21960721329447</v>
      </c>
      <c r="BI39" s="59">
        <f ca="1">AVERAGE(OFFSET($BH$3,0,0,'Données projet'!$E$11+1,1))-AVERAGE(OFFSET($H$3,0,0,'Données projet'!$E$11+1,1))</f>
        <v>355.12987360915633</v>
      </c>
      <c r="BJ39" s="59">
        <f t="shared" si="38"/>
        <v>286.78588538798715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63.257387799252683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63.257387799252683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63.257387799252683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63.257387799252683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63.257387799252683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63.257387799252683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63.257387799252683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1.7000000000000002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6.2333333333333343</v>
      </c>
      <c r="H40" s="67">
        <f t="shared" si="1"/>
        <v>216.48000000000002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63.374357046713051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16.536250000000003</v>
      </c>
      <c r="N40" s="13">
        <f>IF('Données projet'!$A$36&gt;35,N39+M40-V39,IF(A40&lt;'Données projet'!$A$36,$K$205^A40,IF(A40='Données projet'!$A$36,'Données projet'!$B$36,N39+M40-V39)))</f>
        <v>251.59624999999994</v>
      </c>
      <c r="O40" s="13">
        <f>N40*VLOOKUP('Données projet'!$B$9,Paramètres!$A$1:$I$89,3,0)*VLOOKUP('Données projet'!$B$9,Paramètres!$A$1:$I$89,5,0)</f>
        <v>150.45455749999999</v>
      </c>
      <c r="P40" s="13">
        <f t="shared" si="33"/>
        <v>38.681867245543785</v>
      </c>
      <c r="Q40" s="20">
        <f t="shared" si="53"/>
        <v>329.4126064318221</v>
      </c>
      <c r="R40" s="59">
        <f t="shared" si="0"/>
        <v>598.45191560310332</v>
      </c>
      <c r="S40" s="59">
        <f ca="1">AVERAGE(OFFSET($R$3,0,0,'Données projet'!$E$9+1,1))-AVERAGE(OFFSET($H$3,0,0,'Données projet'!$E$9+1,1))</f>
        <v>312.21112796780687</v>
      </c>
      <c r="T40" s="59">
        <f t="shared" si="34"/>
        <v>318.74634178809458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11.213957594123709</v>
      </c>
      <c r="AA40" s="21">
        <f>EXP(-LN(2)/25)*AA39+(1-EXP(-LN(2)/25))/(LN(2)/25)*Calculateur!V40*Calculateur!X40*VLOOKUP('Données projet'!$B$9,Paramètres!$A$1:$I$89,3,0)*0.475*44/12</f>
        <v>45.072186904317036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56.286144498440748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63.374357046713051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130.13221371428577</v>
      </c>
      <c r="AK40" s="13">
        <f t="shared" si="35"/>
        <v>34.026908232186209</v>
      </c>
      <c r="AL40" s="20">
        <f t="shared" si="4"/>
        <v>285.91047072343866</v>
      </c>
      <c r="AM40" s="59">
        <f t="shared" si="5"/>
        <v>554.94977989471977</v>
      </c>
      <c r="AN40" s="59">
        <f ca="1">AVERAGE(OFFSET($AM$3,0,0,'Données projet'!$E$10+1,1))-AVERAGE(OFFSET($H$3,0,0,'Données projet'!$E$10+1,1))</f>
        <v>608.11285041597125</v>
      </c>
      <c r="AO40" s="59">
        <f t="shared" si="36"/>
        <v>282.40007659049331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63.374357046713051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7.6601960784313725</v>
      </c>
      <c r="BD40" s="12">
        <f>IF('Données projet'!$A$88&gt;35,BD39+BC40-BL39,IF(A40&lt;'Données projet'!$A$88,$BA$205^A40,IF(A40='Données projet'!$A$88,'Données projet'!$B$88,BD39+BC40-BL39)))</f>
        <v>283.42725490196079</v>
      </c>
      <c r="BE40" s="13">
        <f>BD40*VLOOKUP('Données projet'!$B$11,Paramètres!$A$1:$I$89,3,0)*VLOOKUP('Données projet'!$B$11,Paramètres!$A$1:$I$89,5,0)</f>
        <v>132.64395529411766</v>
      </c>
      <c r="BF40" s="13">
        <f t="shared" si="37"/>
        <v>34.606582030398712</v>
      </c>
      <c r="BG40" s="20">
        <f t="shared" si="7"/>
        <v>291.29468584019929</v>
      </c>
      <c r="BH40" s="59">
        <f t="shared" si="8"/>
        <v>560.33399501148051</v>
      </c>
      <c r="BI40" s="59">
        <f ca="1">AVERAGE(OFFSET($BH$3,0,0,'Données projet'!$E$11+1,1))-AVERAGE(OFFSET($H$3,0,0,'Données projet'!$E$11+1,1))</f>
        <v>355.12987360915633</v>
      </c>
      <c r="BJ40" s="59">
        <f t="shared" si="38"/>
        <v>286.78588538798715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63.374357046713051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63.374357046713051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63.374357046713051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63.374357046713051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63.374357046713051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63.374357046713051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63.374357046713051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1.7000000000000002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6.2333333333333343</v>
      </c>
      <c r="H41" s="67">
        <f t="shared" si="1"/>
        <v>216.48000000000002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63.48929713923404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16.536250000000003</v>
      </c>
      <c r="N41" s="13">
        <f>IF('Données projet'!$A$36&gt;35,N40+M41-V40,IF(A41&lt;'Données projet'!$A$36,$K$205^A41,IF(A41='Données projet'!$A$36,'Données projet'!$B$36,N40+M41-V40)))</f>
        <v>268.13249999999994</v>
      </c>
      <c r="O41" s="13">
        <f>N41*VLOOKUP('Données projet'!$B$9,Paramètres!$A$1:$I$89,3,0)*VLOOKUP('Données projet'!$B$9,Paramètres!$A$1:$I$89,5,0)</f>
        <v>160.34323499999996</v>
      </c>
      <c r="P41" s="13">
        <f t="shared" si="33"/>
        <v>40.919923361013716</v>
      </c>
      <c r="Q41" s="20">
        <f t="shared" si="53"/>
        <v>350.53333414543209</v>
      </c>
      <c r="R41" s="59">
        <f t="shared" si="0"/>
        <v>619.99409032262361</v>
      </c>
      <c r="S41" s="59">
        <f ca="1">AVERAGE(OFFSET($R$3,0,0,'Données projet'!$E$9+1,1))-AVERAGE(OFFSET($H$3,0,0,'Données projet'!$E$9+1,1))</f>
        <v>312.21112796780687</v>
      </c>
      <c r="T41" s="59">
        <f t="shared" si="34"/>
        <v>318.74634178809458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10.994058725541697</v>
      </c>
      <c r="AA41" s="21">
        <f>EXP(-LN(2)/25)*AA40+(1-EXP(-LN(2)/25))/(LN(2)/25)*Calculateur!V41*Calculateur!X41*VLOOKUP('Données projet'!$B$9,Paramètres!$A$1:$I$89,3,0)*0.475*44/12</f>
        <v>43.839685583175189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54.833744308716888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63.48929713923404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133.64930057142865</v>
      </c>
      <c r="AK41" s="13">
        <f t="shared" si="35"/>
        <v>34.8382420646657</v>
      </c>
      <c r="AL41" s="20">
        <f t="shared" si="4"/>
        <v>293.44913675786432</v>
      </c>
      <c r="AM41" s="59">
        <f t="shared" si="5"/>
        <v>562.90989293505584</v>
      </c>
      <c r="AN41" s="59">
        <f ca="1">AVERAGE(OFFSET($AM$3,0,0,'Données projet'!$E$10+1,1))-AVERAGE(OFFSET($H$3,0,0,'Données projet'!$E$10+1,1))</f>
        <v>608.11285041597125</v>
      </c>
      <c r="AO41" s="59">
        <f t="shared" si="36"/>
        <v>282.40007659049331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63.48929713923404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7.6601960784313725</v>
      </c>
      <c r="BD41" s="12">
        <f>IF('Données projet'!$A$88&gt;35,BD40+BC41-BL40,IF(A41&lt;'Données projet'!$A$88,$BA$205^A41,IF(A41='Données projet'!$A$88,'Données projet'!$B$88,BD40+BC41-BL40)))</f>
        <v>291.08745098039219</v>
      </c>
      <c r="BE41" s="13">
        <f>BD41*VLOOKUP('Données projet'!$B$11,Paramètres!$A$1:$I$89,3,0)*VLOOKUP('Données projet'!$B$11,Paramètres!$A$1:$I$89,5,0)</f>
        <v>136.22892705882356</v>
      </c>
      <c r="BF41" s="13">
        <f t="shared" si="37"/>
        <v>35.431737540742127</v>
      </c>
      <c r="BG41" s="20">
        <f t="shared" si="7"/>
        <v>298.9756575109102</v>
      </c>
      <c r="BH41" s="59">
        <f t="shared" si="8"/>
        <v>568.43641368810177</v>
      </c>
      <c r="BI41" s="59">
        <f ca="1">AVERAGE(OFFSET($BH$3,0,0,'Données projet'!$E$11+1,1))-AVERAGE(OFFSET($H$3,0,0,'Données projet'!$E$11+1,1))</f>
        <v>355.12987360915633</v>
      </c>
      <c r="BJ41" s="59">
        <f t="shared" si="38"/>
        <v>286.78588538798715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63.48929713923404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63.48929713923404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63.48929713923404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63.48929713923404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63.48929713923404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63.48929713923404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63.48929713923404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1.7000000000000002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6.2333333333333343</v>
      </c>
      <c r="H42" s="67">
        <f t="shared" si="1"/>
        <v>216.48000000000002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63.602243278117342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16.536250000000003</v>
      </c>
      <c r="N42" s="13">
        <f>IF('Données projet'!$A$36&gt;35,N41+M42-V41,IF(A42&lt;'Données projet'!$A$36,$K$205^A42,IF(A42='Données projet'!$A$36,'Données projet'!$B$36,N41+M42-V41)))</f>
        <v>284.66874999999993</v>
      </c>
      <c r="O42" s="13">
        <f>N42*VLOOKUP('Données projet'!$B$9,Paramètres!$A$1:$I$89,3,0)*VLOOKUP('Données projet'!$B$9,Paramètres!$A$1:$I$89,5,0)</f>
        <v>170.23191249999999</v>
      </c>
      <c r="P42" s="13">
        <f t="shared" si="33"/>
        <v>43.141960148805921</v>
      </c>
      <c r="Q42" s="20">
        <f t="shared" si="53"/>
        <v>371.62616153000363</v>
      </c>
      <c r="R42" s="59">
        <f t="shared" si="0"/>
        <v>641.50105354976722</v>
      </c>
      <c r="S42" s="59">
        <f ca="1">AVERAGE(OFFSET($R$3,0,0,'Données projet'!$E$9+1,1))-AVERAGE(OFFSET($H$3,0,0,'Données projet'!$E$9+1,1))</f>
        <v>312.21112796780687</v>
      </c>
      <c r="T42" s="59">
        <f t="shared" si="34"/>
        <v>318.74634178809458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10.778471939647513</v>
      </c>
      <c r="AA42" s="21">
        <f>EXP(-LN(2)/25)*AA41+(1-EXP(-LN(2)/25))/(LN(2)/25)*Calculateur!V42*Calculateur!X42*VLOOKUP('Données projet'!$B$9,Paramètres!$A$1:$I$89,3,0)*0.475*44/12</f>
        <v>42.640887075474396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53.419359015121913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63.602243278117342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137.16638742857151</v>
      </c>
      <c r="AK42" s="13">
        <f t="shared" si="35"/>
        <v>35.647094153273272</v>
      </c>
      <c r="AL42" s="20">
        <f t="shared" si="4"/>
        <v>300.98348042171295</v>
      </c>
      <c r="AM42" s="59">
        <f t="shared" si="5"/>
        <v>570.8583724414766</v>
      </c>
      <c r="AN42" s="59">
        <f ca="1">AVERAGE(OFFSET($AM$3,0,0,'Données projet'!$E$10+1,1))-AVERAGE(OFFSET($H$3,0,0,'Données projet'!$E$10+1,1))</f>
        <v>608.11285041597125</v>
      </c>
      <c r="AO42" s="59">
        <f t="shared" si="36"/>
        <v>282.40007659049331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63.602243278117342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7.6601960784313725</v>
      </c>
      <c r="BD42" s="12">
        <f>IF('Données projet'!$A$88&gt;35,BD41+BC42-BL41,IF(A42&lt;'Données projet'!$A$88,$BA$205^A42,IF(A42='Données projet'!$A$88,'Données projet'!$B$88,BD41+BC42-BL41)))</f>
        <v>298.74764705882359</v>
      </c>
      <c r="BE42" s="13">
        <f>BD42*VLOOKUP('Données projet'!$B$11,Paramètres!$A$1:$I$89,3,0)*VLOOKUP('Données projet'!$B$11,Paramètres!$A$1:$I$89,5,0)</f>
        <v>139.81389882352943</v>
      </c>
      <c r="BF42" s="13">
        <f t="shared" si="37"/>
        <v>36.254369028853056</v>
      </c>
      <c r="BG42" s="20">
        <f t="shared" si="7"/>
        <v>306.65223317623287</v>
      </c>
      <c r="BH42" s="59">
        <f t="shared" si="8"/>
        <v>576.5271251959964</v>
      </c>
      <c r="BI42" s="59">
        <f ca="1">AVERAGE(OFFSET($BH$3,0,0,'Données projet'!$E$11+1,1))-AVERAGE(OFFSET($H$3,0,0,'Données projet'!$E$11+1,1))</f>
        <v>355.12987360915633</v>
      </c>
      <c r="BJ42" s="59">
        <f t="shared" si="38"/>
        <v>286.78588538798715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63.602243278117342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63.602243278117342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63.602243278117342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63.602243278117342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63.602243278117342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63.602243278117342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63.602243278117342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1.7000000000000002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6.2333333333333343</v>
      </c>
      <c r="H43" s="67">
        <f t="shared" si="1"/>
        <v>216.48000000000002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63.713230054000761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16.536250000000003</v>
      </c>
      <c r="N43" s="13">
        <f>IF('Données projet'!$A$36&gt;35,N42+M43-V42,IF(A43&lt;'Données projet'!$A$36,$K$205^A43,IF(A43='Données projet'!$A$36,'Données projet'!$B$36,N42+M43-V42)))</f>
        <v>301.20499999999993</v>
      </c>
      <c r="O43" s="13">
        <f>N43*VLOOKUP('Données projet'!$B$9,Paramètres!$A$1:$I$89,3,0)*VLOOKUP('Données projet'!$B$9,Paramètres!$A$1:$I$89,5,0)</f>
        <v>180.12058999999999</v>
      </c>
      <c r="P43" s="13">
        <f t="shared" si="33"/>
        <v>45.349014174000445</v>
      </c>
      <c r="Q43" s="20">
        <f t="shared" si="53"/>
        <v>392.69289393638411</v>
      </c>
      <c r="R43" s="59">
        <f t="shared" si="0"/>
        <v>662.97473746772016</v>
      </c>
      <c r="S43" s="59">
        <f ca="1">AVERAGE(OFFSET($R$3,0,0,'Données projet'!$E$9+1,1))-AVERAGE(OFFSET($H$3,0,0,'Données projet'!$E$9+1,1))</f>
        <v>312.21112796780687</v>
      </c>
      <c r="T43" s="59">
        <f t="shared" si="34"/>
        <v>318.74634178809458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10.567112679129758</v>
      </c>
      <c r="AA43" s="21">
        <f>EXP(-LN(2)/25)*AA42+(1-EXP(-LN(2)/25))/(LN(2)/25)*Calculateur!V43*Calculateur!X43*VLOOKUP('Données projet'!$B$9,Paramètres!$A$1:$I$89,3,0)*0.475*44/12</f>
        <v>41.474869776008752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52.041982455138509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63.713230054000761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140.68347428571437</v>
      </c>
      <c r="AK43" s="13">
        <f t="shared" si="35"/>
        <v>36.453535449340755</v>
      </c>
      <c r="AL43" s="20">
        <f t="shared" si="4"/>
        <v>308.51362528855435</v>
      </c>
      <c r="AM43" s="59">
        <f t="shared" si="5"/>
        <v>578.7954688198904</v>
      </c>
      <c r="AN43" s="59">
        <f ca="1">AVERAGE(OFFSET($AM$3,0,0,'Données projet'!$E$10+1,1))-AVERAGE(OFFSET($H$3,0,0,'Données projet'!$E$10+1,1))</f>
        <v>608.11285041597125</v>
      </c>
      <c r="AO43" s="59">
        <f t="shared" si="36"/>
        <v>282.40007659049331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63.713230054000761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7.6601960784313725</v>
      </c>
      <c r="BD43" s="12">
        <f>IF('Données projet'!$A$88&gt;35,BD42+BC43-BL42,IF(A43&lt;'Données projet'!$A$88,$BA$205^A43,IF(A43='Données projet'!$A$88,'Données projet'!$B$88,BD42+BC43-BL42)))</f>
        <v>306.40784313725499</v>
      </c>
      <c r="BE43" s="13">
        <f>BD43*VLOOKUP('Données projet'!$B$11,Paramètres!$A$1:$I$89,3,0)*VLOOKUP('Données projet'!$B$11,Paramètres!$A$1:$I$89,5,0)</f>
        <v>143.39887058823533</v>
      </c>
      <c r="BF43" s="13">
        <f t="shared" si="37"/>
        <v>37.074548654772258</v>
      </c>
      <c r="BG43" s="20">
        <f t="shared" si="7"/>
        <v>314.32453851490487</v>
      </c>
      <c r="BH43" s="59">
        <f t="shared" si="8"/>
        <v>584.60638204624092</v>
      </c>
      <c r="BI43" s="59">
        <f ca="1">AVERAGE(OFFSET($BH$3,0,0,'Données projet'!$E$11+1,1))-AVERAGE(OFFSET($H$3,0,0,'Données projet'!$E$11+1,1))</f>
        <v>355.12987360915633</v>
      </c>
      <c r="BJ43" s="59">
        <f t="shared" si="38"/>
        <v>286.78588538798715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63.713230054000761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63.713230054000761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63.713230054000761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63.713230054000761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63.713230054000761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63.713230054000761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63.713230054000761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1.7000000000000002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6.2333333333333343</v>
      </c>
      <c r="H44" s="67">
        <f t="shared" si="1"/>
        <v>216.48000000000002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63.822291457451854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16.536250000000003</v>
      </c>
      <c r="N44" s="13">
        <f>IF('Données projet'!$A$36&gt;35,N43+M44-V43,IF(A44&lt;'Données projet'!$A$36,$K$205^A44,IF(A44='Données projet'!$A$36,'Données projet'!$B$36,N43+M44-V43)))</f>
        <v>317.74124999999992</v>
      </c>
      <c r="O44" s="13">
        <f>N44*VLOOKUP('Données projet'!$B$9,Paramètres!$A$1:$I$89,3,0)*VLOOKUP('Données projet'!$B$9,Paramètres!$A$1:$I$89,5,0)</f>
        <v>190.00926749999999</v>
      </c>
      <c r="P44" s="13">
        <f t="shared" si="33"/>
        <v>47.542001758079778</v>
      </c>
      <c r="Q44" s="20">
        <f t="shared" si="53"/>
        <v>413.73512729115561</v>
      </c>
      <c r="R44" s="59">
        <f t="shared" si="0"/>
        <v>684.41686263514566</v>
      </c>
      <c r="S44" s="59">
        <f ca="1">AVERAGE(OFFSET($R$3,0,0,'Données projet'!$E$9+1,1))-AVERAGE(OFFSET($H$3,0,0,'Données projet'!$E$9+1,1))</f>
        <v>312.21112796780687</v>
      </c>
      <c r="T44" s="59">
        <f t="shared" si="34"/>
        <v>318.74634178809458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10.359898044794338</v>
      </c>
      <c r="AA44" s="21">
        <f>EXP(-LN(2)/25)*AA43+(1-EXP(-LN(2)/25))/(LN(2)/25)*Calculateur!V44*Calculateur!X44*VLOOKUP('Données projet'!$B$9,Paramètres!$A$1:$I$89,3,0)*0.475*44/12</f>
        <v>40.340737280915185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50.700635325709527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63.822291457451854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144.20056114285723</v>
      </c>
      <c r="AK44" s="13">
        <f t="shared" si="35"/>
        <v>37.257633154444321</v>
      </c>
      <c r="AL44" s="20">
        <f t="shared" si="4"/>
        <v>316.03968840113345</v>
      </c>
      <c r="AM44" s="59">
        <f t="shared" si="5"/>
        <v>586.7214237451235</v>
      </c>
      <c r="AN44" s="59">
        <f ca="1">AVERAGE(OFFSET($AM$3,0,0,'Données projet'!$E$10+1,1))-AVERAGE(OFFSET($H$3,0,0,'Données projet'!$E$10+1,1))</f>
        <v>608.11285041597125</v>
      </c>
      <c r="AO44" s="59">
        <f t="shared" si="36"/>
        <v>282.40007659049331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63.822291457451854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7.6601960784313725</v>
      </c>
      <c r="BD44" s="12">
        <f>IF('Données projet'!$A$88&gt;35,BD43+BC44-BL43,IF(A44&lt;'Données projet'!$A$88,$BA$205^A44,IF(A44='Données projet'!$A$88,'Données projet'!$B$88,BD43+BC44-BL43)))</f>
        <v>314.06803921568638</v>
      </c>
      <c r="BE44" s="13">
        <f>BD44*VLOOKUP('Données projet'!$B$11,Paramètres!$A$1:$I$89,3,0)*VLOOKUP('Données projet'!$B$11,Paramètres!$A$1:$I$89,5,0)</f>
        <v>146.98384235294122</v>
      </c>
      <c r="BF44" s="13">
        <f t="shared" si="37"/>
        <v>37.892344764904891</v>
      </c>
      <c r="BG44" s="20">
        <f t="shared" si="7"/>
        <v>321.99269256358195</v>
      </c>
      <c r="BH44" s="59">
        <f t="shared" si="8"/>
        <v>592.67442790757207</v>
      </c>
      <c r="BI44" s="59">
        <f ca="1">AVERAGE(OFFSET($BH$3,0,0,'Données projet'!$E$11+1,1))-AVERAGE(OFFSET($H$3,0,0,'Données projet'!$E$11+1,1))</f>
        <v>355.12987360915633</v>
      </c>
      <c r="BJ44" s="59">
        <f t="shared" si="38"/>
        <v>286.78588538798715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63.822291457451854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63.822291457451854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63.822291457451854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63.822291457451854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63.822291457451854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63.822291457451854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63.822291457451854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1.7000000000000002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6.2333333333333343</v>
      </c>
      <c r="H45" s="67">
        <f t="shared" si="1"/>
        <v>216.48000000000002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63.92946088937785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16.536250000000003</v>
      </c>
      <c r="N45" s="13">
        <f>IF('Données projet'!$A$36&gt;35,N44+M45-V44,IF(A45&lt;'Données projet'!$A$36,$K$205^A45,IF(A45='Données projet'!$A$36,'Données projet'!$B$36,N44+M45-V44)))</f>
        <v>334.27749999999992</v>
      </c>
      <c r="O45" s="13">
        <f>N45*VLOOKUP('Données projet'!$B$9,Paramètres!$A$1:$I$89,3,0)*VLOOKUP('Données projet'!$B$9,Paramètres!$A$1:$I$89,5,0)</f>
        <v>199.89794499999996</v>
      </c>
      <c r="P45" s="13">
        <f t="shared" si="33"/>
        <v>49.721738459069584</v>
      </c>
      <c r="Q45" s="20">
        <f t="shared" si="53"/>
        <v>434.75428202454617</v>
      </c>
      <c r="R45" s="59">
        <f t="shared" si="0"/>
        <v>705.82897195226496</v>
      </c>
      <c r="S45" s="59">
        <f ca="1">AVERAGE(OFFSET($R$3,0,0,'Données projet'!$E$9+1,1))-AVERAGE(OFFSET($H$3,0,0,'Données projet'!$E$9+1,1))</f>
        <v>312.21112796780687</v>
      </c>
      <c r="T45" s="59">
        <f t="shared" si="34"/>
        <v>318.74634178809458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10.156746763049787</v>
      </c>
      <c r="AA45" s="21">
        <f>EXP(-LN(2)/25)*AA44+(1-EXP(-LN(2)/25))/(LN(2)/25)*Calculateur!V45*Calculateur!X45*VLOOKUP('Données projet'!$B$9,Paramètres!$A$1:$I$89,3,0)*0.475*44/12</f>
        <v>39.237617698541385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49.394364461591174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63.92946088937785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147.71764800000008</v>
      </c>
      <c r="AK45" s="13">
        <f t="shared" si="35"/>
        <v>38.059451005131997</v>
      </c>
      <c r="AL45" s="20">
        <f t="shared" si="4"/>
        <v>323.56178076727167</v>
      </c>
      <c r="AM45" s="59">
        <f t="shared" si="5"/>
        <v>594.63647069499052</v>
      </c>
      <c r="AN45" s="59">
        <f ca="1">AVERAGE(OFFSET($AM$3,0,0,'Données projet'!$E$10+1,1))-AVERAGE(OFFSET($H$3,0,0,'Données projet'!$E$10+1,1))</f>
        <v>608.11285041597125</v>
      </c>
      <c r="AO45" s="59">
        <f t="shared" si="36"/>
        <v>282.40007659049331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5.575369807727423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5.575369807727423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63.92946088937785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7.6601960784313725</v>
      </c>
      <c r="BD45" s="12">
        <f>IF('Données projet'!$A$88&gt;35,BD44+BC45-BL44,IF(A45&lt;'Données projet'!$A$88,$BA$205^A45,IF(A45='Données projet'!$A$88,'Données projet'!$B$88,BD44+BC45-BL44)))</f>
        <v>321.72823529411778</v>
      </c>
      <c r="BE45" s="13">
        <f>BD45*VLOOKUP('Données projet'!$B$11,Paramètres!$A$1:$I$89,3,0)*VLOOKUP('Données projet'!$B$11,Paramètres!$A$1:$I$89,5,0)</f>
        <v>150.56881411764712</v>
      </c>
      <c r="BF45" s="13">
        <f t="shared" si="37"/>
        <v>38.707822181598679</v>
      </c>
      <c r="BG45" s="20">
        <f t="shared" si="7"/>
        <v>329.6568082211864</v>
      </c>
      <c r="BH45" s="59">
        <f t="shared" si="8"/>
        <v>600.73149814890519</v>
      </c>
      <c r="BI45" s="59">
        <f ca="1">AVERAGE(OFFSET($BH$3,0,0,'Données projet'!$E$11+1,1))-AVERAGE(OFFSET($H$3,0,0,'Données projet'!$E$11+1,1))</f>
        <v>355.12987360915633</v>
      </c>
      <c r="BJ45" s="59">
        <f t="shared" si="38"/>
        <v>286.78588538798715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63.92946088937785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63.92946088937785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63.92946088937785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63.92946088937785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63.92946088937785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63.92946088937785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63.92946088937785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1.7000000000000002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6.2333333333333343</v>
      </c>
      <c r="H46" s="67">
        <f t="shared" si="1"/>
        <v>216.48000000000002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64.034771171254874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16.536250000000003</v>
      </c>
      <c r="N46" s="13">
        <f>IF('Données projet'!$A$36&gt;35,N45+M46-V45,IF(A46&lt;'Données projet'!$A$36,$K$205^A46,IF(A46='Données projet'!$A$36,'Données projet'!$B$36,N45+M46-V45)))</f>
        <v>350.81374999999991</v>
      </c>
      <c r="O46" s="13">
        <f>N46*VLOOKUP('Données projet'!$B$9,Paramètres!$A$1:$I$89,3,0)*VLOOKUP('Données projet'!$B$9,Paramètres!$A$1:$I$89,5,0)</f>
        <v>209.78662249999996</v>
      </c>
      <c r="P46" s="13">
        <f t="shared" si="33"/>
        <v>51.888954587591464</v>
      </c>
      <c r="Q46" s="20">
        <f t="shared" si="53"/>
        <v>455.75163009422175</v>
      </c>
      <c r="R46" s="59">
        <f t="shared" si="0"/>
        <v>727.21245772215627</v>
      </c>
      <c r="S46" s="59">
        <f ca="1">AVERAGE(OFFSET($R$3,0,0,'Données projet'!$E$9+1,1))-AVERAGE(OFFSET($H$3,0,0,'Données projet'!$E$9+1,1))</f>
        <v>312.21112796780687</v>
      </c>
      <c r="T46" s="59">
        <f t="shared" si="34"/>
        <v>318.74634178809458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9.957579154030201</v>
      </c>
      <c r="AA46" s="21">
        <f>EXP(-LN(2)/25)*AA45+(1-EXP(-LN(2)/25))/(LN(2)/25)*Calculateur!V46*Calculateur!X46*VLOOKUP('Données projet'!$B$9,Paramètres!$A$1:$I$89,3,0)*0.475*44/12</f>
        <v>38.164662979158138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48.122242133188337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64.034771171254874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117.10034700000008</v>
      </c>
      <c r="AK46" s="13">
        <f t="shared" si="35"/>
        <v>30.997743089027207</v>
      </c>
      <c r="AL46" s="20">
        <f t="shared" si="4"/>
        <v>257.93750690505584</v>
      </c>
      <c r="AM46" s="59">
        <f t="shared" si="5"/>
        <v>529.39833453299036</v>
      </c>
      <c r="AN46" s="59">
        <f ca="1">AVERAGE(OFFSET($AM$3,0,0,'Données projet'!$E$10+1,1))-AVERAGE(OFFSET($H$3,0,0,'Données projet'!$E$10+1,1))</f>
        <v>608.11285041597125</v>
      </c>
      <c r="AO46" s="59">
        <f t="shared" si="36"/>
        <v>282.40007659049331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5.4660402064376861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5.4660402064376861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64.034771171254874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7.6601960784313725</v>
      </c>
      <c r="BD46" s="12">
        <f>IF('Données projet'!$A$88&gt;35,BD45+BC46-BL45,IF(A46&lt;'Données projet'!$A$88,$BA$205^A46,IF(A46='Données projet'!$A$88,'Données projet'!$B$88,BD45+BC46-BL45)))</f>
        <v>329.38843137254918</v>
      </c>
      <c r="BE46" s="13">
        <f>BD46*VLOOKUP('Données projet'!$B$11,Paramètres!$A$1:$I$89,3,0)*VLOOKUP('Données projet'!$B$11,Paramètres!$A$1:$I$89,5,0)</f>
        <v>154.15378588235302</v>
      </c>
      <c r="BF46" s="13">
        <f t="shared" si="37"/>
        <v>39.521042464366339</v>
      </c>
      <c r="BG46" s="20">
        <f t="shared" si="7"/>
        <v>337.31699270386952</v>
      </c>
      <c r="BH46" s="59">
        <f t="shared" si="8"/>
        <v>608.77782033180404</v>
      </c>
      <c r="BI46" s="59">
        <f ca="1">AVERAGE(OFFSET($BH$3,0,0,'Données projet'!$E$11+1,1))-AVERAGE(OFFSET($H$3,0,0,'Données projet'!$E$11+1,1))</f>
        <v>355.12987360915633</v>
      </c>
      <c r="BJ46" s="59">
        <f t="shared" si="38"/>
        <v>286.78588538798715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64.034771171254874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64.034771171254874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64.034771171254874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64.034771171254874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64.034771171254874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64.034771171254874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64.034771171254874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1.7000000000000002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6.2333333333333343</v>
      </c>
      <c r="H47" s="67">
        <f t="shared" si="1"/>
        <v>216.48000000000002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64.138254555179856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367.35</v>
      </c>
      <c r="L47" s="12">
        <f>VLOOKUP(A47,'Données projet'!$A$35:$I$55,9,0)</f>
        <v>16.536250000000003</v>
      </c>
      <c r="M47" s="12">
        <f t="array" ref="M47">INDEX(L:L,MIN(IF(ISNUMBER(L47:L243),ROW(L47:L243),"")))</f>
        <v>16.536250000000003</v>
      </c>
      <c r="N47" s="13">
        <f>IF('Données projet'!$A$36&gt;35,N46+M47-V46,IF(A47&lt;'Données projet'!$A$36,$K$205^A47,IF(A47='Données projet'!$A$36,'Données projet'!$B$36,N46+M47-V46)))</f>
        <v>367.34999999999991</v>
      </c>
      <c r="O47" s="13">
        <f>N47*VLOOKUP('Données projet'!$B$9,Paramètres!$A$1:$I$89,3,0)*VLOOKUP('Données projet'!$B$9,Paramètres!$A$1:$I$89,5,0)</f>
        <v>219.67529999999996</v>
      </c>
      <c r="P47" s="13">
        <f t="shared" si="33"/>
        <v>54.044307714561441</v>
      </c>
      <c r="Q47" s="20">
        <f t="shared" si="53"/>
        <v>476.72831676952774</v>
      </c>
      <c r="R47" s="59">
        <f t="shared" si="0"/>
        <v>748.5685834718538</v>
      </c>
      <c r="S47" s="59">
        <f ca="1">AVERAGE(OFFSET($R$3,0,0,'Données projet'!$E$9+1,1))-AVERAGE(OFFSET($H$3,0,0,'Données projet'!$E$9+1,1))</f>
        <v>312.21112796780687</v>
      </c>
      <c r="T47" s="59">
        <f t="shared" si="34"/>
        <v>318.74634178809458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77.91</v>
      </c>
      <c r="W47" s="16">
        <f>IF(ISNA(VLOOKUP(A47,'Données projet'!$A$35:$I$55,5,0)),0%,VLOOKUP(A47,'Données projet'!$A$35:$I$55,5,0)*VLOOKUP('Données projet'!$B$9,Paramètres!$A$1:$I$89,7,0))</f>
        <v>0.13500000000000001</v>
      </c>
      <c r="X47" s="16">
        <f>IF(ISNA(VLOOKUP(A47,'Données projet'!$A$35:$I$55,6,0)),0%,VLOOKUP(A47,'Données projet'!$A$35:$I$55,6,0)*VLOOKUP('Données projet'!$B$9,Paramètres!$A$1:$I$89,7,0))</f>
        <v>0.22500000000000001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18.105975463014815</v>
      </c>
      <c r="AA47" s="21">
        <f>EXP(-LN(2)/25)*AA46+(1-EXP(-LN(2)/25))/(LN(2)/25)*Calculateur!V47*Calculateur!X47*VLOOKUP('Données projet'!$B$9,Paramètres!$A$1:$I$89,3,0)*0.475*44/12</f>
        <v>50.972391930525085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69.078367393539907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64.138254555179856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125.5794540000001</v>
      </c>
      <c r="AK47" s="13">
        <f t="shared" si="35"/>
        <v>32.97285338000448</v>
      </c>
      <c r="AL47" s="20">
        <f t="shared" si="4"/>
        <v>276.14526868684135</v>
      </c>
      <c r="AM47" s="59">
        <f t="shared" si="5"/>
        <v>547.98553538916747</v>
      </c>
      <c r="AN47" s="59">
        <f ca="1">AVERAGE(OFFSET($AM$3,0,0,'Données projet'!$E$10+1,1))-AVERAGE(OFFSET($H$3,0,0,'Données projet'!$E$10+1,1))</f>
        <v>608.11285041597125</v>
      </c>
      <c r="AO47" s="59">
        <f t="shared" si="36"/>
        <v>282.40007659049331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5.3588544919447685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5.3588544919447685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64.138254555179856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7.6601960784313725</v>
      </c>
      <c r="BD47" s="12">
        <f>IF('Données projet'!$A$88&gt;35,BD46+BC47-BL46,IF(A47&lt;'Données projet'!$A$88,$BA$205^A47,IF(A47='Données projet'!$A$88,'Données projet'!$B$88,BD46+BC47-BL46)))</f>
        <v>337.04862745098058</v>
      </c>
      <c r="BE47" s="13">
        <f>BD47*VLOOKUP('Données projet'!$B$11,Paramètres!$A$1:$I$89,3,0)*VLOOKUP('Données projet'!$B$11,Paramètres!$A$1:$I$89,5,0)</f>
        <v>157.73875764705892</v>
      </c>
      <c r="BF47" s="13">
        <f t="shared" si="37"/>
        <v>40.332064146123422</v>
      </c>
      <c r="BG47" s="20">
        <f t="shared" si="7"/>
        <v>344.97334795645929</v>
      </c>
      <c r="BH47" s="59">
        <f t="shared" si="8"/>
        <v>616.81361465878535</v>
      </c>
      <c r="BI47" s="59">
        <f ca="1">AVERAGE(OFFSET($BH$3,0,0,'Données projet'!$E$11+1,1))-AVERAGE(OFFSET($H$3,0,0,'Données projet'!$E$11+1,1))</f>
        <v>355.12987360915633</v>
      </c>
      <c r="BJ47" s="59">
        <f t="shared" si="38"/>
        <v>286.78588538798715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64.138254555179856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64.138254555179856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64.138254555179856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64.138254555179856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64.138254555179856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64.138254555179856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64.138254555179856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1.7000000000000002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6.2333333333333343</v>
      </c>
      <c r="H48" s="67">
        <f t="shared" si="1"/>
        <v>216.48000000000002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64.239942733747938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14.64374999999999</v>
      </c>
      <c r="N48" s="13">
        <f>IF('Données projet'!$A$36&gt;35,N47+M48-V47,IF(A48&lt;'Données projet'!$A$36,$K$205^A48,IF(A48='Données projet'!$A$36,'Données projet'!$B$36,N47+M48-V47)))</f>
        <v>304.0837499999999</v>
      </c>
      <c r="O48" s="13">
        <f>N48*VLOOKUP('Données projet'!$B$9,Paramètres!$A$1:$I$89,3,0)*VLOOKUP('Données projet'!$B$9,Paramètres!$A$1:$I$89,5,0)</f>
        <v>181.84208249999998</v>
      </c>
      <c r="P48" s="13">
        <f t="shared" si="33"/>
        <v>45.731772411922861</v>
      </c>
      <c r="Q48" s="20">
        <f t="shared" si="53"/>
        <v>396.35779730493226</v>
      </c>
      <c r="R48" s="59">
        <f t="shared" si="0"/>
        <v>668.57092066200801</v>
      </c>
      <c r="S48" s="59">
        <f ca="1">AVERAGE(OFFSET($R$3,0,0,'Données projet'!$E$9+1,1))-AVERAGE(OFFSET($H$3,0,0,'Données projet'!$E$9+1,1))</f>
        <v>312.21112796780687</v>
      </c>
      <c r="T48" s="59">
        <f t="shared" si="34"/>
        <v>318.74634178809458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17.750928327739665</v>
      </c>
      <c r="AA48" s="21">
        <f>EXP(-LN(2)/25)*AA47+(1-EXP(-LN(2)/25))/(LN(2)/25)*Calculateur!V48*Calculateur!X48*VLOOKUP('Données projet'!$B$9,Paramètres!$A$1:$I$89,3,0)*0.475*44/12</f>
        <v>49.578549192663282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67.329477520402946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64.239942733747938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134.05856100000008</v>
      </c>
      <c r="AK48" s="13">
        <f t="shared" si="35"/>
        <v>34.932489097291651</v>
      </c>
      <c r="AL48" s="20">
        <f t="shared" si="4"/>
        <v>294.3260789194498</v>
      </c>
      <c r="AM48" s="59">
        <f t="shared" si="5"/>
        <v>566.53920227652554</v>
      </c>
      <c r="AN48" s="59">
        <f ca="1">AVERAGE(OFFSET($AM$3,0,0,'Données projet'!$E$10+1,1))-AVERAGE(OFFSET($H$3,0,0,'Données projet'!$E$10+1,1))</f>
        <v>608.11285041597125</v>
      </c>
      <c r="AO48" s="59">
        <f t="shared" si="36"/>
        <v>282.40007659049331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5.2537706239362265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5.2537706239362265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64.239942733747938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7.6601960784313725</v>
      </c>
      <c r="BD48" s="12">
        <f>IF('Données projet'!$A$88&gt;35,BD47+BC48-BL47,IF(A48&lt;'Données projet'!$A$88,$BA$205^A48,IF(A48='Données projet'!$A$88,'Données projet'!$B$88,BD47+BC48-BL47)))</f>
        <v>344.70882352941197</v>
      </c>
      <c r="BE48" s="13">
        <f>BD48*VLOOKUP('Données projet'!$B$11,Paramètres!$A$1:$I$89,3,0)*VLOOKUP('Données projet'!$B$11,Paramètres!$A$1:$I$89,5,0)</f>
        <v>161.32372941176479</v>
      </c>
      <c r="BF48" s="13">
        <f t="shared" si="37"/>
        <v>41.140942947344818</v>
      </c>
      <c r="BG48" s="20">
        <f t="shared" si="7"/>
        <v>352.62597102544919</v>
      </c>
      <c r="BH48" s="59">
        <f t="shared" si="8"/>
        <v>624.83909438252499</v>
      </c>
      <c r="BI48" s="59">
        <f ca="1">AVERAGE(OFFSET($BH$3,0,0,'Données projet'!$E$11+1,1))-AVERAGE(OFFSET($H$3,0,0,'Données projet'!$E$11+1,1))</f>
        <v>355.12987360915633</v>
      </c>
      <c r="BJ48" s="59">
        <f t="shared" si="38"/>
        <v>286.78588538798715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64.239942733747938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64.239942733747938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64.239942733747938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64.239942733747938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64.239942733747938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64.239942733747938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64.239942733747938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1.7000000000000002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6.2333333333333343</v>
      </c>
      <c r="H49" s="67">
        <f t="shared" si="1"/>
        <v>216.48000000000002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64.33986684975855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14.64374999999999</v>
      </c>
      <c r="N49" s="13">
        <f>IF('Données projet'!$A$36&gt;35,N48+M49-V48,IF(A49&lt;'Données projet'!$A$36,$K$205^A49,IF(A49='Données projet'!$A$36,'Données projet'!$B$36,N48+M49-V48)))</f>
        <v>318.72749999999991</v>
      </c>
      <c r="O49" s="13">
        <f>N49*VLOOKUP('Données projet'!$B$9,Paramètres!$A$1:$I$89,3,0)*VLOOKUP('Données projet'!$B$9,Paramètres!$A$1:$I$89,5,0)</f>
        <v>190.59904499999996</v>
      </c>
      <c r="P49" s="13">
        <f t="shared" si="33"/>
        <v>47.672368921426973</v>
      </c>
      <c r="Q49" s="20">
        <f t="shared" si="53"/>
        <v>414.98937924648521</v>
      </c>
      <c r="R49" s="59">
        <f t="shared" si="0"/>
        <v>687.56889102893319</v>
      </c>
      <c r="S49" s="59">
        <f ca="1">AVERAGE(OFFSET($R$3,0,0,'Données projet'!$E$9+1,1))-AVERAGE(OFFSET($H$3,0,0,'Données projet'!$E$9+1,1))</f>
        <v>312.21112796780687</v>
      </c>
      <c r="T49" s="59">
        <f t="shared" si="34"/>
        <v>318.74634178809458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17.402843450229891</v>
      </c>
      <c r="AA49" s="21">
        <f>EXP(-LN(2)/25)*AA48+(1-EXP(-LN(2)/25))/(LN(2)/25)*Calculateur!V49*Calculateur!X49*VLOOKUP('Données projet'!$B$9,Paramètres!$A$1:$I$89,3,0)*0.475*44/12</f>
        <v>48.222821157767314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65.625664607997209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64.33986684975855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142.53766800000008</v>
      </c>
      <c r="AK49" s="13">
        <f t="shared" si="35"/>
        <v>36.877740410345027</v>
      </c>
      <c r="AL49" s="20">
        <f t="shared" si="4"/>
        <v>312.48183631468436</v>
      </c>
      <c r="AM49" s="59">
        <f t="shared" si="5"/>
        <v>585.0613480971324</v>
      </c>
      <c r="AN49" s="59">
        <f ca="1">AVERAGE(OFFSET($AM$3,0,0,'Données projet'!$E$10+1,1))-AVERAGE(OFFSET($H$3,0,0,'Données projet'!$E$10+1,1))</f>
        <v>608.11285041597125</v>
      </c>
      <c r="AO49" s="59">
        <f t="shared" si="36"/>
        <v>282.40007659049331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5.1507473864845013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5.1507473864845013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64.33986684975855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7.6601960784313725</v>
      </c>
      <c r="BD49" s="12">
        <f>IF('Données projet'!$A$88&gt;35,BD48+BC49-BL48,IF(A49&lt;'Données projet'!$A$88,$BA$205^A49,IF(A49='Données projet'!$A$88,'Données projet'!$B$88,BD48+BC49-BL48)))</f>
        <v>352.36901960784337</v>
      </c>
      <c r="BE49" s="13">
        <f>BD49*VLOOKUP('Données projet'!$B$11,Paramètres!$A$1:$I$89,3,0)*VLOOKUP('Données projet'!$B$11,Paramètres!$A$1:$I$89,5,0)</f>
        <v>164.90870117647071</v>
      </c>
      <c r="BF49" s="13">
        <f t="shared" si="37"/>
        <v>41.947731970648171</v>
      </c>
      <c r="BG49" s="20">
        <f t="shared" si="7"/>
        <v>360.27495439789868</v>
      </c>
      <c r="BH49" s="59">
        <f t="shared" si="8"/>
        <v>632.85446618034666</v>
      </c>
      <c r="BI49" s="59">
        <f ca="1">AVERAGE(OFFSET($BH$3,0,0,'Données projet'!$E$11+1,1))-AVERAGE(OFFSET($H$3,0,0,'Données projet'!$E$11+1,1))</f>
        <v>355.12987360915633</v>
      </c>
      <c r="BJ49" s="59">
        <f t="shared" si="38"/>
        <v>286.78588538798715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64.33986684975855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64.33986684975855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64.33986684975855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64.33986684975855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64.33986684975855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64.33986684975855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64.33986684975855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1.7000000000000002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6.2333333333333343</v>
      </c>
      <c r="H50" s="67">
        <f t="shared" si="1"/>
        <v>216.48000000000002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64.43805750575325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14.64374999999999</v>
      </c>
      <c r="N50" s="13">
        <f>IF('Données projet'!$A$36&gt;35,N49+M50-V49,IF(A50&lt;'Données projet'!$A$36,$K$205^A50,IF(A50='Données projet'!$A$36,'Données projet'!$B$36,N49+M50-V49)))</f>
        <v>333.37124999999992</v>
      </c>
      <c r="O50" s="13">
        <f>N50*VLOOKUP('Données projet'!$B$9,Paramètres!$A$1:$I$89,3,0)*VLOOKUP('Données projet'!$B$9,Paramètres!$A$1:$I$89,5,0)</f>
        <v>199.35600749999998</v>
      </c>
      <c r="P50" s="13">
        <f t="shared" si="33"/>
        <v>49.602611110771242</v>
      </c>
      <c r="Q50" s="20">
        <f t="shared" si="53"/>
        <v>433.6029274137598</v>
      </c>
      <c r="R50" s="59">
        <f t="shared" si="0"/>
        <v>706.5424716015217</v>
      </c>
      <c r="S50" s="59">
        <f ca="1">AVERAGE(OFFSET($R$3,0,0,'Données projet'!$E$9+1,1))-AVERAGE(OFFSET($H$3,0,0,'Données projet'!$E$9+1,1))</f>
        <v>312.21112796780687</v>
      </c>
      <c r="T50" s="59">
        <f t="shared" si="34"/>
        <v>318.74634178809458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17.061584304857274</v>
      </c>
      <c r="AA50" s="21">
        <f>EXP(-LN(2)/25)*AA49+(1-EXP(-LN(2)/25))/(LN(2)/25)*Calculateur!V50*Calculateur!X50*VLOOKUP('Données projet'!$B$9,Paramètres!$A$1:$I$89,3,0)*0.475*44/12</f>
        <v>46.904165577280217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63.965749882137487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64.43805750575325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151.01677500000011</v>
      </c>
      <c r="AK50" s="13">
        <f t="shared" si="35"/>
        <v>38.809560459830927</v>
      </c>
      <c r="AL50" s="20">
        <f t="shared" si="4"/>
        <v>330.61420092587235</v>
      </c>
      <c r="AM50" s="59">
        <f t="shared" si="5"/>
        <v>603.55374511363425</v>
      </c>
      <c r="AN50" s="59">
        <f ca="1">AVERAGE(OFFSET($AM$3,0,0,'Données projet'!$E$10+1,1))-AVERAGE(OFFSET($H$3,0,0,'Données projet'!$E$10+1,1))</f>
        <v>608.11285041597125</v>
      </c>
      <c r="AO50" s="59">
        <f t="shared" si="36"/>
        <v>282.40007659049331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5.0497443718812338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5.0497443718812338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64.43805750575325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7.6601960784313725</v>
      </c>
      <c r="BD50" s="12">
        <f>IF('Données projet'!$A$88&gt;35,BD49+BC50-BL49,IF(A50&lt;'Données projet'!$A$88,$BA$205^A50,IF(A50='Données projet'!$A$88,'Données projet'!$B$88,BD49+BC50-BL49)))</f>
        <v>360.02921568627477</v>
      </c>
      <c r="BE50" s="13">
        <f>BD50*VLOOKUP('Données projet'!$B$11,Paramètres!$A$1:$I$89,3,0)*VLOOKUP('Données projet'!$B$11,Paramètres!$A$1:$I$89,5,0)</f>
        <v>168.49367294117658</v>
      </c>
      <c r="BF50" s="13">
        <f t="shared" si="37"/>
        <v>42.752481877979932</v>
      </c>
      <c r="BG50" s="20">
        <f t="shared" si="7"/>
        <v>367.92038631003089</v>
      </c>
      <c r="BH50" s="59">
        <f t="shared" si="8"/>
        <v>640.85993049779279</v>
      </c>
      <c r="BI50" s="59">
        <f ca="1">AVERAGE(OFFSET($BH$3,0,0,'Données projet'!$E$11+1,1))-AVERAGE(OFFSET($H$3,0,0,'Données projet'!$E$11+1,1))</f>
        <v>355.12987360915633</v>
      </c>
      <c r="BJ50" s="59">
        <f t="shared" si="38"/>
        <v>286.78588538798715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64.43805750575325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64.43805750575325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64.43805750575325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64.43805750575325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64.43805750575325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64.43805750575325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64.43805750575325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1.7000000000000002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6.2333333333333343</v>
      </c>
      <c r="H51" s="67">
        <f t="shared" si="1"/>
        <v>216.48000000000002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64.53454477338785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14.64374999999999</v>
      </c>
      <c r="N51" s="13">
        <f>IF('Données projet'!$A$36&gt;35,N50+M51-V50,IF(A51&lt;'Données projet'!$A$36,$K$205^A51,IF(A51='Données projet'!$A$36,'Données projet'!$B$36,N50+M51-V50)))</f>
        <v>348.01499999999993</v>
      </c>
      <c r="O51" s="13">
        <f>N51*VLOOKUP('Données projet'!$B$9,Paramètres!$A$1:$I$89,3,0)*VLOOKUP('Données projet'!$B$9,Paramètres!$A$1:$I$89,5,0)</f>
        <v>208.11296999999999</v>
      </c>
      <c r="P51" s="13">
        <f t="shared" si="33"/>
        <v>51.52300578513217</v>
      </c>
      <c r="Q51" s="20">
        <f t="shared" si="53"/>
        <v>452.19932449243839</v>
      </c>
      <c r="R51" s="59">
        <f t="shared" si="0"/>
        <v>725.49265532819391</v>
      </c>
      <c r="S51" s="59">
        <f ca="1">AVERAGE(OFFSET($R$3,0,0,'Données projet'!$E$9+1,1))-AVERAGE(OFFSET($H$3,0,0,'Données projet'!$E$9+1,1))</f>
        <v>312.21112796780687</v>
      </c>
      <c r="T51" s="59">
        <f t="shared" si="34"/>
        <v>318.74634178809458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16.727017043177888</v>
      </c>
      <c r="AA51" s="21">
        <f>EXP(-LN(2)/25)*AA50+(1-EXP(-LN(2)/25))/(LN(2)/25)*Calculateur!V51*Calculateur!X51*VLOOKUP('Données projet'!$B$9,Paramètres!$A$1:$I$89,3,0)*0.475*44/12</f>
        <v>45.621568702986622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62.34858574616451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64.53454477338785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159.49588200000008</v>
      </c>
      <c r="AK51" s="13">
        <f t="shared" si="35"/>
        <v>40.728789309687656</v>
      </c>
      <c r="AL51" s="20">
        <f t="shared" si="4"/>
        <v>348.72463586437283</v>
      </c>
      <c r="AM51" s="59">
        <f t="shared" si="5"/>
        <v>622.01796670012823</v>
      </c>
      <c r="AN51" s="59">
        <f ca="1">AVERAGE(OFFSET($AM$3,0,0,'Données projet'!$E$10+1,1))-AVERAGE(OFFSET($H$3,0,0,'Données projet'!$E$10+1,1))</f>
        <v>608.11285041597125</v>
      </c>
      <c r="AO51" s="59">
        <f t="shared" si="36"/>
        <v>282.40007659049331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4.9507219647885812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4.9507219647885812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64.53454477338785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7.6601960784313725</v>
      </c>
      <c r="BD51" s="12">
        <f>IF('Données projet'!$A$88&gt;35,BD50+BC51-BL50,IF(A51&lt;'Données projet'!$A$88,$BA$205^A51,IF(A51='Données projet'!$A$88,'Données projet'!$B$88,BD50+BC51-BL50)))</f>
        <v>367.68941176470616</v>
      </c>
      <c r="BE51" s="13">
        <f>BD51*VLOOKUP('Données projet'!$B$11,Paramètres!$A$1:$I$89,3,0)*VLOOKUP('Données projet'!$B$11,Paramètres!$A$1:$I$89,5,0)</f>
        <v>172.07864470588248</v>
      </c>
      <c r="BF51" s="13">
        <f t="shared" si="37"/>
        <v>43.555241052296047</v>
      </c>
      <c r="BG51" s="20">
        <f t="shared" si="7"/>
        <v>375.56235102882761</v>
      </c>
      <c r="BH51" s="59">
        <f t="shared" si="8"/>
        <v>648.85568186458306</v>
      </c>
      <c r="BI51" s="59">
        <f ca="1">AVERAGE(OFFSET($BH$3,0,0,'Données projet'!$E$11+1,1))-AVERAGE(OFFSET($H$3,0,0,'Données projet'!$E$11+1,1))</f>
        <v>355.12987360915633</v>
      </c>
      <c r="BJ51" s="59">
        <f t="shared" si="38"/>
        <v>286.78588538798715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64.53454477338785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64.53454477338785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64.53454477338785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64.53454477338785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64.53454477338785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64.53454477338785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64.53454477338785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1.7000000000000002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6.2333333333333343</v>
      </c>
      <c r="H52" s="67">
        <f t="shared" si="1"/>
        <v>216.48000000000002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64.629358202642209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14.64374999999999</v>
      </c>
      <c r="N52" s="13">
        <f>IF('Données projet'!$A$36&gt;35,N51+M52-V51,IF(A52&lt;'Données projet'!$A$36,$K$205^A52,IF(A52='Données projet'!$A$36,'Données projet'!$B$36,N51+M52-V51)))</f>
        <v>362.65874999999994</v>
      </c>
      <c r="O52" s="13">
        <f>N52*VLOOKUP('Données projet'!$B$9,Paramètres!$A$1:$I$89,3,0)*VLOOKUP('Données projet'!$B$9,Paramètres!$A$1:$I$89,5,0)</f>
        <v>216.86993249999998</v>
      </c>
      <c r="P52" s="13">
        <f t="shared" si="33"/>
        <v>53.434014686329654</v>
      </c>
      <c r="Q52" s="20">
        <f t="shared" si="53"/>
        <v>470.77937468285745</v>
      </c>
      <c r="R52" s="59">
        <f t="shared" si="0"/>
        <v>744.42035475921216</v>
      </c>
      <c r="S52" s="59">
        <f ca="1">AVERAGE(OFFSET($R$3,0,0,'Données projet'!$E$9+1,1))-AVERAGE(OFFSET($H$3,0,0,'Données projet'!$E$9+1,1))</f>
        <v>312.21112796780687</v>
      </c>
      <c r="T52" s="59">
        <f t="shared" si="34"/>
        <v>318.74634178809458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16.399010441434154</v>
      </c>
      <c r="AA52" s="21">
        <f>EXP(-LN(2)/25)*AA51+(1-EXP(-LN(2)/25))/(LN(2)/25)*Calculateur!V52*Calculateur!X52*VLOOKUP('Données projet'!$B$9,Paramètres!$A$1:$I$89,3,0)*0.475*44/12</f>
        <v>44.374044507669424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60.773054949103582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64.629358202642209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167.97498900000011</v>
      </c>
      <c r="AK52" s="13">
        <f t="shared" si="35"/>
        <v>42.636172660412917</v>
      </c>
      <c r="AL52" s="20">
        <f t="shared" si="4"/>
        <v>366.81443989188602</v>
      </c>
      <c r="AM52" s="59">
        <f t="shared" si="5"/>
        <v>640.45541996824079</v>
      </c>
      <c r="AN52" s="59">
        <f ca="1">AVERAGE(OFFSET($AM$3,0,0,'Données projet'!$E$10+1,1))-AVERAGE(OFFSET($H$3,0,0,'Données projet'!$E$10+1,1))</f>
        <v>608.11285041597125</v>
      </c>
      <c r="AO52" s="59">
        <f t="shared" si="36"/>
        <v>282.40007659049331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4.853641326701311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4.853641326701311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64.629358202642209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7.6601960784313725</v>
      </c>
      <c r="BD52" s="12">
        <f>IF('Données projet'!$A$88&gt;35,BD51+BC52-BL51,IF(A52&lt;'Données projet'!$A$88,$BA$205^A52,IF(A52='Données projet'!$A$88,'Données projet'!$B$88,BD51+BC52-BL51)))</f>
        <v>375.34960784313756</v>
      </c>
      <c r="BE52" s="13">
        <f>BD52*VLOOKUP('Données projet'!$B$11,Paramètres!$A$1:$I$89,3,0)*VLOOKUP('Données projet'!$B$11,Paramètres!$A$1:$I$89,5,0)</f>
        <v>175.66361647058838</v>
      </c>
      <c r="BF52" s="13">
        <f t="shared" si="37"/>
        <v>44.356055745389057</v>
      </c>
      <c r="BG52" s="20">
        <f t="shared" si="7"/>
        <v>383.20092910949398</v>
      </c>
      <c r="BH52" s="59">
        <f t="shared" si="8"/>
        <v>656.84190918584875</v>
      </c>
      <c r="BI52" s="59">
        <f ca="1">AVERAGE(OFFSET($BH$3,0,0,'Données projet'!$E$11+1,1))-AVERAGE(OFFSET($H$3,0,0,'Données projet'!$E$11+1,1))</f>
        <v>355.12987360915633</v>
      </c>
      <c r="BJ52" s="59">
        <f t="shared" si="38"/>
        <v>286.78588538798715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64.629358202642209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64.629358202642209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64.629358202642209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64.629358202642209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64.629358202642209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64.629358202642209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64.629358202642209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1.7000000000000002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6.2333333333333343</v>
      </c>
      <c r="H53" s="67">
        <f t="shared" si="1"/>
        <v>216.48000000000002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64.722526830870095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14.64374999999999</v>
      </c>
      <c r="N53" s="13">
        <f>IF('Données projet'!$A$36&gt;35,N52+M53-V52,IF(A53&lt;'Données projet'!$A$36,$K$205^A53,IF(A53='Données projet'!$A$36,'Données projet'!$B$36,N52+M53-V52)))</f>
        <v>377.30249999999995</v>
      </c>
      <c r="O53" s="13">
        <f>N53*VLOOKUP('Données projet'!$B$9,Paramètres!$A$1:$I$89,3,0)*VLOOKUP('Données projet'!$B$9,Paramètres!$A$1:$I$89,5,0)</f>
        <v>225.62689499999999</v>
      </c>
      <c r="P53" s="13">
        <f t="shared" si="33"/>
        <v>55.336060156511813</v>
      </c>
      <c r="Q53" s="20">
        <f t="shared" si="53"/>
        <v>489.34381356425803</v>
      </c>
      <c r="R53" s="59">
        <f t="shared" si="0"/>
        <v>763.32641194411508</v>
      </c>
      <c r="S53" s="59">
        <f ca="1">AVERAGE(OFFSET($R$3,0,0,'Données projet'!$E$9+1,1))-AVERAGE(OFFSET($H$3,0,0,'Données projet'!$E$9+1,1))</f>
        <v>312.21112796780687</v>
      </c>
      <c r="T53" s="59">
        <f t="shared" si="34"/>
        <v>318.74634178809458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16.077435849086342</v>
      </c>
      <c r="AA53" s="21">
        <f>EXP(-LN(2)/25)*AA52+(1-EXP(-LN(2)/25))/(LN(2)/25)*Calculateur!V53*Calculateur!X53*VLOOKUP('Données projet'!$B$9,Paramètres!$A$1:$I$89,3,0)*0.475*44/12</f>
        <v>43.160633927077619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59.238069776163961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64.722526830870095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176.45409600000011</v>
      </c>
      <c r="AK53" s="13">
        <f t="shared" si="35"/>
        <v>44.532376676436577</v>
      </c>
      <c r="AL53" s="20">
        <f t="shared" si="4"/>
        <v>384.88477324479385</v>
      </c>
      <c r="AM53" s="59">
        <f t="shared" si="5"/>
        <v>658.8673716246509</v>
      </c>
      <c r="AN53" s="59">
        <f ca="1">AVERAGE(OFFSET($AM$3,0,0,'Données projet'!$E$10+1,1))-AVERAGE(OFFSET($H$3,0,0,'Données projet'!$E$10+1,1))</f>
        <v>608.11285041597125</v>
      </c>
      <c r="AO53" s="59">
        <f t="shared" si="36"/>
        <v>282.40007659049331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9.3493382006381829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9.3493382006381829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64.722526830870095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7.6601960784313725</v>
      </c>
      <c r="BD53" s="12">
        <f>IF('Données projet'!$A$88&gt;35,BD52+BC53-BL52,IF(A53&lt;'Données projet'!$A$88,$BA$205^A53,IF(A53='Données projet'!$A$88,'Données projet'!$B$88,BD52+BC53-BL52)))</f>
        <v>383.00980392156896</v>
      </c>
      <c r="BE53" s="13">
        <f>BD53*VLOOKUP('Données projet'!$B$11,Paramètres!$A$1:$I$89,3,0)*VLOOKUP('Données projet'!$B$11,Paramètres!$A$1:$I$89,5,0)</f>
        <v>179.24858823529425</v>
      </c>
      <c r="BF53" s="13">
        <f t="shared" si="37"/>
        <v>45.154970213306711</v>
      </c>
      <c r="BG53" s="20">
        <f t="shared" si="7"/>
        <v>390.83619763131333</v>
      </c>
      <c r="BH53" s="59">
        <f t="shared" si="8"/>
        <v>664.81879601117043</v>
      </c>
      <c r="BI53" s="59">
        <f ca="1">AVERAGE(OFFSET($BH$3,0,0,'Données projet'!$E$11+1,1))-AVERAGE(OFFSET($H$3,0,0,'Données projet'!$E$11+1,1))</f>
        <v>355.12987360915633</v>
      </c>
      <c r="BJ53" s="59">
        <f t="shared" si="38"/>
        <v>286.78588538798715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64.722526830870095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64.722526830870095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64.722526830870095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64.722526830870095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64.722526830870095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64.722526830870095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64.722526830870095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1.7000000000000002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6.2333333333333343</v>
      </c>
      <c r="H54" s="67">
        <f t="shared" si="1"/>
        <v>216.48000000000002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64.814079191692059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14.64374999999999</v>
      </c>
      <c r="N54" s="13">
        <f>IF('Données projet'!$A$36&gt;35,N53+M54-V53,IF(A54&lt;'Données projet'!$A$36,$K$205^A54,IF(A54='Données projet'!$A$36,'Données projet'!$B$36,N53+M54-V53)))</f>
        <v>391.94624999999996</v>
      </c>
      <c r="O54" s="13">
        <f>N54*VLOOKUP('Données projet'!$B$9,Paramètres!$A$1:$I$89,3,0)*VLOOKUP('Données projet'!$B$9,Paramètres!$A$1:$I$89,5,0)</f>
        <v>234.3838575</v>
      </c>
      <c r="P54" s="13">
        <f t="shared" si="33"/>
        <v>57.229529897835612</v>
      </c>
      <c r="Q54" s="20">
        <f t="shared" si="53"/>
        <v>507.89331638456366</v>
      </c>
      <c r="R54" s="59">
        <f t="shared" si="0"/>
        <v>782.21160675410124</v>
      </c>
      <c r="S54" s="59">
        <f ca="1">AVERAGE(OFFSET($R$3,0,0,'Données projet'!$E$9+1,1))-AVERAGE(OFFSET($H$3,0,0,'Données projet'!$E$9+1,1))</f>
        <v>312.21112796780687</v>
      </c>
      <c r="T54" s="59">
        <f t="shared" si="34"/>
        <v>318.74634178809458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15.762167138353337</v>
      </c>
      <c r="AA54" s="21">
        <f>EXP(-LN(2)/25)*AA53+(1-EXP(-LN(2)/25))/(LN(2)/25)*Calculateur!V54*Calculateur!X54*VLOOKUP('Données projet'!$B$9,Paramètres!$A$1:$I$89,3,0)*0.475*44/12</f>
        <v>41.980404122622588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57.742571260975922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64.814079191692059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152.90554500000013</v>
      </c>
      <c r="AK54" s="13">
        <f t="shared" si="35"/>
        <v>39.238142074568863</v>
      </c>
      <c r="AL54" s="20">
        <f t="shared" si="4"/>
        <v>334.65025498820768</v>
      </c>
      <c r="AM54" s="59">
        <f t="shared" si="5"/>
        <v>608.96854535774526</v>
      </c>
      <c r="AN54" s="59">
        <f ca="1">AVERAGE(OFFSET($AM$3,0,0,'Données projet'!$E$10+1,1))-AVERAGE(OFFSET($H$3,0,0,'Données projet'!$E$10+1,1))</f>
        <v>608.11285041597125</v>
      </c>
      <c r="AO54" s="59">
        <f t="shared" si="36"/>
        <v>282.40007659049331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9.1660033810568926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9.1660033810568926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64.814079191692059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390.67</v>
      </c>
      <c r="BB54" s="12">
        <f>VLOOKUP(A54,'Données projet'!$A$87:$I$107,9,0)</f>
        <v>7.6601960784313725</v>
      </c>
      <c r="BC54" s="12">
        <f t="array" ref="BC54">INDEX(BB:BB,MIN(IF(ISNUMBER(BB54:BB250),ROW(BB54:BB250),"")))</f>
        <v>7.6601960784313725</v>
      </c>
      <c r="BD54" s="12">
        <f>IF('Données projet'!$A$88&gt;35,BD53+BC54-BL53,IF(A54&lt;'Données projet'!$A$88,$BA$205^A54,IF(A54='Données projet'!$A$88,'Données projet'!$B$88,BD53+BC54-BL53)))</f>
        <v>390.67000000000036</v>
      </c>
      <c r="BE54" s="13">
        <f>BD54*VLOOKUP('Données projet'!$B$11,Paramètres!$A$1:$I$89,3,0)*VLOOKUP('Données projet'!$B$11,Paramètres!$A$1:$I$89,5,0)</f>
        <v>182.83356000000015</v>
      </c>
      <c r="BF54" s="13">
        <f t="shared" si="37"/>
        <v>45.95202684063149</v>
      </c>
      <c r="BG54" s="20">
        <f t="shared" si="7"/>
        <v>398.46823041410011</v>
      </c>
      <c r="BH54" s="59">
        <f t="shared" si="8"/>
        <v>672.78652078363768</v>
      </c>
      <c r="BI54" s="59">
        <f ca="1">AVERAGE(OFFSET($BH$3,0,0,'Données projet'!$E$11+1,1))-AVERAGE(OFFSET($H$3,0,0,'Données projet'!$E$11+1,1))</f>
        <v>355.12987360915633</v>
      </c>
      <c r="BJ54" s="59">
        <f t="shared" si="38"/>
        <v>286.78588538798715</v>
      </c>
      <c r="BK54" s="15">
        <f>IF(ISNA(VLOOKUP(A54,'Données projet'!$A$87:$I$107,3,0)),0,VLOOKUP(A54,'Données projet'!$A$87:$I$107,3,0))</f>
        <v>1</v>
      </c>
      <c r="BL54" s="15">
        <f>IF(ISNA(VLOOKUP(A54,'Données projet'!$A$87:$I$107,4,0)),0,VLOOKUP(A54,'Données projet'!$A$87:$I$107,4,0))</f>
        <v>171.3</v>
      </c>
      <c r="BM54" s="16">
        <f>IF(ISNA(VLOOKUP(A54,'Données projet'!$A$87:$I$107,5,0)),0%,VLOOKUP(A54,'Données projet'!$A$87:$I$107,5,0)*VLOOKUP('Données projet'!$B$11,Paramètres!$A$1:$I$89,7,0))</f>
        <v>0.38500000000000001</v>
      </c>
      <c r="BN54" s="16">
        <f>IF(ISNA(VLOOKUP(A54,'Données projet'!$A$87:$I$107,6,0)),0%,VLOOKUP(A54,'Données projet'!$A$87:$I$107,6,0)*VLOOKUP('Données projet'!$B$11,Paramètres!$A$1:$I$89,7,0))</f>
        <v>0.16500000000000001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40.944191707441796</v>
      </c>
      <c r="BQ54" s="21">
        <f>EXP(-LN(2)/25)*BQ53+(1-EXP(-LN(2)/25))/(LN(2)/25)*Calculateur!BL54*Calculateur!BN54*VLOOKUP('Données projet'!$B$11,Paramètres!$A$1:$I$89,3,0)*0.475*44/12</f>
        <v>17.478419495884058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58.422611203325857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64.814079191692059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64.814079191692059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64.814079191692059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64.814079191692059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64.814079191692059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64.814079191692059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64.814079191692059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1.7000000000000002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6.2333333333333343</v>
      </c>
      <c r="H55" s="67">
        <f t="shared" si="1"/>
        <v>216.48000000000002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64.904043323734172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406.59</v>
      </c>
      <c r="L55" s="12">
        <f>VLOOKUP(A55,'Données projet'!$A$35:$I$55,9,0)</f>
        <v>14.64374999999999</v>
      </c>
      <c r="M55" s="12">
        <f t="array" ref="M55">INDEX(L:L,MIN(IF(ISNUMBER(L55:L251),ROW(L55:L251),"")))</f>
        <v>14.64374999999999</v>
      </c>
      <c r="N55" s="13">
        <f>IF('Données projet'!$A$36&gt;35,N54+M55-V54,IF(A55&lt;'Données projet'!$A$36,$K$205^A55,IF(A55='Données projet'!$A$36,'Données projet'!$B$36,N54+M55-V54)))</f>
        <v>406.59</v>
      </c>
      <c r="O55" s="13">
        <f>N55*VLOOKUP('Données projet'!$B$9,Paramètres!$A$1:$I$89,3,0)*VLOOKUP('Données projet'!$B$9,Paramètres!$A$1:$I$89,5,0)</f>
        <v>243.14081999999999</v>
      </c>
      <c r="P55" s="13">
        <f t="shared" si="33"/>
        <v>59.114781000830845</v>
      </c>
      <c r="Q55" s="20">
        <f t="shared" si="53"/>
        <v>526.42850507644698</v>
      </c>
      <c r="R55" s="59">
        <f t="shared" si="0"/>
        <v>801.07666393013892</v>
      </c>
      <c r="S55" s="59">
        <f ca="1">AVERAGE(OFFSET($R$3,0,0,'Données projet'!$E$9+1,1))-AVERAGE(OFFSET($H$3,0,0,'Données projet'!$E$9+1,1))</f>
        <v>312.21112796780687</v>
      </c>
      <c r="T55" s="59">
        <f t="shared" si="34"/>
        <v>318.74634178809458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75.37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0.13500000000000001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34.286909070273168</v>
      </c>
      <c r="AA55" s="21">
        <f>EXP(-LN(2)/25)*AA54+(1-EXP(-LN(2)/25))/(LN(2)/25)*Calculateur!V55*Calculateur!X55*VLOOKUP('Données projet'!$B$9,Paramètres!$A$1:$I$89,3,0)*0.475*44/12</f>
        <v>48.872307388581874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83.159216458855042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64.904043323734172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161.54977800000012</v>
      </c>
      <c r="AK55" s="13">
        <f t="shared" si="35"/>
        <v>41.191875810979205</v>
      </c>
      <c r="AL55" s="20">
        <f t="shared" si="4"/>
        <v>353.10838038745561</v>
      </c>
      <c r="AM55" s="59">
        <f t="shared" si="5"/>
        <v>627.75653924114761</v>
      </c>
      <c r="AN55" s="59">
        <f ca="1">AVERAGE(OFFSET($AM$3,0,0,'Données projet'!$E$10+1,1))-AVERAGE(OFFSET($H$3,0,0,'Données projet'!$E$10+1,1))</f>
        <v>608.11285041597125</v>
      </c>
      <c r="AO55" s="59">
        <f t="shared" si="36"/>
        <v>282.40007659049331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8.9862636454643923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8.9862636454643923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64.904043323734172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12.883999999999997</v>
      </c>
      <c r="BD55" s="12">
        <f>IF('Données projet'!$A$88&gt;35,BD54+BC55-BL54,IF(A55&lt;'Données projet'!$A$88,$BA$205^A55,IF(A55='Données projet'!$A$88,'Données projet'!$B$88,BD54+BC55-BL54)))</f>
        <v>232.25400000000036</v>
      </c>
      <c r="BE55" s="13">
        <f>BD55*VLOOKUP('Données projet'!$B$11,Paramètres!$A$1:$I$89,3,0)*VLOOKUP('Données projet'!$B$11,Paramètres!$A$1:$I$89,5,0)</f>
        <v>108.69487200000017</v>
      </c>
      <c r="BF55" s="13">
        <f t="shared" si="37"/>
        <v>29.023272955432798</v>
      </c>
      <c r="BG55" s="20">
        <f t="shared" si="7"/>
        <v>239.85910246404572</v>
      </c>
      <c r="BH55" s="59">
        <f t="shared" si="8"/>
        <v>514.50726131773774</v>
      </c>
      <c r="BI55" s="59">
        <f ca="1">AVERAGE(OFFSET($BH$3,0,0,'Données projet'!$E$11+1,1))-AVERAGE(OFFSET($H$3,0,0,'Données projet'!$E$11+1,1))</f>
        <v>355.12987360915633</v>
      </c>
      <c r="BJ55" s="59">
        <f t="shared" si="38"/>
        <v>286.78588538798715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40.141301081549877</v>
      </c>
      <c r="BQ55" s="21">
        <f>EXP(-LN(2)/25)*BQ54+(1-EXP(-LN(2)/25))/(LN(2)/25)*Calculateur!BL55*Calculateur!BN55*VLOOKUP('Données projet'!$B$11,Paramètres!$A$1:$I$89,3,0)*0.475*44/12</f>
        <v>17.000471195618974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57.141772277168855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64.904043323734172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64.904043323734172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64.904043323734172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64.904043323734172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64.904043323734172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64.904043323734172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64.904043323734172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1.7000000000000002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6.2333333333333343</v>
      </c>
      <c r="H56" s="67">
        <f t="shared" si="1"/>
        <v>216.48000000000002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64.99244677921503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13.14</v>
      </c>
      <c r="N56" s="13">
        <f>IF('Données projet'!$A$36&gt;35,N55+M56-V55,IF(A56&lt;'Données projet'!$A$36,$K$205^A56,IF(A56='Données projet'!$A$36,'Données projet'!$B$36,N55+M56-V55)))</f>
        <v>344.35999999999996</v>
      </c>
      <c r="O56" s="13">
        <f>N56*VLOOKUP('Données projet'!$B$9,Paramètres!$A$1:$I$89,3,0)*VLOOKUP('Données projet'!$B$9,Paramètres!$A$1:$I$89,5,0)</f>
        <v>205.92728</v>
      </c>
      <c r="P56" s="13">
        <f t="shared" si="33"/>
        <v>51.04458202864172</v>
      </c>
      <c r="Q56" s="20">
        <f t="shared" si="53"/>
        <v>447.55932636655098</v>
      </c>
      <c r="R56" s="59">
        <f t="shared" si="0"/>
        <v>722.53163122367278</v>
      </c>
      <c r="S56" s="59">
        <f ca="1">AVERAGE(OFFSET($R$3,0,0,'Données projet'!$E$9+1,1))-AVERAGE(OFFSET($H$3,0,0,'Données projet'!$E$9+1,1))</f>
        <v>312.21112796780687</v>
      </c>
      <c r="T56" s="59">
        <f t="shared" si="34"/>
        <v>318.74634178809458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33.614563696354665</v>
      </c>
      <c r="AA56" s="21">
        <f>EXP(-LN(2)/25)*AA55+(1-EXP(-LN(2)/25))/(LN(2)/25)*Calculateur!V56*Calculateur!X56*VLOOKUP('Données projet'!$B$9,Paramètres!$A$1:$I$89,3,0)*0.475*44/12</f>
        <v>47.535891572958157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81.150455269312829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64.99244677921503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170.19401100000013</v>
      </c>
      <c r="AK56" s="13">
        <f t="shared" si="35"/>
        <v>43.133472710542861</v>
      </c>
      <c r="AL56" s="20">
        <f t="shared" si="4"/>
        <v>371.54536746252899</v>
      </c>
      <c r="AM56" s="59">
        <f t="shared" si="5"/>
        <v>646.51767231965073</v>
      </c>
      <c r="AN56" s="59">
        <f ca="1">AVERAGE(OFFSET($AM$3,0,0,'Données projet'!$E$10+1,1))-AVERAGE(OFFSET($H$3,0,0,'Données projet'!$E$10+1,1))</f>
        <v>608.11285041597125</v>
      </c>
      <c r="AO56" s="59">
        <f t="shared" si="36"/>
        <v>282.40007659049331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8.8100484964564476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8.8100484964564476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64.99244677921503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12.883999999999997</v>
      </c>
      <c r="BD56" s="12">
        <f>IF('Données projet'!$A$88&gt;35,BD55+BC56-BL55,IF(A56&lt;'Données projet'!$A$88,$BA$205^A56,IF(A56='Données projet'!$A$88,'Données projet'!$B$88,BD55+BC56-BL55)))</f>
        <v>245.13800000000035</v>
      </c>
      <c r="BE56" s="13">
        <f>BD56*VLOOKUP('Données projet'!$B$11,Paramètres!$A$1:$I$89,3,0)*VLOOKUP('Données projet'!$B$11,Paramètres!$A$1:$I$89,5,0)</f>
        <v>114.72458400000016</v>
      </c>
      <c r="BF56" s="13">
        <f t="shared" si="37"/>
        <v>30.441394327495473</v>
      </c>
      <c r="BG56" s="20">
        <f t="shared" si="7"/>
        <v>252.83074558705485</v>
      </c>
      <c r="BH56" s="59">
        <f t="shared" si="8"/>
        <v>527.80305044417662</v>
      </c>
      <c r="BI56" s="59">
        <f ca="1">AVERAGE(OFFSET($BH$3,0,0,'Données projet'!$E$11+1,1))-AVERAGE(OFFSET($H$3,0,0,'Données projet'!$E$11+1,1))</f>
        <v>355.12987360915633</v>
      </c>
      <c r="BJ56" s="59">
        <f t="shared" si="38"/>
        <v>286.78588538798715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39.354154651116772</v>
      </c>
      <c r="BQ56" s="21">
        <f>EXP(-LN(2)/25)*BQ55+(1-EXP(-LN(2)/25))/(LN(2)/25)*Calculateur!BL56*Calculateur!BN56*VLOOKUP('Données projet'!$B$11,Paramètres!$A$1:$I$89,3,0)*0.475*44/12</f>
        <v>16.535592416758849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55.889747067875618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64.99244677921503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64.99244677921503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64.99244677921503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64.99244677921503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64.99244677921503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64.99244677921503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64.99244677921503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1.7000000000000002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6.2333333333333343</v>
      </c>
      <c r="H57" s="67">
        <f t="shared" si="1"/>
        <v>216.48000000000002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65.079316632383808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13.14</v>
      </c>
      <c r="N57" s="13">
        <f>IF('Données projet'!$A$36&gt;35,N56+M57-V56,IF(A57&lt;'Données projet'!$A$36,$K$205^A57,IF(A57='Données projet'!$A$36,'Données projet'!$B$36,N56+M57-V56)))</f>
        <v>357.49999999999994</v>
      </c>
      <c r="O57" s="13">
        <f>N57*VLOOKUP('Données projet'!$B$9,Paramètres!$A$1:$I$89,3,0)*VLOOKUP('Données projet'!$B$9,Paramètres!$A$1:$I$89,5,0)</f>
        <v>213.785</v>
      </c>
      <c r="P57" s="13">
        <f t="shared" si="33"/>
        <v>52.761841557402377</v>
      </c>
      <c r="Q57" s="20">
        <f t="shared" si="53"/>
        <v>464.23574904580914</v>
      </c>
      <c r="R57" s="59">
        <f t="shared" si="0"/>
        <v>739.52657669788312</v>
      </c>
      <c r="S57" s="59">
        <f ca="1">AVERAGE(OFFSET($R$3,0,0,'Données projet'!$E$9+1,1))-AVERAGE(OFFSET($H$3,0,0,'Données projet'!$E$9+1,1))</f>
        <v>312.21112796780687</v>
      </c>
      <c r="T57" s="59">
        <f t="shared" si="34"/>
        <v>318.74634178809458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32.955402605128512</v>
      </c>
      <c r="AA57" s="21">
        <f>EXP(-LN(2)/25)*AA56+(1-EXP(-LN(2)/25))/(LN(2)/25)*Calculateur!V57*Calculateur!X57*VLOOKUP('Données projet'!$B$9,Paramètres!$A$1:$I$89,3,0)*0.475*44/12</f>
        <v>46.236020118091723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79.191422723220228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65.079316632383808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178.83824400000015</v>
      </c>
      <c r="AK57" s="13">
        <f t="shared" si="35"/>
        <v>45.06361953668285</v>
      </c>
      <c r="AL57" s="20">
        <f t="shared" si="4"/>
        <v>389.96241232638954</v>
      </c>
      <c r="AM57" s="59">
        <f t="shared" si="5"/>
        <v>665.25323997846351</v>
      </c>
      <c r="AN57" s="59">
        <f ca="1">AVERAGE(OFFSET($AM$3,0,0,'Données projet'!$E$10+1,1))-AVERAGE(OFFSET($H$3,0,0,'Données projet'!$E$10+1,1))</f>
        <v>608.11285041597125</v>
      </c>
      <c r="AO57" s="59">
        <f t="shared" si="36"/>
        <v>282.40007659049331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8.6372888190399202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8.6372888190399202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65.079316632383808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12.883999999999997</v>
      </c>
      <c r="BD57" s="12">
        <f>IF('Données projet'!$A$88&gt;35,BD56+BC57-BL56,IF(A57&lt;'Données projet'!$A$88,$BA$205^A57,IF(A57='Données projet'!$A$88,'Données projet'!$B$88,BD56+BC57-BL56)))</f>
        <v>258.02200000000033</v>
      </c>
      <c r="BE57" s="13">
        <f>BD57*VLOOKUP('Données projet'!$B$11,Paramètres!$A$1:$I$89,3,0)*VLOOKUP('Données projet'!$B$11,Paramètres!$A$1:$I$89,5,0)</f>
        <v>120.75429600000017</v>
      </c>
      <c r="BF57" s="13">
        <f t="shared" si="37"/>
        <v>31.850862239168588</v>
      </c>
      <c r="BG57" s="20">
        <f t="shared" si="7"/>
        <v>265.78731726655224</v>
      </c>
      <c r="BH57" s="59">
        <f t="shared" si="8"/>
        <v>541.07814491862621</v>
      </c>
      <c r="BI57" s="59">
        <f ca="1">AVERAGE(OFFSET($BH$3,0,0,'Données projet'!$E$11+1,1))-AVERAGE(OFFSET($H$3,0,0,'Données projet'!$E$11+1,1))</f>
        <v>355.12987360915633</v>
      </c>
      <c r="BJ57" s="59">
        <f t="shared" si="38"/>
        <v>286.78588538798715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38.582443682072544</v>
      </c>
      <c r="BQ57" s="21">
        <f>EXP(-LN(2)/25)*BQ56+(1-EXP(-LN(2)/25))/(LN(2)/25)*Calculateur!BL57*Calculateur!BN57*VLOOKUP('Données projet'!$B$11,Paramètres!$A$1:$I$89,3,0)*0.475*44/12</f>
        <v>16.083425772553564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54.665869454626105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65.079316632383808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65.079316632383808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65.079316632383808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65.079316632383808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65.079316632383808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65.079316632383808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65.079316632383808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1.7000000000000002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6.2333333333333343</v>
      </c>
      <c r="H58" s="67">
        <f t="shared" si="1"/>
        <v>216.48000000000002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65.164679487812009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13.14</v>
      </c>
      <c r="N58" s="13">
        <f>IF('Données projet'!$A$36&gt;35,N57+M58-V57,IF(A58&lt;'Données projet'!$A$36,$K$205^A58,IF(A58='Données projet'!$A$36,'Données projet'!$B$36,N57+M58-V57)))</f>
        <v>370.63999999999993</v>
      </c>
      <c r="O58" s="13">
        <f>N58*VLOOKUP('Données projet'!$B$9,Paramètres!$A$1:$I$89,3,0)*VLOOKUP('Données projet'!$B$9,Paramètres!$A$1:$I$89,5,0)</f>
        <v>221.64272</v>
      </c>
      <c r="P58" s="13">
        <f t="shared" si="33"/>
        <v>54.471768066609272</v>
      </c>
      <c r="Q58" s="20">
        <f t="shared" si="53"/>
        <v>480.89940004934442</v>
      </c>
      <c r="R58" s="59">
        <f t="shared" si="0"/>
        <v>756.50322483798845</v>
      </c>
      <c r="S58" s="59">
        <f ca="1">AVERAGE(OFFSET($R$3,0,0,'Données projet'!$E$9+1,1))-AVERAGE(OFFSET($H$3,0,0,'Données projet'!$E$9+1,1))</f>
        <v>312.21112796780687</v>
      </c>
      <c r="T58" s="59">
        <f t="shared" si="34"/>
        <v>318.74634178809458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32.309167260852739</v>
      </c>
      <c r="AA58" s="21">
        <f>EXP(-LN(2)/25)*AA57+(1-EXP(-LN(2)/25))/(LN(2)/25)*Calculateur!V58*Calculateur!X58*VLOOKUP('Données projet'!$B$9,Paramètres!$A$1:$I$89,3,0)*0.475*44/12</f>
        <v>44.97169371651588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77.280860977368619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65.164679487812009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187.48247700000016</v>
      </c>
      <c r="AK58" s="13">
        <f t="shared" si="35"/>
        <v>46.982932911694917</v>
      </c>
      <c r="AL58" s="20">
        <f t="shared" si="4"/>
        <v>408.3605889295356</v>
      </c>
      <c r="AM58" s="59">
        <f t="shared" si="5"/>
        <v>683.96441371817969</v>
      </c>
      <c r="AN58" s="59">
        <f ca="1">AVERAGE(OFFSET($AM$3,0,0,'Données projet'!$E$10+1,1))-AVERAGE(OFFSET($H$3,0,0,'Données projet'!$E$10+1,1))</f>
        <v>608.11285041597125</v>
      </c>
      <c r="AO58" s="59">
        <f t="shared" si="36"/>
        <v>282.40007659049331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8.4679168535245335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8.4679168535245335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65.164679487812009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12.883999999999997</v>
      </c>
      <c r="BD58" s="12">
        <f>IF('Données projet'!$A$88&gt;35,BD57+BC58-BL57,IF(A58&lt;'Données projet'!$A$88,$BA$205^A58,IF(A58='Données projet'!$A$88,'Données projet'!$B$88,BD57+BC58-BL57)))</f>
        <v>270.90600000000035</v>
      </c>
      <c r="BE58" s="13">
        <f>BD58*VLOOKUP('Données projet'!$B$11,Paramètres!$A$1:$I$89,3,0)*VLOOKUP('Données projet'!$B$11,Paramètres!$A$1:$I$89,5,0)</f>
        <v>126.78400800000016</v>
      </c>
      <c r="BF58" s="13">
        <f t="shared" si="37"/>
        <v>33.252158096898668</v>
      </c>
      <c r="BG58" s="20">
        <f t="shared" si="7"/>
        <v>278.72965595209877</v>
      </c>
      <c r="BH58" s="59">
        <f t="shared" si="8"/>
        <v>554.33348074074274</v>
      </c>
      <c r="BI58" s="59">
        <f ca="1">AVERAGE(OFFSET($BH$3,0,0,'Données projet'!$E$11+1,1))-AVERAGE(OFFSET($H$3,0,0,'Données projet'!$E$11+1,1))</f>
        <v>355.12987360915633</v>
      </c>
      <c r="BJ58" s="59">
        <f t="shared" si="38"/>
        <v>286.78588538798715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37.825865494434062</v>
      </c>
      <c r="BQ58" s="21">
        <f>EXP(-LN(2)/25)*BQ57+(1-EXP(-LN(2)/25))/(LN(2)/25)*Calculateur!BL58*Calculateur!BN58*VLOOKUP('Données projet'!$B$11,Paramètres!$A$1:$I$89,3,0)*0.475*44/12</f>
        <v>15.643623649012484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53.469489143446545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65.164679487812009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65.164679487812009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65.164679487812009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65.164679487812009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65.164679487812009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65.164679487812009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65.164679487812009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1.7000000000000002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6.2333333333333343</v>
      </c>
      <c r="H59" s="67">
        <f t="shared" si="1"/>
        <v>216.48000000000002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65.248561488541284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13.14</v>
      </c>
      <c r="N59" s="13">
        <f>IF('Données projet'!$A$36&gt;35,N58+M59-V58,IF(A59&lt;'Données projet'!$A$36,$K$205^A59,IF(A59='Données projet'!$A$36,'Données projet'!$B$36,N58+M59-V58)))</f>
        <v>383.77999999999992</v>
      </c>
      <c r="O59" s="13">
        <f>N59*VLOOKUP('Données projet'!$B$9,Paramètres!$A$1:$I$89,3,0)*VLOOKUP('Données projet'!$B$9,Paramètres!$A$1:$I$89,5,0)</f>
        <v>229.50043999999997</v>
      </c>
      <c r="P59" s="13">
        <f t="shared" si="33"/>
        <v>56.174651313961498</v>
      </c>
      <c r="Q59" s="20">
        <f t="shared" si="53"/>
        <v>497.55078403848285</v>
      </c>
      <c r="R59" s="59">
        <f t="shared" si="0"/>
        <v>773.46217616313425</v>
      </c>
      <c r="S59" s="59">
        <f ca="1">AVERAGE(OFFSET($R$3,0,0,'Données projet'!$E$9+1,1))-AVERAGE(OFFSET($H$3,0,0,'Données projet'!$E$9+1,1))</f>
        <v>312.21112796780687</v>
      </c>
      <c r="T59" s="59">
        <f t="shared" si="34"/>
        <v>318.74634178809458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31.675604197513575</v>
      </c>
      <c r="AA59" s="21">
        <f>EXP(-LN(2)/25)*AA58+(1-EXP(-LN(2)/25))/(LN(2)/25)*Calculateur!V59*Calculateur!X59*VLOOKUP('Données projet'!$B$9,Paramètres!$A$1:$I$89,3,0)*0.475*44/12</f>
        <v>43.741940386879165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75.417544584392743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65.248561488541284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196.12671000000017</v>
      </c>
      <c r="AK59" s="13">
        <f t="shared" si="35"/>
        <v>48.891969383051702</v>
      </c>
      <c r="AL59" s="20">
        <f t="shared" si="4"/>
        <v>426.74086659214868</v>
      </c>
      <c r="AM59" s="59">
        <f t="shared" si="5"/>
        <v>702.65225871680013</v>
      </c>
      <c r="AN59" s="59">
        <f ca="1">AVERAGE(OFFSET($AM$3,0,0,'Données projet'!$E$10+1,1))-AVERAGE(OFFSET($H$3,0,0,'Données projet'!$E$10+1,1))</f>
        <v>608.11285041597125</v>
      </c>
      <c r="AO59" s="59">
        <f t="shared" si="36"/>
        <v>282.40007659049331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8.301866168946205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8.301866168946205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65.248561488541284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12.883999999999997</v>
      </c>
      <c r="BD59" s="12">
        <f>IF('Données projet'!$A$88&gt;35,BD58+BC59-BL58,IF(A59&lt;'Données projet'!$A$88,$BA$205^A59,IF(A59='Données projet'!$A$88,'Données projet'!$B$88,BD58+BC59-BL58)))</f>
        <v>283.79000000000036</v>
      </c>
      <c r="BE59" s="13">
        <f>BD59*VLOOKUP('Données projet'!$B$11,Paramètres!$A$1:$I$89,3,0)*VLOOKUP('Données projet'!$B$11,Paramètres!$A$1:$I$89,5,0)</f>
        <v>132.81372000000016</v>
      </c>
      <c r="BF59" s="13">
        <f t="shared" si="37"/>
        <v>34.645714929343931</v>
      </c>
      <c r="BG59" s="20">
        <f t="shared" si="7"/>
        <v>291.65851583527427</v>
      </c>
      <c r="BH59" s="59">
        <f t="shared" si="8"/>
        <v>567.56990795992567</v>
      </c>
      <c r="BI59" s="59">
        <f ca="1">AVERAGE(OFFSET($BH$3,0,0,'Données projet'!$E$11+1,1))-AVERAGE(OFFSET($H$3,0,0,'Données projet'!$E$11+1,1))</f>
        <v>355.12987360915633</v>
      </c>
      <c r="BJ59" s="59">
        <f t="shared" si="38"/>
        <v>286.78588538798715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37.08412334358804</v>
      </c>
      <c r="BQ59" s="21">
        <f>EXP(-LN(2)/25)*BQ58+(1-EXP(-LN(2)/25))/(LN(2)/25)*Calculateur!BL59*Calculateur!BN59*VLOOKUP('Données projet'!$B$11,Paramètres!$A$1:$I$89,3,0)*0.475*44/12</f>
        <v>15.215847937667824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52.299971281255864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65.248561488541284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65.248561488541284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65.248561488541284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65.248561488541284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65.248561488541284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65.248561488541284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65.248561488541284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1.7000000000000002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6.2333333333333343</v>
      </c>
      <c r="H60" s="67">
        <f t="shared" si="1"/>
        <v>216.48000000000002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65.330988324089972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13.14</v>
      </c>
      <c r="N60" s="13">
        <f>IF('Données projet'!$A$36&gt;35,N59+M60-V59,IF(A60&lt;'Données projet'!$A$36,$K$205^A60,IF(A60='Données projet'!$A$36,'Données projet'!$B$36,N59+M60-V59)))</f>
        <v>396.9199999999999</v>
      </c>
      <c r="O60" s="13">
        <f>N60*VLOOKUP('Données projet'!$B$9,Paramètres!$A$1:$I$89,3,0)*VLOOKUP('Données projet'!$B$9,Paramètres!$A$1:$I$89,5,0)</f>
        <v>237.35815999999997</v>
      </c>
      <c r="P60" s="13">
        <f t="shared" si="33"/>
        <v>57.870760090028412</v>
      </c>
      <c r="Q60" s="20">
        <f t="shared" si="53"/>
        <v>514.19036915679942</v>
      </c>
      <c r="R60" s="59">
        <f t="shared" si="0"/>
        <v>790.40399301179605</v>
      </c>
      <c r="S60" s="59">
        <f ca="1">AVERAGE(OFFSET($R$3,0,0,'Données projet'!$E$9+1,1))-AVERAGE(OFFSET($H$3,0,0,'Données projet'!$E$9+1,1))</f>
        <v>312.21112796780687</v>
      </c>
      <c r="T60" s="59">
        <f t="shared" si="34"/>
        <v>318.74634178809458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31.054464919411181</v>
      </c>
      <c r="AA60" s="21">
        <f>EXP(-LN(2)/25)*AA59+(1-EXP(-LN(2)/25))/(LN(2)/25)*Calculateur!V60*Calculateur!X60*VLOOKUP('Données projet'!$B$9,Paramètres!$A$1:$I$89,3,0)*0.475*44/12</f>
        <v>42.545814726711285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73.600279646122459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65.330988324089972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204.77094300000016</v>
      </c>
      <c r="AK60" s="13">
        <f t="shared" si="35"/>
        <v>50.791233664926693</v>
      </c>
      <c r="AL60" s="20">
        <f t="shared" si="4"/>
        <v>445.10412435808092</v>
      </c>
      <c r="AM60" s="59">
        <f t="shared" si="5"/>
        <v>721.31774821307749</v>
      </c>
      <c r="AN60" s="59">
        <f ca="1">AVERAGE(OFFSET($AM$3,0,0,'Données projet'!$E$10+1,1))-AVERAGE(OFFSET($H$3,0,0,'Données projet'!$E$10+1,1))</f>
        <v>608.11285041597125</v>
      </c>
      <c r="AO60" s="59">
        <f t="shared" si="36"/>
        <v>282.40007659049331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8.1390716370115399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8.1390716370115399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65.330988324089972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12.883999999999997</v>
      </c>
      <c r="BD60" s="12">
        <f>IF('Données projet'!$A$88&gt;35,BD59+BC60-BL59,IF(A60&lt;'Données projet'!$A$88,$BA$205^A60,IF(A60='Données projet'!$A$88,'Données projet'!$B$88,BD59+BC60-BL59)))</f>
        <v>296.67400000000038</v>
      </c>
      <c r="BE60" s="13">
        <f>BD60*VLOOKUP('Données projet'!$B$11,Paramètres!$A$1:$I$89,3,0)*VLOOKUP('Données projet'!$B$11,Paramètres!$A$1:$I$89,5,0)</f>
        <v>138.84343200000018</v>
      </c>
      <c r="BF60" s="13">
        <f t="shared" si="37"/>
        <v>36.031924223793197</v>
      </c>
      <c r="BG60" s="20">
        <f t="shared" si="7"/>
        <v>304.57457875644008</v>
      </c>
      <c r="BH60" s="59">
        <f t="shared" si="8"/>
        <v>580.78820261143665</v>
      </c>
      <c r="BI60" s="59">
        <f ca="1">AVERAGE(OFFSET($BH$3,0,0,'Données projet'!$E$11+1,1))-AVERAGE(OFFSET($H$3,0,0,'Données projet'!$E$11+1,1))</f>
        <v>355.12987360915633</v>
      </c>
      <c r="BJ60" s="59">
        <f t="shared" si="38"/>
        <v>286.78588538798715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36.356926303902071</v>
      </c>
      <c r="BQ60" s="21">
        <f>EXP(-LN(2)/25)*BQ59+(1-EXP(-LN(2)/25))/(LN(2)/25)*Calculateur!BL60*Calculateur!BN60*VLOOKUP('Données projet'!$B$11,Paramètres!$A$1:$I$89,3,0)*0.475*44/12</f>
        <v>14.799769775645631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51.1566960795477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65.330988324089972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65.330988324089972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65.330988324089972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65.330988324089972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65.330988324089972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65.330988324089972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65.330988324089972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1.7000000000000002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6.2333333333333343</v>
      </c>
      <c r="H61" s="67">
        <f t="shared" si="1"/>
        <v>216.48000000000002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65.411985238320682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13.14</v>
      </c>
      <c r="N61" s="13">
        <f>IF('Données projet'!$A$36&gt;35,N60+M61-V60,IF(A61&lt;'Données projet'!$A$36,$K$205^A61,IF(A61='Données projet'!$A$36,'Données projet'!$B$36,N60+M61-V60)))</f>
        <v>410.05999999999989</v>
      </c>
      <c r="O61" s="13">
        <f>N61*VLOOKUP('Données projet'!$B$9,Paramètres!$A$1:$I$89,3,0)*VLOOKUP('Données projet'!$B$9,Paramètres!$A$1:$I$89,5,0)</f>
        <v>245.21587999999994</v>
      </c>
      <c r="P61" s="13">
        <f t="shared" si="33"/>
        <v>59.560344378839609</v>
      </c>
      <c r="Q61" s="20">
        <f t="shared" si="53"/>
        <v>530.81859079314563</v>
      </c>
      <c r="R61" s="59">
        <f t="shared" si="0"/>
        <v>807.32920333365473</v>
      </c>
      <c r="S61" s="59">
        <f ca="1">AVERAGE(OFFSET($R$3,0,0,'Données projet'!$E$9+1,1))-AVERAGE(OFFSET($H$3,0,0,'Données projet'!$E$9+1,1))</f>
        <v>312.21112796780687</v>
      </c>
      <c r="T61" s="59">
        <f t="shared" si="34"/>
        <v>318.74634178809458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30.445505803694825</v>
      </c>
      <c r="AA61" s="21">
        <f>EXP(-LN(2)/25)*AA60+(1-EXP(-LN(2)/25))/(LN(2)/25)*Calculateur!V61*Calculateur!X61*VLOOKUP('Données projet'!$B$9,Paramètres!$A$1:$I$89,3,0)*0.475*44/12</f>
        <v>41.38239718562221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71.827902989317039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65.411985238320682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213.41517600000017</v>
      </c>
      <c r="AK61" s="13">
        <f t="shared" si="35"/>
        <v>52.681185448853228</v>
      </c>
      <c r="AL61" s="20">
        <f t="shared" si="4"/>
        <v>463.45116285675294</v>
      </c>
      <c r="AM61" s="59">
        <f t="shared" si="5"/>
        <v>739.96177539726204</v>
      </c>
      <c r="AN61" s="59">
        <f ca="1">AVERAGE(OFFSET($AM$3,0,0,'Données projet'!$E$10+1,1))-AVERAGE(OFFSET($H$3,0,0,'Données projet'!$E$10+1,1))</f>
        <v>608.11285041597125</v>
      </c>
      <c r="AO61" s="59">
        <f t="shared" si="36"/>
        <v>282.40007659049331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13.776770157795863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13.776770157795863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65.411985238320682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12.883999999999997</v>
      </c>
      <c r="BD61" s="12">
        <f>IF('Données projet'!$A$88&gt;35,BD60+BC61-BL60,IF(A61&lt;'Données projet'!$A$88,$BA$205^A61,IF(A61='Données projet'!$A$88,'Données projet'!$B$88,BD60+BC61-BL60)))</f>
        <v>309.55800000000039</v>
      </c>
      <c r="BE61" s="13">
        <f>BD61*VLOOKUP('Données projet'!$B$11,Paramètres!$A$1:$I$89,3,0)*VLOOKUP('Données projet'!$B$11,Paramètres!$A$1:$I$89,5,0)</f>
        <v>144.87314400000017</v>
      </c>
      <c r="BF61" s="13">
        <f t="shared" si="37"/>
        <v>37.411141541504648</v>
      </c>
      <c r="BG61" s="20">
        <f t="shared" si="7"/>
        <v>317.47846398478754</v>
      </c>
      <c r="BH61" s="59">
        <f t="shared" si="8"/>
        <v>593.9890765252967</v>
      </c>
      <c r="BI61" s="59">
        <f ca="1">AVERAGE(OFFSET($BH$3,0,0,'Données projet'!$E$11+1,1))-AVERAGE(OFFSET($H$3,0,0,'Données projet'!$E$11+1,1))</f>
        <v>355.12987360915633</v>
      </c>
      <c r="BJ61" s="59">
        <f t="shared" si="38"/>
        <v>286.78588538798715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35.643989154617948</v>
      </c>
      <c r="BQ61" s="21">
        <f>EXP(-LN(2)/25)*BQ60+(1-EXP(-LN(2)/25))/(LN(2)/25)*Calculateur!BL61*Calculateur!BN61*VLOOKUP('Données projet'!$B$11,Paramètres!$A$1:$I$89,3,0)*0.475*44/12</f>
        <v>14.395069292844534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50.03905844746248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65.411985238320682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65.411985238320682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65.411985238320682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65.411985238320682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65.411985238320682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65.411985238320682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65.411985238320682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1.7000000000000002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6.2333333333333343</v>
      </c>
      <c r="H62" s="67">
        <f t="shared" si="1"/>
        <v>216.48000000000002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65.491577037171453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13.14</v>
      </c>
      <c r="N62" s="13">
        <f>IF('Données projet'!$A$36&gt;35,N61+M62-V61,IF(A62&lt;'Données projet'!$A$36,$K$205^A62,IF(A62='Données projet'!$A$36,'Données projet'!$B$36,N61+M62-V61)))</f>
        <v>423.19999999999987</v>
      </c>
      <c r="O62" s="13">
        <f>N62*VLOOKUP('Données projet'!$B$9,Paramètres!$A$1:$I$89,3,0)*VLOOKUP('Données projet'!$B$9,Paramètres!$A$1:$I$89,5,0)</f>
        <v>253.07359999999994</v>
      </c>
      <c r="P62" s="13">
        <f t="shared" si="33"/>
        <v>61.243637233758619</v>
      </c>
      <c r="Q62" s="20">
        <f t="shared" si="53"/>
        <v>547.43585484879611</v>
      </c>
      <c r="R62" s="59">
        <f t="shared" si="0"/>
        <v>824.23830398509142</v>
      </c>
      <c r="S62" s="59">
        <f ca="1">AVERAGE(OFFSET($R$3,0,0,'Données projet'!$E$9+1,1))-AVERAGE(OFFSET($H$3,0,0,'Données projet'!$E$9+1,1))</f>
        <v>312.21112796780687</v>
      </c>
      <c r="T62" s="59">
        <f t="shared" si="34"/>
        <v>318.74634178809458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29.848488004809283</v>
      </c>
      <c r="AA62" s="21">
        <f>EXP(-LN(2)/25)*AA61+(1-EXP(-LN(2)/25))/(LN(2)/25)*Calculateur!V62*Calculateur!X62*VLOOKUP('Données projet'!$B$9,Paramètres!$A$1:$I$89,3,0)*0.475*44/12</f>
        <v>40.250793358375681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70.099281363184957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65.491577037171453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181.13417400000017</v>
      </c>
      <c r="AK62" s="13">
        <f t="shared" si="35"/>
        <v>45.574426667354729</v>
      </c>
      <c r="AL62" s="20">
        <f t="shared" si="4"/>
        <v>394.85081282897653</v>
      </c>
      <c r="AM62" s="59">
        <f t="shared" si="5"/>
        <v>671.65326196527189</v>
      </c>
      <c r="AN62" s="59">
        <f ca="1">AVERAGE(OFFSET($AM$3,0,0,'Données projet'!$E$10+1,1))-AVERAGE(OFFSET($H$3,0,0,'Données projet'!$E$10+1,1))</f>
        <v>608.11285041597125</v>
      </c>
      <c r="AO62" s="59">
        <f t="shared" si="36"/>
        <v>282.40007659049331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13.506616098001555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13.506616098001555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65.491577037171453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12.883999999999997</v>
      </c>
      <c r="BD62" s="12">
        <f>IF('Données projet'!$A$88&gt;35,BD61+BC62-BL61,IF(A62&lt;'Données projet'!$A$88,$BA$205^A62,IF(A62='Données projet'!$A$88,'Données projet'!$B$88,BD61+BC62-BL61)))</f>
        <v>322.44200000000041</v>
      </c>
      <c r="BE62" s="13">
        <f>BD62*VLOOKUP('Données projet'!$B$11,Paramètres!$A$1:$I$89,3,0)*VLOOKUP('Données projet'!$B$11,Paramètres!$A$1:$I$89,5,0)</f>
        <v>150.90285600000018</v>
      </c>
      <c r="BF62" s="13">
        <f t="shared" si="37"/>
        <v>38.783691171847273</v>
      </c>
      <c r="BG62" s="20">
        <f t="shared" si="7"/>
        <v>330.37073632430099</v>
      </c>
      <c r="BH62" s="59">
        <f t="shared" si="8"/>
        <v>607.1731854605963</v>
      </c>
      <c r="BI62" s="59">
        <f ca="1">AVERAGE(OFFSET($BH$3,0,0,'Données projet'!$E$11+1,1))-AVERAGE(OFFSET($H$3,0,0,'Données projet'!$E$11+1,1))</f>
        <v>355.12987360915633</v>
      </c>
      <c r="BJ62" s="59">
        <f t="shared" si="38"/>
        <v>286.78588538798715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34.945032267982562</v>
      </c>
      <c r="BQ62" s="21">
        <f>EXP(-LN(2)/25)*BQ61+(1-EXP(-LN(2)/25))/(LN(2)/25)*Calculateur!BL62*Calculateur!BN62*VLOOKUP('Données projet'!$B$11,Paramètres!$A$1:$I$89,3,0)*0.475*44/12</f>
        <v>14.001435366027906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48.946467634010467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65.491577037171453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65.491577037171453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65.491577037171453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65.491577037171453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65.491577037171453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65.491577037171453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65.491577037171453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1.7000000000000002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6.2333333333333343</v>
      </c>
      <c r="H63" s="67">
        <f t="shared" si="1"/>
        <v>216.48000000000002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65.569788096252779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436.34</v>
      </c>
      <c r="L63" s="12">
        <f>VLOOKUP(A63,'Données projet'!$A$35:$I$55,9,0)</f>
        <v>13.14</v>
      </c>
      <c r="M63" s="12">
        <f t="array" ref="M63">INDEX(L:L,MIN(IF(ISNUMBER(L63:L259),ROW(L63:L259),"")))</f>
        <v>13.14</v>
      </c>
      <c r="N63" s="13">
        <f>IF('Données projet'!$A$36&gt;35,N62+M63-V62,IF(A63&lt;'Données projet'!$A$36,$K$205^A63,IF(A63='Données projet'!$A$36,'Données projet'!$B$36,N62+M63-V62)))</f>
        <v>436.33999999999986</v>
      </c>
      <c r="O63" s="13">
        <f>N63*VLOOKUP('Données projet'!$B$9,Paramètres!$A$1:$I$89,3,0)*VLOOKUP('Données projet'!$B$9,Paramètres!$A$1:$I$89,5,0)</f>
        <v>260.93131999999991</v>
      </c>
      <c r="P63" s="13">
        <f t="shared" si="33"/>
        <v>62.92085641383472</v>
      </c>
      <c r="Q63" s="20">
        <f t="shared" si="53"/>
        <v>564.04254058742856</v>
      </c>
      <c r="R63" s="59">
        <f t="shared" si="0"/>
        <v>841.13176360702209</v>
      </c>
      <c r="S63" s="59">
        <f ca="1">AVERAGE(OFFSET($R$3,0,0,'Données projet'!$E$9+1,1))-AVERAGE(OFFSET($H$3,0,0,'Données projet'!$E$9+1,1))</f>
        <v>312.21112796780687</v>
      </c>
      <c r="T63" s="59">
        <f t="shared" si="34"/>
        <v>318.74634178809458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436.34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0.13500000000000001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138.2979749040349</v>
      </c>
      <c r="AA63" s="21">
        <f>EXP(-LN(2)/25)*AA62+(1-EXP(-LN(2)/25))/(LN(2)/25)*Calculateur!V63*Calculateur!X63*VLOOKUP('Données projet'!$B$9,Paramètres!$A$1:$I$89,3,0)*0.475*44/12</f>
        <v>85.695341582912519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223.99331648694744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65.569788096252779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189.50583600000016</v>
      </c>
      <c r="AK63" s="13">
        <f t="shared" si="35"/>
        <v>47.430683653447495</v>
      </c>
      <c r="AL63" s="20">
        <f t="shared" si="4"/>
        <v>412.6644383964213</v>
      </c>
      <c r="AM63" s="59">
        <f t="shared" si="5"/>
        <v>689.75366141601489</v>
      </c>
      <c r="AN63" s="59">
        <f ca="1">AVERAGE(OFFSET($AM$3,0,0,'Données projet'!$E$10+1,1))-AVERAGE(OFFSET($H$3,0,0,'Données projet'!$E$10+1,1))</f>
        <v>608.11285041597125</v>
      </c>
      <c r="AO63" s="59">
        <f t="shared" si="36"/>
        <v>282.40007659049331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13.241759594542106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13.241759594542106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65.569788096252779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12.883999999999997</v>
      </c>
      <c r="BD63" s="12">
        <f>IF('Données projet'!$A$88&gt;35,BD62+BC63-BL62,IF(A63&lt;'Données projet'!$A$88,$BA$205^A63,IF(A63='Données projet'!$A$88,'Données projet'!$B$88,BD62+BC63-BL62)))</f>
        <v>335.32600000000042</v>
      </c>
      <c r="BE63" s="13">
        <f>BD63*VLOOKUP('Données projet'!$B$11,Paramètres!$A$1:$I$89,3,0)*VLOOKUP('Données projet'!$B$11,Paramètres!$A$1:$I$89,5,0)</f>
        <v>156.9325680000002</v>
      </c>
      <c r="BF63" s="13">
        <f t="shared" si="37"/>
        <v>40.149870021630669</v>
      </c>
      <c r="BG63" s="20">
        <f t="shared" si="7"/>
        <v>343.25191288767377</v>
      </c>
      <c r="BH63" s="59">
        <f t="shared" si="8"/>
        <v>620.34113590726724</v>
      </c>
      <c r="BI63" s="59">
        <f ca="1">AVERAGE(OFFSET($BH$3,0,0,'Données projet'!$E$11+1,1))-AVERAGE(OFFSET($H$3,0,0,'Données projet'!$E$11+1,1))</f>
        <v>355.12987360915633</v>
      </c>
      <c r="BJ63" s="59">
        <f t="shared" si="38"/>
        <v>286.78588538798715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34.25978149957249</v>
      </c>
      <c r="BQ63" s="21">
        <f>EXP(-LN(2)/25)*BQ62+(1-EXP(-LN(2)/25))/(LN(2)/25)*Calculateur!BL63*Calculateur!BN63*VLOOKUP('Données projet'!$B$11,Paramètres!$A$1:$I$89,3,0)*0.475*44/12</f>
        <v>13.618565379640387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47.878346879212877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65.569788096252779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65.569788096252779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65.569788096252779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65.569788096252779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65.569788096252779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65.569788096252779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65.569788096252779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1.7000000000000002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6.2333333333333343</v>
      </c>
      <c r="H64" s="67">
        <f t="shared" si="1"/>
        <v>216.48000000000002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65.646642368312769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-6.7984728957526396E-14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312.21112796780687</v>
      </c>
      <c r="T64" s="59">
        <f t="shared" si="34"/>
        <v>318.74634178809458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135.58603596960225</v>
      </c>
      <c r="AA64" s="21">
        <f>EXP(-LN(2)/25)*AA63+(1-EXP(-LN(2)/25))/(LN(2)/25)*Calculateur!V64*Calculateur!X64*VLOOKUP('Données projet'!$B$9,Paramètres!$A$1:$I$89,3,0)*0.475*44/12</f>
        <v>83.351997960805619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218.93803393040787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65.646642368312769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197.87749800000014</v>
      </c>
      <c r="AK64" s="13">
        <f t="shared" si="35"/>
        <v>49.277416774103372</v>
      </c>
      <c r="AL64" s="20">
        <f t="shared" si="4"/>
        <v>430.46147656489694</v>
      </c>
      <c r="AM64" s="59">
        <f t="shared" si="5"/>
        <v>707.83249858204374</v>
      </c>
      <c r="AN64" s="59">
        <f ca="1">AVERAGE(OFFSET($AM$3,0,0,'Données projet'!$E$10+1,1))-AVERAGE(OFFSET($H$3,0,0,'Données projet'!$E$10+1,1))</f>
        <v>608.11285041597125</v>
      </c>
      <c r="AO64" s="59">
        <f t="shared" si="36"/>
        <v>282.40007659049331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12.982096765568983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12.982096765568983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65.646642368312769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>
        <f>VLOOKUP(A64,'Données projet'!$A$87:$I$107,2,0)</f>
        <v>348.21</v>
      </c>
      <c r="BB64" s="12">
        <f>VLOOKUP(A64,'Données projet'!$A$87:$I$107,9,0)</f>
        <v>12.883999999999997</v>
      </c>
      <c r="BC64" s="12">
        <f t="array" ref="BC64">INDEX(BB:BB,MIN(IF(ISNUMBER(BB64:BB260),ROW(BB64:BB260),"")))</f>
        <v>12.883999999999997</v>
      </c>
      <c r="BD64" s="12">
        <f>IF('Données projet'!$A$88&gt;35,BD63+BC64-BL63,IF(A64&lt;'Données projet'!$A$88,$BA$205^A64,IF(A64='Données projet'!$A$88,'Données projet'!$B$88,BD63+BC64-BL63)))</f>
        <v>348.21000000000043</v>
      </c>
      <c r="BE64" s="13">
        <f>BD64*VLOOKUP('Données projet'!$B$11,Paramètres!$A$1:$I$89,3,0)*VLOOKUP('Données projet'!$B$11,Paramètres!$A$1:$I$89,5,0)</f>
        <v>162.96228000000019</v>
      </c>
      <c r="BF64" s="13">
        <f t="shared" si="37"/>
        <v>41.509950889873885</v>
      </c>
      <c r="BG64" s="20">
        <f t="shared" si="7"/>
        <v>356.12246879986401</v>
      </c>
      <c r="BH64" s="59">
        <f t="shared" si="8"/>
        <v>633.49349081701075</v>
      </c>
      <c r="BI64" s="59">
        <f ca="1">AVERAGE(OFFSET($BH$3,0,0,'Données projet'!$E$11+1,1))-AVERAGE(OFFSET($H$3,0,0,'Données projet'!$E$11+1,1))</f>
        <v>355.12987360915633</v>
      </c>
      <c r="BJ64" s="59">
        <f t="shared" si="38"/>
        <v>286.78588538798715</v>
      </c>
      <c r="BK64" s="15">
        <f>IF(ISNA(VLOOKUP(A64,'Données projet'!$A$87:$I$107,3,0)),0,VLOOKUP(A64,'Données projet'!$A$87:$I$107,3,0))</f>
        <v>2</v>
      </c>
      <c r="BL64" s="15">
        <f>IF(ISNA(VLOOKUP(A64,'Données projet'!$A$87:$I$107,4,0)),0,VLOOKUP(A64,'Données projet'!$A$87:$I$107,4,0))</f>
        <v>100.2</v>
      </c>
      <c r="BM64" s="16">
        <f>IF(ISNA(VLOOKUP(A64,'Données projet'!$A$87:$I$107,5,0)),0%,VLOOKUP(A64,'Données projet'!$A$87:$I$107,5,0)*VLOOKUP('Données projet'!$B$11,Paramètres!$A$1:$I$89,7,0))</f>
        <v>0.38500000000000001</v>
      </c>
      <c r="BN64" s="16">
        <f>IF(ISNA(VLOOKUP(A64,'Données projet'!$A$87:$I$107,6,0)),0%,VLOOKUP(A64,'Données projet'!$A$87:$I$107,6,0)*VLOOKUP('Données projet'!$B$11,Paramètres!$A$1:$I$89,7,0))</f>
        <v>0.16500000000000001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57.537810515595091</v>
      </c>
      <c r="BQ64" s="21">
        <f>EXP(-LN(2)/25)*BQ63+(1-EXP(-LN(2)/25))/(LN(2)/25)*Calculateur!BL64*Calculateur!BN64*VLOOKUP('Données projet'!$B$11,Paramètres!$A$1:$I$89,3,0)*0.475*44/12</f>
        <v>23.469969041545411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81.007779557140509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65.646642368312769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65.646642368312769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65.646642368312769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65.646642368312769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65.646642368312769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65.646642368312769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65.646642368312769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1.7000000000000002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6.2333333333333343</v>
      </c>
      <c r="H65" s="67">
        <f t="shared" si="1"/>
        <v>216.48000000000002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65.722163390572945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-6.7984728957526396E-14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312.21112796780687</v>
      </c>
      <c r="T65" s="59">
        <f t="shared" si="34"/>
        <v>318.74634178809458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132.92727650355442</v>
      </c>
      <c r="AA65" s="21">
        <f>EXP(-LN(2)/25)*AA64+(1-EXP(-LN(2)/25))/(LN(2)/25)*Calculateur!V65*Calculateur!X65*VLOOKUP('Données projet'!$B$9,Paramètres!$A$1:$I$89,3,0)*0.475*44/12</f>
        <v>81.072733193276321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214.00000969683074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65.722163390572945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206.24916000000016</v>
      </c>
      <c r="AK65" s="13">
        <f t="shared" si="35"/>
        <v>51.115075026737237</v>
      </c>
      <c r="AL65" s="20">
        <f t="shared" si="4"/>
        <v>448.24270933823431</v>
      </c>
      <c r="AM65" s="59">
        <f t="shared" si="5"/>
        <v>725.89064177033515</v>
      </c>
      <c r="AN65" s="59">
        <f ca="1">AVERAGE(OFFSET($AM$3,0,0,'Données projet'!$E$10+1,1))-AVERAGE(OFFSET($H$3,0,0,'Données projet'!$E$10+1,1))</f>
        <v>608.11285041597125</v>
      </c>
      <c r="AO65" s="59">
        <f t="shared" si="36"/>
        <v>282.40007659049331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12.727525766293335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12.727525766293335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65.722163390572945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11.868333333333334</v>
      </c>
      <c r="BD65" s="12">
        <f>IF('Données projet'!$A$88&gt;35,BD64+BC65-BL64,IF(A65&lt;'Données projet'!$A$88,$BA$205^A65,IF(A65='Données projet'!$A$88,'Données projet'!$B$88,BD64+BC65-BL64)))</f>
        <v>259.87833333333379</v>
      </c>
      <c r="BE65" s="13">
        <f>BD65*VLOOKUP('Données projet'!$B$11,Paramètres!$A$1:$I$89,3,0)*VLOOKUP('Données projet'!$B$11,Paramètres!$A$1:$I$89,5,0)</f>
        <v>121.62306000000021</v>
      </c>
      <c r="BF65" s="13">
        <f t="shared" si="37"/>
        <v>32.053254884491679</v>
      </c>
      <c r="BG65" s="20">
        <f t="shared" si="7"/>
        <v>267.65291509049001</v>
      </c>
      <c r="BH65" s="59">
        <f t="shared" si="8"/>
        <v>545.30084752259086</v>
      </c>
      <c r="BI65" s="59">
        <f ca="1">AVERAGE(OFFSET($BH$3,0,0,'Données projet'!$E$11+1,1))-AVERAGE(OFFSET($H$3,0,0,'Données projet'!$E$11+1,1))</f>
        <v>355.12987360915633</v>
      </c>
      <c r="BJ65" s="59">
        <f t="shared" si="38"/>
        <v>286.78588538798715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56.409529145983385</v>
      </c>
      <c r="BQ65" s="21">
        <f>EXP(-LN(2)/25)*BQ64+(1-EXP(-LN(2)/25))/(LN(2)/25)*Calculateur!BL65*Calculateur!BN65*VLOOKUP('Données projet'!$B$11,Paramètres!$A$1:$I$89,3,0)*0.475*44/12</f>
        <v>22.828181503872322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79.2377106498557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65.722163390572945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65.722163390572945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65.722163390572945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65.722163390572945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65.722163390572945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65.722163390572945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65.722163390572945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1.7000000000000002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6.2333333333333343</v>
      </c>
      <c r="H66" s="67">
        <f t="shared" si="1"/>
        <v>216.48000000000002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65.796374291936601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-6.7984728957526396E-14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312.21112796780687</v>
      </c>
      <c r="T66" s="59">
        <f t="shared" si="34"/>
        <v>318.74634178809458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130.32065368895263</v>
      </c>
      <c r="AA66" s="21">
        <f>EXP(-LN(2)/25)*AA65+(1-EXP(-LN(2)/25))/(LN(2)/25)*Calculateur!V66*Calculateur!X66*VLOOKUP('Données projet'!$B$9,Paramètres!$A$1:$I$89,3,0)*0.475*44/12</f>
        <v>78.855795040676441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209.17644872962907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65.796374291936601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214.62082200000015</v>
      </c>
      <c r="AK66" s="13">
        <f t="shared" si="35"/>
        <v>52.944068896315315</v>
      </c>
      <c r="AL66" s="20">
        <f t="shared" si="4"/>
        <v>466.0088516444161</v>
      </c>
      <c r="AM66" s="59">
        <f t="shared" si="5"/>
        <v>743.92889071485024</v>
      </c>
      <c r="AN66" s="59">
        <f ca="1">AVERAGE(OFFSET($AM$3,0,0,'Données projet'!$E$10+1,1))-AVERAGE(OFFSET($H$3,0,0,'Données projet'!$E$10+1,1))</f>
        <v>608.11285041597125</v>
      </c>
      <c r="AO66" s="59">
        <f t="shared" si="36"/>
        <v>282.40007659049331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12.477946749040505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12.477946749040505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65.796374291936601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11.868333333333334</v>
      </c>
      <c r="BD66" s="12">
        <f>IF('Données projet'!$A$88&gt;35,BD65+BC66-BL65,IF(A66&lt;'Données projet'!$A$88,$BA$205^A66,IF(A66='Données projet'!$A$88,'Données projet'!$B$88,BD65+BC66-BL65)))</f>
        <v>271.74666666666712</v>
      </c>
      <c r="BE66" s="13">
        <f>BD66*VLOOKUP('Données projet'!$B$11,Paramètres!$A$1:$I$89,3,0)*VLOOKUP('Données projet'!$B$11,Paramètres!$A$1:$I$89,5,0)</f>
        <v>127.1774400000002</v>
      </c>
      <c r="BF66" s="13">
        <f t="shared" si="37"/>
        <v>33.34331769365982</v>
      </c>
      <c r="BG66" s="20">
        <f t="shared" si="7"/>
        <v>279.57365298312453</v>
      </c>
      <c r="BH66" s="59">
        <f t="shared" si="8"/>
        <v>557.49369205355879</v>
      </c>
      <c r="BI66" s="59">
        <f ca="1">AVERAGE(OFFSET($BH$3,0,0,'Données projet'!$E$11+1,1))-AVERAGE(OFFSET($H$3,0,0,'Données projet'!$E$11+1,1))</f>
        <v>355.12987360915633</v>
      </c>
      <c r="BJ66" s="59">
        <f t="shared" si="38"/>
        <v>286.78588538798715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55.303372685846078</v>
      </c>
      <c r="BQ66" s="21">
        <f>EXP(-LN(2)/25)*BQ65+(1-EXP(-LN(2)/25))/(LN(2)/25)*Calculateur!BL66*Calculateur!BN66*VLOOKUP('Données projet'!$B$11,Paramètres!$A$1:$I$89,3,0)*0.475*44/12</f>
        <v>22.203943680167043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77.507316366013129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65.796374291936601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65.796374291936601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65.796374291936601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65.796374291936601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65.796374291936601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65.796374291936601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65.796374291936601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1.7000000000000002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6.2333333333333343</v>
      </c>
      <c r="H67" s="67">
        <f t="shared" si="1"/>
        <v>216.48000000000002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65.869297800072331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-6.7984728957526396E-14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312.21112796780687</v>
      </c>
      <c r="T67" s="59">
        <f t="shared" si="34"/>
        <v>318.74634178809458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127.76514515786226</v>
      </c>
      <c r="AA67" s="21">
        <f>EXP(-LN(2)/25)*AA66+(1-EXP(-LN(2)/25))/(LN(2)/25)*Calculateur!V67*Calculateur!X67*VLOOKUP('Données projet'!$B$9,Paramètres!$A$1:$I$89,3,0)*0.475*44/12</f>
        <v>76.699479178443113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204.46462433630538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65.869297800072331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222.99248400000016</v>
      </c>
      <c r="AK67" s="13">
        <f t="shared" si="35"/>
        <v>54.764775031234961</v>
      </c>
      <c r="AL67" s="20">
        <f t="shared" si="4"/>
        <v>483.76055947940108</v>
      </c>
      <c r="AM67" s="59">
        <f t="shared" si="5"/>
        <v>761.94798474633296</v>
      </c>
      <c r="AN67" s="59">
        <f ca="1">AVERAGE(OFFSET($AM$3,0,0,'Données projet'!$E$10+1,1))-AVERAGE(OFFSET($H$3,0,0,'Données projet'!$E$10+1,1))</f>
        <v>608.11285041597125</v>
      </c>
      <c r="AO67" s="59">
        <f t="shared" si="36"/>
        <v>282.40007659049331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12.233261824087835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12.233261824087835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65.869297800072331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11.868333333333334</v>
      </c>
      <c r="BD67" s="12">
        <f>IF('Données projet'!$A$88&gt;35,BD66+BC67-BL66,IF(A67&lt;'Données projet'!$A$88,$BA$205^A67,IF(A67='Données projet'!$A$88,'Données projet'!$B$88,BD66+BC67-BL66)))</f>
        <v>283.61500000000046</v>
      </c>
      <c r="BE67" s="13">
        <f>BD67*VLOOKUP('Données projet'!$B$11,Paramètres!$A$1:$I$89,3,0)*VLOOKUP('Données projet'!$B$11,Paramètres!$A$1:$I$89,5,0)</f>
        <v>132.73182000000023</v>
      </c>
      <c r="BF67" s="13">
        <f t="shared" si="37"/>
        <v>34.626836677073747</v>
      </c>
      <c r="BG67" s="20">
        <f t="shared" si="7"/>
        <v>291.48299371257053</v>
      </c>
      <c r="BH67" s="59">
        <f t="shared" si="8"/>
        <v>569.67041897950241</v>
      </c>
      <c r="BI67" s="59">
        <f ca="1">AVERAGE(OFFSET($BH$3,0,0,'Données projet'!$E$11+1,1))-AVERAGE(OFFSET($H$3,0,0,'Données projet'!$E$11+1,1))</f>
        <v>355.12987360915633</v>
      </c>
      <c r="BJ67" s="59">
        <f t="shared" si="38"/>
        <v>286.78588538798715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54.218907279203243</v>
      </c>
      <c r="BQ67" s="21">
        <f>EXP(-LN(2)/25)*BQ66+(1-EXP(-LN(2)/25))/(LN(2)/25)*Calculateur!BL67*Calculateur!BN67*VLOOKUP('Données projet'!$B$11,Paramètres!$A$1:$I$89,3,0)*0.475*44/12</f>
        <v>21.596775672578225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75.815682951781469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65.869297800072331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65.869297800072331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65.869297800072331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65.869297800072331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65.869297800072331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65.869297800072331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65.869297800072331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1.7000000000000002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6.2333333333333343</v>
      </c>
      <c r="H68" s="67">
        <f t="shared" ref="H68:H131" si="56">(B68+E68+F68)*44/12+(C68+D68)*0.475*44/12</f>
        <v>216.48000000000002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65.940956248374434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-6.7984728957526396E-14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312.21112796780687</v>
      </c>
      <c r="T68" s="59">
        <f t="shared" si="34"/>
        <v>318.74634178809458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125.25974859036027</v>
      </c>
      <c r="AA68" s="21">
        <f>EXP(-LN(2)/25)*AA67+(1-EXP(-LN(2)/25))/(LN(2)/25)*Calculateur!V68*Calculateur!X68*VLOOKUP('Données projet'!$B$9,Paramètres!$A$1:$I$89,3,0)*0.475*44/12</f>
        <v>74.60212788685827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199.86187647721854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65.940956248374434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231.36414600000015</v>
      </c>
      <c r="AK68" s="13">
        <f t="shared" si="35"/>
        <v>56.57754019728695</v>
      </c>
      <c r="AL68" s="20">
        <f t="shared" ref="AL68:AL131" si="58">(AJ68+AK68)*0.475*44/12</f>
        <v>501.49843679360833</v>
      </c>
      <c r="AM68" s="59">
        <f t="shared" ref="AM68:AM131" si="59">AL68+(AD68+AE68)*44/12</f>
        <v>779.94860970431455</v>
      </c>
      <c r="AN68" s="59">
        <f ca="1">AVERAGE(OFFSET($AM$3,0,0,'Données projet'!$E$10+1,1))-AVERAGE(OFFSET($H$3,0,0,'Données projet'!$E$10+1,1))</f>
        <v>608.11285041597125</v>
      </c>
      <c r="AO68" s="59">
        <f t="shared" si="36"/>
        <v>282.40007659049331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11.993375021270419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11.993375021270419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65.940956248374434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11.868333333333334</v>
      </c>
      <c r="BD68" s="12">
        <f>IF('Données projet'!$A$88&gt;35,BD67+BC68-BL67,IF(A68&lt;'Données projet'!$A$88,$BA$205^A68,IF(A68='Données projet'!$A$88,'Données projet'!$B$88,BD67+BC68-BL67)))</f>
        <v>295.4833333333338</v>
      </c>
      <c r="BE68" s="13">
        <f>BD68*VLOOKUP('Données projet'!$B$11,Paramètres!$A$1:$I$89,3,0)*VLOOKUP('Données projet'!$B$11,Paramètres!$A$1:$I$89,5,0)</f>
        <v>138.28620000000021</v>
      </c>
      <c r="BF68" s="13">
        <f t="shared" si="37"/>
        <v>35.904116984770091</v>
      </c>
      <c r="BG68" s="20">
        <f t="shared" ref="BG68:BG131" si="61">(BE68+BF68)*0.475*44/12</f>
        <v>303.3814687484749</v>
      </c>
      <c r="BH68" s="59">
        <f t="shared" ref="BH68:BH131" si="62">BG68+(AY68+AZ68)*44/12</f>
        <v>581.83164165918117</v>
      </c>
      <c r="BI68" s="59">
        <f ca="1">AVERAGE(OFFSET($BH$3,0,0,'Données projet'!$E$11+1,1))-AVERAGE(OFFSET($H$3,0,0,'Données projet'!$E$11+1,1))</f>
        <v>355.12987360915633</v>
      </c>
      <c r="BJ68" s="59">
        <f t="shared" si="38"/>
        <v>286.78588538798715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53.155707577726091</v>
      </c>
      <c r="BQ68" s="21">
        <f>EXP(-LN(2)/25)*BQ67+(1-EXP(-LN(2)/25))/(LN(2)/25)*Calculateur!BL68*Calculateur!BN68*VLOOKUP('Données projet'!$B$11,Paramètres!$A$1:$I$89,3,0)*0.475*44/12</f>
        <v>21.006210706086502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74.161918283812597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65.940956248374434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65.940956248374434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65.940956248374434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65.940956248374434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65.940956248374434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65.940956248374434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65.940956248374434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1.7000000000000002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6.2333333333333343</v>
      </c>
      <c r="H69" s="67">
        <f t="shared" si="56"/>
        <v>216.48000000000002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66.011371582802795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-6.7984728957526396E-14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312.21112796780687</v>
      </c>
      <c r="T69" s="59">
        <f t="shared" ref="T69:T132" si="88">$T$3</f>
        <v>318.74634178809458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122.80348132140598</v>
      </c>
      <c r="AA69" s="21">
        <f>EXP(-LN(2)/25)*AA68+(1-EXP(-LN(2)/25))/(LN(2)/25)*Calculateur!V69*Calculateur!X69*VLOOKUP('Données projet'!$B$9,Paramètres!$A$1:$I$89,3,0)*0.475*44/12</f>
        <v>72.562128776636726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195.36561009804271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66.011371582802795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239.73580800000011</v>
      </c>
      <c r="AK69" s="13">
        <f t="shared" ref="AK69:AK132" si="89">EXP(-1.0587+0.8836*LN(AJ69)+0.284)</f>
        <v>58.38268464325516</v>
      </c>
      <c r="AL69" s="20">
        <f t="shared" si="58"/>
        <v>519.22304135366949</v>
      </c>
      <c r="AM69" s="59">
        <f t="shared" si="59"/>
        <v>797.93140382394631</v>
      </c>
      <c r="AN69" s="59">
        <f ca="1">AVERAGE(OFFSET($AM$3,0,0,'Données projet'!$E$10+1,1))-AVERAGE(OFFSET($H$3,0,0,'Données projet'!$E$10+1,1))</f>
        <v>608.11285041597125</v>
      </c>
      <c r="AO69" s="59">
        <f t="shared" ref="AO69:AO132" si="90">$AO$3</f>
        <v>282.40007659049331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24.637928753319876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24.637928753319876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66.011371582802795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11.868333333333334</v>
      </c>
      <c r="BD69" s="12">
        <f>IF('Données projet'!$A$88&gt;35,BD68+BC69-BL68,IF(A69&lt;'Données projet'!$A$88,$BA$205^A69,IF(A69='Données projet'!$A$88,'Données projet'!$B$88,BD68+BC69-BL68)))</f>
        <v>307.35166666666714</v>
      </c>
      <c r="BE69" s="13">
        <f>BD69*VLOOKUP('Données projet'!$B$11,Paramètres!$A$1:$I$89,3,0)*VLOOKUP('Données projet'!$B$11,Paramètres!$A$1:$I$89,5,0)</f>
        <v>143.84058000000022</v>
      </c>
      <c r="BF69" s="13">
        <f t="shared" ref="BF69:BF132" si="91">EXP(-1.0587+0.8836*LN(BE69)+0.284)</f>
        <v>37.17543786612071</v>
      </c>
      <c r="BG69" s="20">
        <f t="shared" si="61"/>
        <v>315.26956445016066</v>
      </c>
      <c r="BH69" s="59">
        <f t="shared" si="62"/>
        <v>593.97792692043754</v>
      </c>
      <c r="BI69" s="59">
        <f ca="1">AVERAGE(OFFSET($BH$3,0,0,'Données projet'!$E$11+1,1))-AVERAGE(OFFSET($H$3,0,0,'Données projet'!$E$11+1,1))</f>
        <v>355.12987360915633</v>
      </c>
      <c r="BJ69" s="59">
        <f t="shared" ref="BJ69:BJ132" si="92">$BJ$3</f>
        <v>286.78588538798715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52.113356573907119</v>
      </c>
      <c r="BQ69" s="21">
        <f>EXP(-LN(2)/25)*BQ68+(1-EXP(-LN(2)/25))/(LN(2)/25)*Calculateur!BL69*Calculateur!BN69*VLOOKUP('Données projet'!$B$11,Paramètres!$A$1:$I$89,3,0)*0.475*44/12</f>
        <v>20.431794769659955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72.545151343567071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66.011371582802795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66.011371582802795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66.011371582802795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66.011371582802795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66.011371582802795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66.011371582802795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66.011371582802795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1.7000000000000002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6.2333333333333343</v>
      </c>
      <c r="H70" s="67">
        <f t="shared" si="56"/>
        <v>216.48000000000002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66.080565368603928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-6.7984728957526396E-14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312.21112796780687</v>
      </c>
      <c r="T70" s="59">
        <f t="shared" si="88"/>
        <v>318.74634178809458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120.39537995542079</v>
      </c>
      <c r="AA70" s="21">
        <f>EXP(-LN(2)/25)*AA69+(1-EXP(-LN(2)/25))/(LN(2)/25)*Calculateur!V70*Calculateur!X70*VLOOKUP('Données projet'!$B$9,Paramètres!$A$1:$I$89,3,0)*0.475*44/12</f>
        <v>70.577913549363089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190.9732935047839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66.080565368603928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202.59942300000012</v>
      </c>
      <c r="AK70" s="13">
        <f t="shared" si="89"/>
        <v>50.315012169520465</v>
      </c>
      <c r="AL70" s="20">
        <f t="shared" si="58"/>
        <v>440.49264125358167</v>
      </c>
      <c r="AM70" s="59">
        <f t="shared" si="59"/>
        <v>719.45471427179609</v>
      </c>
      <c r="AN70" s="59">
        <f ca="1">AVERAGE(OFFSET($AM$3,0,0,'Données projet'!$E$10+1,1))-AVERAGE(OFFSET($H$3,0,0,'Données projet'!$E$10+1,1))</f>
        <v>608.11285041597125</v>
      </c>
      <c r="AO70" s="59">
        <f t="shared" si="90"/>
        <v>282.40007659049331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24.154793998119956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24.154793998119956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66.080565368603928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11.868333333333334</v>
      </c>
      <c r="BD70" s="12">
        <f>IF('Données projet'!$A$88&gt;35,BD69+BC70-BL69,IF(A70&lt;'Données projet'!$A$88,$BA$205^A70,IF(A70='Données projet'!$A$88,'Données projet'!$B$88,BD69+BC70-BL69)))</f>
        <v>319.22000000000048</v>
      </c>
      <c r="BE70" s="13">
        <f>BD70*VLOOKUP('Données projet'!$B$11,Paramètres!$A$1:$I$89,3,0)*VLOOKUP('Données projet'!$B$11,Paramètres!$A$1:$I$89,5,0)</f>
        <v>149.39496000000022</v>
      </c>
      <c r="BF70" s="13">
        <f t="shared" si="91"/>
        <v>38.441055782895731</v>
      </c>
      <c r="BG70" s="20">
        <f t="shared" si="61"/>
        <v>327.14772748854381</v>
      </c>
      <c r="BH70" s="59">
        <f t="shared" si="62"/>
        <v>606.10980050675823</v>
      </c>
      <c r="BI70" s="59">
        <f ca="1">AVERAGE(OFFSET($BH$3,0,0,'Données projet'!$E$11+1,1))-AVERAGE(OFFSET($H$3,0,0,'Données projet'!$E$11+1,1))</f>
        <v>355.12987360915633</v>
      </c>
      <c r="BJ70" s="59">
        <f t="shared" si="92"/>
        <v>286.78588538798715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51.091445437501704</v>
      </c>
      <c r="BQ70" s="21">
        <f>EXP(-LN(2)/25)*BQ69+(1-EXP(-LN(2)/25))/(LN(2)/25)*Calculateur!BL70*Calculateur!BN70*VLOOKUP('Données projet'!$B$11,Paramètres!$A$1:$I$89,3,0)*0.475*44/12</f>
        <v>19.873086267222213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70.964531704723925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66.080565368603928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66.080565368603928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66.080565368603928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66.080565368603928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66.080565368603928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66.080565368603928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66.080565368603928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1.7000000000000002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6.2333333333333343</v>
      </c>
      <c r="H71" s="67">
        <f t="shared" si="56"/>
        <v>216.48000000000002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66.148558796915538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-6.7984728957526396E-14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312.21112796780687</v>
      </c>
      <c r="T71" s="59">
        <f t="shared" si="88"/>
        <v>318.74634178809458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118.03449998842576</v>
      </c>
      <c r="AA71" s="21">
        <f>EXP(-LN(2)/25)*AA70+(1-EXP(-LN(2)/25))/(LN(2)/25)*Calculateur!V71*Calculateur!X71*VLOOKUP('Données projet'!$B$9,Paramètres!$A$1:$I$89,3,0)*0.475*44/12</f>
        <v>68.647956791824583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186.68245678025033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66.148558796915538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210.62160600000013</v>
      </c>
      <c r="AK71" s="13">
        <f t="shared" si="89"/>
        <v>52.071398873356536</v>
      </c>
      <c r="AL71" s="20">
        <f t="shared" si="58"/>
        <v>457.5236501544295</v>
      </c>
      <c r="AM71" s="59">
        <f t="shared" si="59"/>
        <v>736.73503240978653</v>
      </c>
      <c r="AN71" s="59">
        <f ca="1">AVERAGE(OFFSET($AM$3,0,0,'Données projet'!$E$10+1,1))-AVERAGE(OFFSET($H$3,0,0,'Données projet'!$E$10+1,1))</f>
        <v>608.11285041597125</v>
      </c>
      <c r="AO71" s="59">
        <f t="shared" si="90"/>
        <v>282.40007659049331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23.681133220786403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23.681133220786403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66.148558796915538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11.868333333333334</v>
      </c>
      <c r="BD71" s="12">
        <f>IF('Données projet'!$A$88&gt;35,BD70+BC71-BL70,IF(A71&lt;'Données projet'!$A$88,$BA$205^A71,IF(A71='Données projet'!$A$88,'Données projet'!$B$88,BD70+BC71-BL70)))</f>
        <v>331.08833333333382</v>
      </c>
      <c r="BE71" s="13">
        <f>BD71*VLOOKUP('Données projet'!$B$11,Paramètres!$A$1:$I$89,3,0)*VLOOKUP('Données projet'!$B$11,Paramètres!$A$1:$I$89,5,0)</f>
        <v>154.94934000000023</v>
      </c>
      <c r="BF71" s="13">
        <f t="shared" si="91"/>
        <v>39.701207046347101</v>
      </c>
      <c r="BG71" s="20">
        <f t="shared" si="61"/>
        <v>339.01636943905493</v>
      </c>
      <c r="BH71" s="59">
        <f t="shared" si="62"/>
        <v>618.22775169441184</v>
      </c>
      <c r="BI71" s="59">
        <f ca="1">AVERAGE(OFFSET($BH$3,0,0,'Données projet'!$E$11+1,1))-AVERAGE(OFFSET($H$3,0,0,'Données projet'!$E$11+1,1))</f>
        <v>355.12987360915633</v>
      </c>
      <c r="BJ71" s="59">
        <f t="shared" si="92"/>
        <v>286.78588538798715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50.089573355176952</v>
      </c>
      <c r="BQ71" s="21">
        <f>EXP(-LN(2)/25)*BQ70+(1-EXP(-LN(2)/25))/(LN(2)/25)*Calculateur!BL71*Calculateur!BN71*VLOOKUP('Données projet'!$B$11,Paramètres!$A$1:$I$89,3,0)*0.475*44/12</f>
        <v>19.329655678164837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69.419229033341793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66.148558796915538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66.148558796915538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66.148558796915538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66.148558796915538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66.148558796915538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66.148558796915538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66.148558796915538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1.7000000000000002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6.2333333333333343</v>
      </c>
      <c r="H72" s="67">
        <f t="shared" si="56"/>
        <v>216.48000000000002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66.215372691256476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-6.7984728957526396E-14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312.21112796780687</v>
      </c>
      <c r="T72" s="59">
        <f t="shared" si="88"/>
        <v>318.74634178809458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115.71991543758892</v>
      </c>
      <c r="AA72" s="21">
        <f>EXP(-LN(2)/25)*AA71+(1-EXP(-LN(2)/25))/(LN(2)/25)*Calculateur!V72*Calculateur!X72*VLOOKUP('Données projet'!$B$9,Paramètres!$A$1:$I$89,3,0)*0.475*44/12</f>
        <v>66.770774803312989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182.49069024090193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66.215372691256476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218.64378900000014</v>
      </c>
      <c r="AK72" s="13">
        <f t="shared" si="89"/>
        <v>53.820013961218514</v>
      </c>
      <c r="AL72" s="20">
        <f t="shared" si="58"/>
        <v>474.54112349078923</v>
      </c>
      <c r="AM72" s="59">
        <f t="shared" si="59"/>
        <v>753.99749002539625</v>
      </c>
      <c r="AN72" s="59">
        <f ca="1">AVERAGE(OFFSET($AM$3,0,0,'Données projet'!$E$10+1,1))-AVERAGE(OFFSET($H$3,0,0,'Données projet'!$E$10+1,1))</f>
        <v>608.11285041597125</v>
      </c>
      <c r="AO72" s="59">
        <f t="shared" si="90"/>
        <v>282.40007659049331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23.216760642391815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23.216760642391815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66.215372691256476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11.868333333333334</v>
      </c>
      <c r="BD72" s="12">
        <f>IF('Données projet'!$A$88&gt;35,BD71+BC72-BL71,IF(A72&lt;'Données projet'!$A$88,$BA$205^A72,IF(A72='Données projet'!$A$88,'Données projet'!$B$88,BD71+BC72-BL71)))</f>
        <v>342.95666666666716</v>
      </c>
      <c r="BE72" s="13">
        <f>BD72*VLOOKUP('Données projet'!$B$11,Paramètres!$A$1:$I$89,3,0)*VLOOKUP('Données projet'!$B$11,Paramètres!$A$1:$I$89,5,0)</f>
        <v>160.50372000000021</v>
      </c>
      <c r="BF72" s="13">
        <f t="shared" si="91"/>
        <v>40.956110065545921</v>
      </c>
      <c r="BG72" s="20">
        <f t="shared" si="61"/>
        <v>350.87587069749287</v>
      </c>
      <c r="BH72" s="59">
        <f t="shared" si="62"/>
        <v>630.33223723209994</v>
      </c>
      <c r="BI72" s="59">
        <f ca="1">AVERAGE(OFFSET($BH$3,0,0,'Données projet'!$E$11+1,1))-AVERAGE(OFFSET($H$3,0,0,'Données projet'!$E$11+1,1))</f>
        <v>355.12987360915633</v>
      </c>
      <c r="BJ72" s="59">
        <f t="shared" si="92"/>
        <v>286.78588538798715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49.107347373304954</v>
      </c>
      <c r="BQ72" s="21">
        <f>EXP(-LN(2)/25)*BQ71+(1-EXP(-LN(2)/25))/(LN(2)/25)*Calculateur!BL72*Calculateur!BN72*VLOOKUP('Données projet'!$B$11,Paramètres!$A$1:$I$89,3,0)*0.475*44/12</f>
        <v>18.801085227143005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67.908432600447952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66.215372691256476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66.215372691256476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66.215372691256476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66.215372691256476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66.215372691256476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66.215372691256476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66.215372691256476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1.7000000000000002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6.2333333333333343</v>
      </c>
      <c r="H73" s="67">
        <f t="shared" si="56"/>
        <v>216.48000000000002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66.281027513904078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-6.7984728957526396E-14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312.21112796780687</v>
      </c>
      <c r="T73" s="59">
        <f t="shared" si="88"/>
        <v>318.74634178809458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113.4507184780368</v>
      </c>
      <c r="AA73" s="21">
        <f>EXP(-LN(2)/25)*AA72+(1-EXP(-LN(2)/25))/(LN(2)/25)*Calculateur!V73*Calculateur!X73*VLOOKUP('Données projet'!$B$9,Paramètres!$A$1:$I$89,3,0)*0.475*44/12</f>
        <v>64.944924454993952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178.39564293303076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66.281027513904078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226.66597200000012</v>
      </c>
      <c r="AK73" s="13">
        <f t="shared" si="89"/>
        <v>55.561175235972904</v>
      </c>
      <c r="AL73" s="20">
        <f t="shared" si="58"/>
        <v>491.54561476931968</v>
      </c>
      <c r="AM73" s="59">
        <f t="shared" si="59"/>
        <v>771.2427156536346</v>
      </c>
      <c r="AN73" s="59">
        <f ca="1">AVERAGE(OFFSET($AM$3,0,0,'Données projet'!$E$10+1,1))-AVERAGE(OFFSET($H$3,0,0,'Données projet'!$E$10+1,1))</f>
        <v>608.11285041597125</v>
      </c>
      <c r="AO73" s="59">
        <f t="shared" si="90"/>
        <v>282.40007659049331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22.761494127020239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22.761494127020239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66.281027513904078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11.868333333333334</v>
      </c>
      <c r="BD73" s="12">
        <f>IF('Données projet'!$A$88&gt;35,BD72+BC73-BL72,IF(A73&lt;'Données projet'!$A$88,$BA$205^A73,IF(A73='Données projet'!$A$88,'Données projet'!$B$88,BD72+BC73-BL72)))</f>
        <v>354.8250000000005</v>
      </c>
      <c r="BE73" s="13">
        <f>BD73*VLOOKUP('Données projet'!$B$11,Paramètres!$A$1:$I$89,3,0)*VLOOKUP('Données projet'!$B$11,Paramètres!$A$1:$I$89,5,0)</f>
        <v>166.05810000000025</v>
      </c>
      <c r="BF73" s="13">
        <f t="shared" si="91"/>
        <v>42.205967275752947</v>
      </c>
      <c r="BG73" s="20">
        <f t="shared" si="61"/>
        <v>362.72658383860352</v>
      </c>
      <c r="BH73" s="59">
        <f t="shared" si="62"/>
        <v>642.42368472291844</v>
      </c>
      <c r="BI73" s="59">
        <f ca="1">AVERAGE(OFFSET($BH$3,0,0,'Données projet'!$E$11+1,1))-AVERAGE(OFFSET($H$3,0,0,'Données projet'!$E$11+1,1))</f>
        <v>355.12987360915633</v>
      </c>
      <c r="BJ73" s="59">
        <f t="shared" si="92"/>
        <v>286.78588538798715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48.144382243838777</v>
      </c>
      <c r="BQ73" s="21">
        <f>EXP(-LN(2)/25)*BQ72+(1-EXP(-LN(2)/25))/(LN(2)/25)*Calculateur!BL73*Calculateur!BN73*VLOOKUP('Données projet'!$B$11,Paramètres!$A$1:$I$89,3,0)*0.475*44/12</f>
        <v>18.286968562900679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66.431350806739459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66.281027513904078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66.281027513904078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66.281027513904078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66.281027513904078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66.281027513904078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66.281027513904078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66.281027513904078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1.7000000000000002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6.2333333333333343</v>
      </c>
      <c r="H74" s="67">
        <f t="shared" si="56"/>
        <v>216.48000000000002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66.345543372160947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-6.7984728957526396E-14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312.21112796780687</v>
      </c>
      <c r="T74" s="59">
        <f t="shared" si="88"/>
        <v>318.74634178809458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111.22601908678803</v>
      </c>
      <c r="AA74" s="21">
        <f>EXP(-LN(2)/25)*AA73+(1-EXP(-LN(2)/25))/(LN(2)/25)*Calculateur!V74*Calculateur!X74*VLOOKUP('Données projet'!$B$9,Paramètres!$A$1:$I$89,3,0)*0.475*44/12</f>
        <v>63.169002080466996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174.39502116725504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66.345543372160947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234.68815500000011</v>
      </c>
      <c r="AK74" s="13">
        <f t="shared" si="89"/>
        <v>57.295176729679312</v>
      </c>
      <c r="AL74" s="20">
        <f t="shared" si="58"/>
        <v>508.53763609585832</v>
      </c>
      <c r="AM74" s="59">
        <f t="shared" si="59"/>
        <v>788.47129512711513</v>
      </c>
      <c r="AN74" s="59">
        <f ca="1">AVERAGE(OFFSET($AM$3,0,0,'Données projet'!$E$10+1,1))-AVERAGE(OFFSET($H$3,0,0,'Données projet'!$E$10+1,1))</f>
        <v>608.11285041597125</v>
      </c>
      <c r="AO74" s="59">
        <f t="shared" si="90"/>
        <v>282.40007659049331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22.315155110329943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22.315155110329943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66.345543372160947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11.868333333333334</v>
      </c>
      <c r="BD74" s="12">
        <f>IF('Données projet'!$A$88&gt;35,BD73+BC74-BL73,IF(A74&lt;'Données projet'!$A$88,$BA$205^A74,IF(A74='Données projet'!$A$88,'Données projet'!$B$88,BD73+BC74-BL73)))</f>
        <v>366.69333333333384</v>
      </c>
      <c r="BE74" s="13">
        <f>BD74*VLOOKUP('Données projet'!$B$11,Paramètres!$A$1:$I$89,3,0)*VLOOKUP('Données projet'!$B$11,Paramètres!$A$1:$I$89,5,0)</f>
        <v>171.61248000000023</v>
      </c>
      <c r="BF74" s="13">
        <f t="shared" si="91"/>
        <v>43.450966801537291</v>
      </c>
      <c r="BG74" s="20">
        <f t="shared" si="61"/>
        <v>374.56883651267782</v>
      </c>
      <c r="BH74" s="59">
        <f t="shared" si="62"/>
        <v>654.50249554393463</v>
      </c>
      <c r="BI74" s="59">
        <f ca="1">AVERAGE(OFFSET($BH$3,0,0,'Données projet'!$E$11+1,1))-AVERAGE(OFFSET($H$3,0,0,'Données projet'!$E$11+1,1))</f>
        <v>355.12987360915633</v>
      </c>
      <c r="BJ74" s="59">
        <f t="shared" si="92"/>
        <v>286.78588538798715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47.200300273210701</v>
      </c>
      <c r="BQ74" s="21">
        <f>EXP(-LN(2)/25)*BQ73+(1-EXP(-LN(2)/25))/(LN(2)/25)*Calculateur!BL74*Calculateur!BN74*VLOOKUP('Données projet'!$B$11,Paramètres!$A$1:$I$89,3,0)*0.475*44/12</f>
        <v>17.786910445878277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64.987210719088978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66.345543372160947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66.345543372160947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66.345543372160947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66.345543372160947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66.345543372160947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66.345543372160947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66.345543372160947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1.7000000000000002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6.2333333333333343</v>
      </c>
      <c r="H75" s="67">
        <f t="shared" si="56"/>
        <v>216.48000000000002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66.408940024512916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-6.7984728957526396E-14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312.21112796780687</v>
      </c>
      <c r="T75" s="59">
        <f t="shared" si="88"/>
        <v>318.74634178809458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109.044944693669</v>
      </c>
      <c r="AA75" s="21">
        <f>EXP(-LN(2)/25)*AA74+(1-EXP(-LN(2)/25))/(LN(2)/25)*Calculateur!V75*Calculateur!X75*VLOOKUP('Données projet'!$B$9,Paramètres!$A$1:$I$89,3,0)*0.475*44/12</f>
        <v>61.441642396663184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170.48658709033219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66.408940024512916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242.71033800000009</v>
      </c>
      <c r="AK75" s="13">
        <f t="shared" si="89"/>
        <v>59.022291232778812</v>
      </c>
      <c r="AL75" s="20">
        <f t="shared" si="58"/>
        <v>525.51766258042323</v>
      </c>
      <c r="AM75" s="59">
        <f t="shared" si="59"/>
        <v>805.68377600363726</v>
      </c>
      <c r="AN75" s="59">
        <f ca="1">AVERAGE(OFFSET($AM$3,0,0,'Données projet'!$E$10+1,1))-AVERAGE(OFFSET($H$3,0,0,'Données projet'!$E$10+1,1))</f>
        <v>608.11285041597125</v>
      </c>
      <c r="AO75" s="59">
        <f t="shared" si="90"/>
        <v>282.40007659049331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21.877568529517024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21.877568529517024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66.408940024512916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11.868333333333334</v>
      </c>
      <c r="BD75" s="12">
        <f>IF('Données projet'!$A$88&gt;35,BD74+BC75-BL74,IF(A75&lt;'Données projet'!$A$88,$BA$205^A75,IF(A75='Données projet'!$A$88,'Données projet'!$B$88,BD74+BC75-BL74)))</f>
        <v>378.56166666666718</v>
      </c>
      <c r="BE75" s="13">
        <f>BD75*VLOOKUP('Données projet'!$B$11,Paramètres!$A$1:$I$89,3,0)*VLOOKUP('Données projet'!$B$11,Paramètres!$A$1:$I$89,5,0)</f>
        <v>177.16686000000024</v>
      </c>
      <c r="BF75" s="13">
        <f t="shared" si="91"/>
        <v>44.691283898534451</v>
      </c>
      <c r="BG75" s="20">
        <f t="shared" si="61"/>
        <v>386.40293395661462</v>
      </c>
      <c r="BH75" s="59">
        <f t="shared" si="62"/>
        <v>666.56904737982859</v>
      </c>
      <c r="BI75" s="59">
        <f ca="1">AVERAGE(OFFSET($BH$3,0,0,'Données projet'!$E$11+1,1))-AVERAGE(OFFSET($H$3,0,0,'Données projet'!$E$11+1,1))</f>
        <v>355.12987360915633</v>
      </c>
      <c r="BJ75" s="59">
        <f t="shared" si="92"/>
        <v>286.78588538798715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46.274731174193491</v>
      </c>
      <c r="BQ75" s="21">
        <f>EXP(-LN(2)/25)*BQ74+(1-EXP(-LN(2)/25))/(LN(2)/25)*Calculateur!BL75*Calculateur!BN75*VLOOKUP('Données projet'!$B$11,Paramètres!$A$1:$I$89,3,0)*0.475*44/12</f>
        <v>17.300526444362767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63.575257618556257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66.408940024512916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66.408940024512916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66.408940024512916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66.408940024512916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66.408940024512916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66.408940024512916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66.408940024512916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1.7000000000000002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6.2333333333333343</v>
      </c>
      <c r="H76" s="67">
        <f t="shared" si="56"/>
        <v>216.48000000000002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66.471236886680245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-6.7984728957526396E-14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312.21112796780687</v>
      </c>
      <c r="T76" s="59">
        <f t="shared" si="88"/>
        <v>318.74634178809458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106.90663983907501</v>
      </c>
      <c r="AA76" s="21">
        <f>EXP(-LN(2)/25)*AA75+(1-EXP(-LN(2)/25))/(LN(2)/25)*Calculateur!V76*Calculateur!X76*VLOOKUP('Données projet'!$B$9,Paramètres!$A$1:$I$89,3,0)*0.475*44/12</f>
        <v>59.761517454250885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166.66815729332589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66.471236886680245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250.73252100000005</v>
      </c>
      <c r="AK76" s="13">
        <f t="shared" si="89"/>
        <v>60.74277247950485</v>
      </c>
      <c r="AL76" s="20">
        <f t="shared" si="58"/>
        <v>542.48613614347107</v>
      </c>
      <c r="AM76" s="59">
        <f t="shared" si="59"/>
        <v>822.88067139463192</v>
      </c>
      <c r="AN76" s="59">
        <f ca="1">AVERAGE(OFFSET($AM$3,0,0,'Données projet'!$E$10+1,1))-AVERAGE(OFFSET($H$3,0,0,'Données projet'!$E$10+1,1))</f>
        <v>608.11285041597125</v>
      </c>
      <c r="AO76" s="59">
        <f t="shared" si="90"/>
        <v>282.40007659049331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21.448562754652389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21.448562754652389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66.471236886680245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>
        <f>VLOOKUP(A76,'Données projet'!$A$87:$I$107,2,0)</f>
        <v>390.43</v>
      </c>
      <c r="BB76" s="12">
        <f>VLOOKUP(A76,'Données projet'!$A$87:$I$107,9,0)</f>
        <v>11.868333333333334</v>
      </c>
      <c r="BC76" s="12">
        <f t="array" ref="BC76">INDEX(BB:BB,MIN(IF(ISNUMBER(BB76:BB272),ROW(BB76:BB272),"")))</f>
        <v>11.868333333333334</v>
      </c>
      <c r="BD76" s="12">
        <f>IF('Données projet'!$A$88&gt;35,BD75+BC76-BL75,IF(A76&lt;'Données projet'!$A$88,$BA$205^A76,IF(A76='Données projet'!$A$88,'Données projet'!$B$88,BD75+BC76-BL75)))</f>
        <v>390.43000000000052</v>
      </c>
      <c r="BE76" s="13">
        <f>BD76*VLOOKUP('Données projet'!$B$11,Paramètres!$A$1:$I$89,3,0)*VLOOKUP('Données projet'!$B$11,Paramètres!$A$1:$I$89,5,0)</f>
        <v>182.72124000000022</v>
      </c>
      <c r="BF76" s="13">
        <f t="shared" si="91"/>
        <v>45.927082209321831</v>
      </c>
      <c r="BG76" s="20">
        <f t="shared" si="61"/>
        <v>398.2291611812359</v>
      </c>
      <c r="BH76" s="59">
        <f t="shared" si="62"/>
        <v>678.62369643239686</v>
      </c>
      <c r="BI76" s="59">
        <f ca="1">AVERAGE(OFFSET($BH$3,0,0,'Données projet'!$E$11+1,1))-AVERAGE(OFFSET($H$3,0,0,'Données projet'!$E$11+1,1))</f>
        <v>355.12987360915633</v>
      </c>
      <c r="BJ76" s="59">
        <f t="shared" si="92"/>
        <v>286.78588538798715</v>
      </c>
      <c r="BK76" s="15">
        <f>IF(ISNA(VLOOKUP(A76,'Données projet'!$A$87:$I$107,3,0)),0,VLOOKUP(A76,'Données projet'!$A$87:$I$107,3,0))</f>
        <v>3</v>
      </c>
      <c r="BL76" s="15">
        <f>IF(ISNA(VLOOKUP(A76,'Données projet'!$A$87:$I$107,4,0)),0,VLOOKUP(A76,'Données projet'!$A$87:$I$107,4,0))</f>
        <v>102.1</v>
      </c>
      <c r="BM76" s="16">
        <f>IF(ISNA(VLOOKUP(A76,'Données projet'!$A$87:$I$107,5,0)),0%,VLOOKUP(A76,'Données projet'!$A$87:$I$107,5,0)*VLOOKUP('Données projet'!$B$11,Paramètres!$A$1:$I$89,7,0))</f>
        <v>0.38500000000000001</v>
      </c>
      <c r="BN76" s="16">
        <f>IF(ISNA(VLOOKUP(A76,'Données projet'!$A$87:$I$107,6,0)),0%,VLOOKUP(A76,'Données projet'!$A$87:$I$107,6,0)*VLOOKUP('Données projet'!$B$11,Paramètres!$A$1:$I$89,7,0))</f>
        <v>0.16500000000000001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69.771293084296545</v>
      </c>
      <c r="BQ76" s="21">
        <f>EXP(-LN(2)/25)*BQ75+(1-EXP(-LN(2)/25))/(LN(2)/25)*Calculateur!BL76*Calculateur!BN76*VLOOKUP('Données projet'!$B$11,Paramètres!$A$1:$I$89,3,0)*0.475*44/12</f>
        <v>27.245111235150624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97.016404319447162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66.471236886680245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66.471236886680245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66.471236886680245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66.471236886680245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66.471236886680245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66.471236886680245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66.471236886680245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1.7000000000000002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6.2333333333333343</v>
      </c>
      <c r="H77" s="67">
        <f t="shared" si="56"/>
        <v>216.48000000000002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66.532453037563897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-6.7984728957526396E-14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312.21112796780687</v>
      </c>
      <c r="T77" s="59">
        <f t="shared" si="88"/>
        <v>318.74634178809458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104.81026583844243</v>
      </c>
      <c r="AA77" s="21">
        <f>EXP(-LN(2)/25)*AA76+(1-EXP(-LN(2)/25))/(LN(2)/25)*Calculateur!V77*Calculateur!X77*VLOOKUP('Données projet'!$B$9,Paramètres!$A$1:$I$89,3,0)*0.475*44/12</f>
        <v>58.127335616742776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162.93760145518522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66.532453037563897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258.75470400000006</v>
      </c>
      <c r="AK77" s="13">
        <f t="shared" si="89"/>
        <v>62.456857045748947</v>
      </c>
      <c r="AL77" s="20">
        <f t="shared" si="58"/>
        <v>559.4434688213463</v>
      </c>
      <c r="AM77" s="59">
        <f t="shared" si="59"/>
        <v>840.0624632924139</v>
      </c>
      <c r="AN77" s="59">
        <f ca="1">AVERAGE(OFFSET($AM$3,0,0,'Données projet'!$E$10+1,1))-AVERAGE(OFFSET($H$3,0,0,'Données projet'!$E$10+1,1))</f>
        <v>608.11285041597125</v>
      </c>
      <c r="AO77" s="59">
        <f t="shared" si="90"/>
        <v>282.40007659049331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33.259977338364926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33.259977338364926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66.532453037563897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10.985833333333332</v>
      </c>
      <c r="BD77" s="12">
        <f>IF('Données projet'!$A$88&gt;35,BD76+BC77-BL76,IF(A77&lt;'Données projet'!$A$88,$BA$205^A77,IF(A77='Données projet'!$A$88,'Données projet'!$B$88,BD76+BC77-BL76)))</f>
        <v>299.3158333333339</v>
      </c>
      <c r="BE77" s="13">
        <f>BD77*VLOOKUP('Données projet'!$B$11,Paramètres!$A$1:$I$89,3,0)*VLOOKUP('Données projet'!$B$11,Paramètres!$A$1:$I$89,5,0)</f>
        <v>140.07981000000026</v>
      </c>
      <c r="BF77" s="13">
        <f t="shared" si="91"/>
        <v>36.315288238799972</v>
      </c>
      <c r="BG77" s="20">
        <f t="shared" si="61"/>
        <v>307.22146276591042</v>
      </c>
      <c r="BH77" s="59">
        <f t="shared" si="62"/>
        <v>587.84045723697807</v>
      </c>
      <c r="BI77" s="59">
        <f ca="1">AVERAGE(OFFSET($BH$3,0,0,'Données projet'!$E$11+1,1))-AVERAGE(OFFSET($H$3,0,0,'Données projet'!$E$11+1,1))</f>
        <v>355.12987360915633</v>
      </c>
      <c r="BJ77" s="59">
        <f t="shared" si="92"/>
        <v>286.78588538798715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68.403120583200192</v>
      </c>
      <c r="BQ77" s="21">
        <f>EXP(-LN(2)/25)*BQ76+(1-EXP(-LN(2)/25))/(LN(2)/25)*Calculateur!BL77*Calculateur!BN77*VLOOKUP('Données projet'!$B$11,Paramètres!$A$1:$I$89,3,0)*0.475*44/12</f>
        <v>26.500092235667299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94.903212818867487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66.532453037563897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66.532453037563897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66.532453037563897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66.532453037563897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66.532453037563897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66.532453037563897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66.532453037563897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1.7000000000000002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6.2333333333333343</v>
      </c>
      <c r="H78" s="67">
        <f t="shared" si="56"/>
        <v>216.48000000000002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66.592607225088528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-6.7984728957526396E-14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312.21112796780687</v>
      </c>
      <c r="T78" s="59">
        <f t="shared" si="88"/>
        <v>318.74634178809458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102.75500045330038</v>
      </c>
      <c r="AA78" s="21">
        <f>EXP(-LN(2)/25)*AA77+(1-EXP(-LN(2)/25))/(LN(2)/25)*Calculateur!V78*Calculateur!X78*VLOOKUP('Données projet'!$B$9,Paramètres!$A$1:$I$89,3,0)*0.475*44/12</f>
        <v>56.537840567519218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159.29284102081959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66.592607225088528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223.71813360000007</v>
      </c>
      <c r="AK78" s="13">
        <f t="shared" si="89"/>
        <v>54.92221376571495</v>
      </c>
      <c r="AL78" s="20">
        <f t="shared" si="58"/>
        <v>485.29860499528695</v>
      </c>
      <c r="AM78" s="59">
        <f t="shared" si="59"/>
        <v>766.13816482061156</v>
      </c>
      <c r="AN78" s="59">
        <f ca="1">AVERAGE(OFFSET($AM$3,0,0,'Données projet'!$E$10+1,1))-AVERAGE(OFFSET($H$3,0,0,'Données projet'!$E$10+1,1))</f>
        <v>608.11285041597125</v>
      </c>
      <c r="AO78" s="59">
        <f t="shared" si="90"/>
        <v>282.40007659049331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32.607769469342635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32.607769469342635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66.592607225088528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10.985833333333332</v>
      </c>
      <c r="BD78" s="12">
        <f>IF('Données projet'!$A$88&gt;35,BD77+BC78-BL77,IF(A78&lt;'Données projet'!$A$88,$BA$205^A78,IF(A78='Données projet'!$A$88,'Données projet'!$B$88,BD77+BC78-BL77)))</f>
        <v>310.30166666666724</v>
      </c>
      <c r="BE78" s="13">
        <f>BD78*VLOOKUP('Données projet'!$B$11,Paramètres!$A$1:$I$89,3,0)*VLOOKUP('Données projet'!$B$11,Paramètres!$A$1:$I$89,5,0)</f>
        <v>145.22118000000026</v>
      </c>
      <c r="BF78" s="13">
        <f t="shared" si="91"/>
        <v>37.490543694625295</v>
      </c>
      <c r="BG78" s="20">
        <f t="shared" si="61"/>
        <v>318.22291876813949</v>
      </c>
      <c r="BH78" s="59">
        <f t="shared" si="62"/>
        <v>599.06247859346411</v>
      </c>
      <c r="BI78" s="59">
        <f ca="1">AVERAGE(OFFSET($BH$3,0,0,'Données projet'!$E$11+1,1))-AVERAGE(OFFSET($H$3,0,0,'Données projet'!$E$11+1,1))</f>
        <v>355.12987360915633</v>
      </c>
      <c r="BJ78" s="59">
        <f t="shared" si="92"/>
        <v>286.78588538798715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67.061777110347506</v>
      </c>
      <c r="BQ78" s="21">
        <f>EXP(-LN(2)/25)*BQ77+(1-EXP(-LN(2)/25))/(LN(2)/25)*Calculateur!BL78*Calculateur!BN78*VLOOKUP('Données projet'!$B$11,Paramètres!$A$1:$I$89,3,0)*0.475*44/12</f>
        <v>25.775445819903695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92.837222930251201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66.592607225088528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66.592607225088528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66.592607225088528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66.592607225088528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66.592607225088528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66.592607225088528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66.592607225088528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1.7000000000000002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6.2333333333333343</v>
      </c>
      <c r="H79" s="67">
        <f t="shared" si="56"/>
        <v>216.48000000000002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66.651717871944243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-6.7984728957526396E-14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312.21112796780687</v>
      </c>
      <c r="T79" s="59">
        <f t="shared" si="88"/>
        <v>318.74634178809458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100.74003756877286</v>
      </c>
      <c r="AA79" s="21">
        <f>EXP(-LN(2)/25)*AA78+(1-EXP(-LN(2)/25))/(LN(2)/25)*Calculateur!V79*Calculateur!X79*VLOOKUP('Données projet'!$B$9,Paramètres!$A$1:$I$89,3,0)*0.475*44/12</f>
        <v>54.991810344004591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155.73184791277745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66.651717871944243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231.56908320000005</v>
      </c>
      <c r="AK79" s="13">
        <f t="shared" si="89"/>
        <v>56.621819638037671</v>
      </c>
      <c r="AL79" s="20">
        <f t="shared" si="58"/>
        <v>501.93248910958238</v>
      </c>
      <c r="AM79" s="59">
        <f t="shared" si="59"/>
        <v>782.98878797337795</v>
      </c>
      <c r="AN79" s="59">
        <f ca="1">AVERAGE(OFFSET($AM$3,0,0,'Données projet'!$E$10+1,1))-AVERAGE(OFFSET($H$3,0,0,'Données projet'!$E$10+1,1))</f>
        <v>608.11285041597125</v>
      </c>
      <c r="AO79" s="59">
        <f t="shared" si="90"/>
        <v>282.40007659049331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31.968350998824349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31.968350998824349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66.651717871944243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10.985833333333332</v>
      </c>
      <c r="BD79" s="12">
        <f>IF('Données projet'!$A$88&gt;35,BD78+BC79-BL78,IF(A79&lt;'Données projet'!$A$88,$BA$205^A79,IF(A79='Données projet'!$A$88,'Données projet'!$B$88,BD78+BC79-BL78)))</f>
        <v>321.28750000000059</v>
      </c>
      <c r="BE79" s="13">
        <f>BD79*VLOOKUP('Données projet'!$B$11,Paramètres!$A$1:$I$89,3,0)*VLOOKUP('Données projet'!$B$11,Paramètres!$A$1:$I$89,5,0)</f>
        <v>150.36255000000028</v>
      </c>
      <c r="BF79" s="13">
        <f t="shared" si="91"/>
        <v>38.660964829863467</v>
      </c>
      <c r="BG79" s="20">
        <f t="shared" si="61"/>
        <v>329.21595499534607</v>
      </c>
      <c r="BH79" s="59">
        <f t="shared" si="62"/>
        <v>610.27225385914164</v>
      </c>
      <c r="BI79" s="59">
        <f ca="1">AVERAGE(OFFSET($BH$3,0,0,'Données projet'!$E$11+1,1))-AVERAGE(OFFSET($H$3,0,0,'Données projet'!$E$11+1,1))</f>
        <v>355.12987360915633</v>
      </c>
      <c r="BJ79" s="59">
        <f t="shared" si="92"/>
        <v>286.78588538798715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65.746736564858736</v>
      </c>
      <c r="BQ79" s="21">
        <f>EXP(-LN(2)/25)*BQ78+(1-EXP(-LN(2)/25))/(LN(2)/25)*Calculateur!BL79*Calculateur!BN79*VLOOKUP('Données projet'!$B$11,Paramètres!$A$1:$I$89,3,0)*0.475*44/12</f>
        <v>25.070614898486642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90.817351463345375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66.651717871944243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66.651717871944243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66.651717871944243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66.651717871944243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66.651717871944243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66.651717871944243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66.651717871944243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1.7000000000000002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6.2333333333333343</v>
      </c>
      <c r="H80" s="67">
        <f t="shared" si="56"/>
        <v>216.48000000000002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66.709803081228586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312.21112796780687</v>
      </c>
      <c r="T80" s="59">
        <f t="shared" si="88"/>
        <v>318.74634178809458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98.764586877404923</v>
      </c>
      <c r="AA80" s="21">
        <f>EXP(-LN(2)/25)*AA79+(1-EXP(-LN(2)/25))/(LN(2)/25)*Calculateur!V80*Calculateur!X80*VLOOKUP('Données projet'!$B$9,Paramètres!$A$1:$I$89,3,0)*0.475*44/12</f>
        <v>53.488056398254166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152.2526432756591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66.709803081228586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239.42003280000009</v>
      </c>
      <c r="AK80" s="13">
        <f t="shared" si="89"/>
        <v>58.314730148380967</v>
      </c>
      <c r="AL80" s="20">
        <f t="shared" si="58"/>
        <v>518.55471213509702</v>
      </c>
      <c r="AM80" s="59">
        <f t="shared" si="59"/>
        <v>799.82399009960182</v>
      </c>
      <c r="AN80" s="59">
        <f ca="1">AVERAGE(OFFSET($AM$3,0,0,'Données projet'!$E$10+1,1))-AVERAGE(OFFSET($H$3,0,0,'Données projet'!$E$10+1,1))</f>
        <v>608.11285041597125</v>
      </c>
      <c r="AO80" s="59">
        <f t="shared" si="90"/>
        <v>282.40007659049331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31.341471134506168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31.341471134506168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66.709803081228586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10.985833333333332</v>
      </c>
      <c r="BD80" s="12">
        <f>IF('Données projet'!$A$88&gt;35,BD79+BC80-BL79,IF(A80&lt;'Données projet'!$A$88,$BA$205^A80,IF(A80='Données projet'!$A$88,'Données projet'!$B$88,BD79+BC80-BL79)))</f>
        <v>332.27333333333394</v>
      </c>
      <c r="BE80" s="13">
        <f>BD80*VLOOKUP('Données projet'!$B$11,Paramètres!$A$1:$I$89,3,0)*VLOOKUP('Données projet'!$B$11,Paramètres!$A$1:$I$89,5,0)</f>
        <v>155.50392000000028</v>
      </c>
      <c r="BF80" s="13">
        <f t="shared" si="91"/>
        <v>39.826735892383049</v>
      </c>
      <c r="BG80" s="20">
        <f t="shared" si="61"/>
        <v>340.20089234590097</v>
      </c>
      <c r="BH80" s="59">
        <f t="shared" si="62"/>
        <v>621.47017031040582</v>
      </c>
      <c r="BI80" s="59">
        <f ca="1">AVERAGE(OFFSET($BH$3,0,0,'Données projet'!$E$11+1,1))-AVERAGE(OFFSET($H$3,0,0,'Données projet'!$E$11+1,1))</f>
        <v>355.12987360915633</v>
      </c>
      <c r="BJ80" s="59">
        <f t="shared" si="92"/>
        <v>286.78588538798715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64.45748316237146</v>
      </c>
      <c r="BQ80" s="21">
        <f>EXP(-LN(2)/25)*BQ79+(1-EXP(-LN(2)/25))/(LN(2)/25)*Calculateur!BL80*Calculateur!BN80*VLOOKUP('Données projet'!$B$11,Paramètres!$A$1:$I$89,3,0)*0.475*44/12</f>
        <v>24.385057615681188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88.842540778052651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66.709803081228586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66.709803081228586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66.709803081228586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66.709803081228586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66.709803081228586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66.709803081228586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66.709803081228586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1.7000000000000002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6.2333333333333343</v>
      </c>
      <c r="H81" s="67">
        <f t="shared" si="56"/>
        <v>216.48000000000002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66.766880641990937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312.21112796780687</v>
      </c>
      <c r="T81" s="59">
        <f t="shared" si="88"/>
        <v>318.74634178809458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96.827873569188753</v>
      </c>
      <c r="AA81" s="21">
        <f>EXP(-LN(2)/25)*AA80+(1-EXP(-LN(2)/25))/(LN(2)/25)*Calculateur!V81*Calculateur!X81*VLOOKUP('Données projet'!$B$9,Paramètres!$A$1:$I$89,3,0)*0.475*44/12</f>
        <v>52.025422683229266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148.85329625241803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66.766880641990937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247.27098240000012</v>
      </c>
      <c r="AK81" s="13">
        <f t="shared" si="89"/>
        <v>60.001190025553029</v>
      </c>
      <c r="AL81" s="20">
        <f t="shared" si="58"/>
        <v>535.16570030783839</v>
      </c>
      <c r="AM81" s="59">
        <f t="shared" si="59"/>
        <v>816.64426266180521</v>
      </c>
      <c r="AN81" s="59">
        <f ca="1">AVERAGE(OFFSET($AM$3,0,0,'Données projet'!$E$10+1,1))-AVERAGE(OFFSET($H$3,0,0,'Données projet'!$E$10+1,1))</f>
        <v>608.11285041597125</v>
      </c>
      <c r="AO81" s="59">
        <f t="shared" si="90"/>
        <v>282.40007659049331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30.726884001968305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30.726884001968305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66.766880641990937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10.985833333333332</v>
      </c>
      <c r="BD81" s="12">
        <f>IF('Données projet'!$A$88&gt;35,BD80+BC81-BL80,IF(A81&lt;'Données projet'!$A$88,$BA$205^A81,IF(A81='Données projet'!$A$88,'Données projet'!$B$88,BD80+BC81-BL80)))</f>
        <v>343.25916666666728</v>
      </c>
      <c r="BE81" s="13">
        <f>BD81*VLOOKUP('Données projet'!$B$11,Paramètres!$A$1:$I$89,3,0)*VLOOKUP('Données projet'!$B$11,Paramètres!$A$1:$I$89,5,0)</f>
        <v>160.64529000000027</v>
      </c>
      <c r="BF81" s="13">
        <f t="shared" si="91"/>
        <v>40.988028255180659</v>
      </c>
      <c r="BG81" s="20">
        <f t="shared" si="61"/>
        <v>351.17802929444014</v>
      </c>
      <c r="BH81" s="59">
        <f t="shared" si="62"/>
        <v>632.6565916484069</v>
      </c>
      <c r="BI81" s="59">
        <f ca="1">AVERAGE(OFFSET($BH$3,0,0,'Données projet'!$E$11+1,1))-AVERAGE(OFFSET($H$3,0,0,'Données projet'!$E$11+1,1))</f>
        <v>355.12987360915633</v>
      </c>
      <c r="BJ81" s="59">
        <f t="shared" si="92"/>
        <v>286.78588538798715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63.193511232740036</v>
      </c>
      <c r="BQ81" s="21">
        <f>EXP(-LN(2)/25)*BQ80+(1-EXP(-LN(2)/25))/(LN(2)/25)*Calculateur!BL81*Calculateur!BN81*VLOOKUP('Données projet'!$B$11,Paramètres!$A$1:$I$89,3,0)*0.475*44/12</f>
        <v>23.718246932825938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86.911758165565971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66.766880641990937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66.766880641990937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66.766880641990937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66.766880641990937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66.766880641990937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66.766880641990937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66.766880641990937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1.7000000000000002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6.2333333333333343</v>
      </c>
      <c r="H82" s="67">
        <f t="shared" si="56"/>
        <v>216.48000000000002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66.822968034680372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312.21112796780687</v>
      </c>
      <c r="T82" s="59">
        <f t="shared" si="88"/>
        <v>318.74634178809458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94.92913802766823</v>
      </c>
      <c r="AA82" s="21">
        <f>EXP(-LN(2)/25)*AA81+(1-EXP(-LN(2)/25))/(LN(2)/25)*Calculateur!V82*Calculateur!X82*VLOOKUP('Données projet'!$B$9,Paramètres!$A$1:$I$89,3,0)*0.475*44/12</f>
        <v>50.602784764058292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145.53192279172652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66.822968034680372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255.1219320000001</v>
      </c>
      <c r="AK82" s="13">
        <f t="shared" si="89"/>
        <v>61.681427575411924</v>
      </c>
      <c r="AL82" s="20">
        <f t="shared" si="58"/>
        <v>551.76585126050918</v>
      </c>
      <c r="AM82" s="59">
        <f t="shared" si="59"/>
        <v>833.45006738767052</v>
      </c>
      <c r="AN82" s="59">
        <f ca="1">AVERAGE(OFFSET($AM$3,0,0,'Données projet'!$E$10+1,1))-AVERAGE(OFFSET($H$3,0,0,'Données projet'!$E$10+1,1))</f>
        <v>608.11285041597125</v>
      </c>
      <c r="AO82" s="59">
        <f t="shared" si="90"/>
        <v>282.40007659049331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30.124348548238373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30.124348548238373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66.822968034680372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10.985833333333332</v>
      </c>
      <c r="BD82" s="12">
        <f>IF('Données projet'!$A$88&gt;35,BD81+BC82-BL81,IF(A82&lt;'Données projet'!$A$88,$BA$205^A82,IF(A82='Données projet'!$A$88,'Données projet'!$B$88,BD81+BC82-BL81)))</f>
        <v>354.24500000000063</v>
      </c>
      <c r="BE82" s="13">
        <f>BD82*VLOOKUP('Données projet'!$B$11,Paramètres!$A$1:$I$89,3,0)*VLOOKUP('Données projet'!$B$11,Paramètres!$A$1:$I$89,5,0)</f>
        <v>165.7866600000003</v>
      </c>
      <c r="BF82" s="13">
        <f t="shared" si="91"/>
        <v>42.145001699009093</v>
      </c>
      <c r="BG82" s="20">
        <f t="shared" si="61"/>
        <v>362.14764412577466</v>
      </c>
      <c r="BH82" s="59">
        <f t="shared" si="62"/>
        <v>643.83186025293605</v>
      </c>
      <c r="BI82" s="59">
        <f ca="1">AVERAGE(OFFSET($BH$3,0,0,'Données projet'!$E$11+1,1))-AVERAGE(OFFSET($H$3,0,0,'Données projet'!$E$11+1,1))</f>
        <v>355.12987360915633</v>
      </c>
      <c r="BJ82" s="59">
        <f t="shared" si="92"/>
        <v>286.78588538798715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61.954325021701926</v>
      </c>
      <c r="BQ82" s="21">
        <f>EXP(-LN(2)/25)*BQ81+(1-EXP(-LN(2)/25))/(LN(2)/25)*Calculateur!BL82*Calculateur!BN82*VLOOKUP('Données projet'!$B$11,Paramètres!$A$1:$I$89,3,0)*0.475*44/12</f>
        <v>23.069670223159417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85.023995244861339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66.822968034680372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66.822968034680372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66.822968034680372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66.822968034680372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66.822968034680372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66.822968034680372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66.822968034680372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1.7000000000000002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6.2333333333333343</v>
      </c>
      <c r="H83" s="67">
        <f t="shared" si="56"/>
        <v>216.48000000000002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66.87808243649927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312.21112796780687</v>
      </c>
      <c r="T83" s="59">
        <f t="shared" si="88"/>
        <v>318.74634178809458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93.067635532002598</v>
      </c>
      <c r="AA83" s="21">
        <f>EXP(-LN(2)/25)*AA82+(1-EXP(-LN(2)/25))/(LN(2)/25)*Calculateur!V83*Calculateur!X83*VLOOKUP('Données projet'!$B$9,Paramètres!$A$1:$I$89,3,0)*0.475*44/12</f>
        <v>49.219048953600321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142.2866844856029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66.87808243649927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262.97288160000016</v>
      </c>
      <c r="AK83" s="13">
        <f t="shared" si="89"/>
        <v>63.355656254051972</v>
      </c>
      <c r="AL83" s="20">
        <f t="shared" si="58"/>
        <v>568.35553676247412</v>
      </c>
      <c r="AM83" s="59">
        <f t="shared" si="59"/>
        <v>850.24183902963819</v>
      </c>
      <c r="AN83" s="59">
        <f ca="1">AVERAGE(OFFSET($AM$3,0,0,'Données projet'!$E$10+1,1))-AVERAGE(OFFSET($H$3,0,0,'Données projet'!$E$10+1,1))</f>
        <v>608.11285041597125</v>
      </c>
      <c r="AO83" s="59">
        <f t="shared" si="90"/>
        <v>282.40007659049331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29.533628447245746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29.533628447245746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66.87808243649927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10.985833333333332</v>
      </c>
      <c r="BD83" s="12">
        <f>IF('Données projet'!$A$88&gt;35,BD82+BC83-BL82,IF(A83&lt;'Données projet'!$A$88,$BA$205^A83,IF(A83='Données projet'!$A$88,'Données projet'!$B$88,BD82+BC83-BL82)))</f>
        <v>365.23083333333398</v>
      </c>
      <c r="BE83" s="13">
        <f>BD83*VLOOKUP('Données projet'!$B$11,Paramètres!$A$1:$I$89,3,0)*VLOOKUP('Données projet'!$B$11,Paramètres!$A$1:$I$89,5,0)</f>
        <v>170.92803000000032</v>
      </c>
      <c r="BF83" s="13">
        <f t="shared" si="91"/>
        <v>43.297805531428544</v>
      </c>
      <c r="BG83" s="20">
        <f t="shared" si="61"/>
        <v>373.1099968839053</v>
      </c>
      <c r="BH83" s="59">
        <f t="shared" si="62"/>
        <v>654.99629915106925</v>
      </c>
      <c r="BI83" s="59">
        <f ca="1">AVERAGE(OFFSET($BH$3,0,0,'Données projet'!$E$11+1,1))-AVERAGE(OFFSET($H$3,0,0,'Données projet'!$E$11+1,1))</f>
        <v>355.12987360915633</v>
      </c>
      <c r="BJ83" s="59">
        <f t="shared" si="92"/>
        <v>286.78588538798715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60.739438496433323</v>
      </c>
      <c r="BQ83" s="21">
        <f>EXP(-LN(2)/25)*BQ82+(1-EXP(-LN(2)/25))/(LN(2)/25)*Calculateur!BL83*Calculateur!BN83*VLOOKUP('Données projet'!$B$11,Paramètres!$A$1:$I$89,3,0)*0.475*44/12</f>
        <v>22.438828877725893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83.178267374159219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66.87808243649927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66.87808243649927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66.87808243649927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66.87808243649927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66.87808243649927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66.87808243649927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66.87808243649927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1.7000000000000002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6.2333333333333343</v>
      </c>
      <c r="H84" s="67">
        <f t="shared" si="56"/>
        <v>216.48000000000002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66.932240726663935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312.21112796780687</v>
      </c>
      <c r="T84" s="59">
        <f t="shared" si="88"/>
        <v>318.74634178809458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91.242635964872562</v>
      </c>
      <c r="AA84" s="21">
        <f>EXP(-LN(2)/25)*AA83+(1-EXP(-LN(2)/25))/(LN(2)/25)*Calculateur!V84*Calculateur!X84*VLOOKUP('Données projet'!$B$9,Paramètres!$A$1:$I$89,3,0)*0.475*44/12</f>
        <v>47.873151471646828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139.11578743651938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66.932240726663935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270.8238312000002</v>
      </c>
      <c r="AK84" s="13">
        <f t="shared" si="89"/>
        <v>65.024076047844915</v>
      </c>
      <c r="AL84" s="20">
        <f t="shared" si="58"/>
        <v>584.93510512333023</v>
      </c>
      <c r="AM84" s="59">
        <f t="shared" si="59"/>
        <v>867.01998778776465</v>
      </c>
      <c r="AN84" s="59">
        <f ca="1">AVERAGE(OFFSET($AM$3,0,0,'Données projet'!$E$10+1,1))-AVERAGE(OFFSET($H$3,0,0,'Données projet'!$E$10+1,1))</f>
        <v>608.11285041597125</v>
      </c>
      <c r="AO84" s="59">
        <f t="shared" si="90"/>
        <v>282.40007659049331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28.9544920071299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28.9544920071299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66.932240726663935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10.985833333333332</v>
      </c>
      <c r="BD84" s="12">
        <f>IF('Données projet'!$A$88&gt;35,BD83+BC84-BL83,IF(A84&lt;'Données projet'!$A$88,$BA$205^A84,IF(A84='Données projet'!$A$88,'Données projet'!$B$88,BD83+BC84-BL83)))</f>
        <v>376.21666666666732</v>
      </c>
      <c r="BE84" s="13">
        <f>BD84*VLOOKUP('Données projet'!$B$11,Paramètres!$A$1:$I$89,3,0)*VLOOKUP('Données projet'!$B$11,Paramètres!$A$1:$I$89,5,0)</f>
        <v>176.06940000000031</v>
      </c>
      <c r="BF84" s="13">
        <f t="shared" si="91"/>
        <v>44.446579567434348</v>
      </c>
      <c r="BG84" s="20">
        <f t="shared" si="61"/>
        <v>384.06533107994869</v>
      </c>
      <c r="BH84" s="59">
        <f t="shared" si="62"/>
        <v>666.15021374438311</v>
      </c>
      <c r="BI84" s="59">
        <f ca="1">AVERAGE(OFFSET($BH$3,0,0,'Données projet'!$E$11+1,1))-AVERAGE(OFFSET($H$3,0,0,'Données projet'!$E$11+1,1))</f>
        <v>355.12987360915633</v>
      </c>
      <c r="BJ84" s="59">
        <f t="shared" si="92"/>
        <v>286.78588538798715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59.548375154917622</v>
      </c>
      <c r="BQ84" s="21">
        <f>EXP(-LN(2)/25)*BQ83+(1-EXP(-LN(2)/25))/(LN(2)/25)*Calculateur!BL84*Calculateur!BN84*VLOOKUP('Données projet'!$B$11,Paramètres!$A$1:$I$89,3,0)*0.475*44/12</f>
        <v>21.825237922057752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81.373613076975374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66.932240726663935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66.932240726663935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66.932240726663935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66.932240726663935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66.932240726663935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66.932240726663935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66.932240726663935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1.7000000000000002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6.2333333333333343</v>
      </c>
      <c r="H85" s="67">
        <f t="shared" si="56"/>
        <v>216.48000000000002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66.985459491574062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312.21112796780687</v>
      </c>
      <c r="T85" s="59">
        <f t="shared" si="88"/>
        <v>318.74634178809458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89.453423526114122</v>
      </c>
      <c r="AA85" s="21">
        <f>EXP(-LN(2)/25)*AA84+(1-EXP(-LN(2)/25))/(LN(2)/25)*Calculateur!V85*Calculateur!X85*VLOOKUP('Données projet'!$B$9,Paramètres!$A$1:$I$89,3,0)*0.475*44/12</f>
        <v>46.564057627115027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136.01748115322914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66.985459491574062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278.67478080000018</v>
      </c>
      <c r="AK85" s="13">
        <f t="shared" si="89"/>
        <v>66.686874688958113</v>
      </c>
      <c r="AL85" s="20">
        <f t="shared" si="58"/>
        <v>601.50488330993562</v>
      </c>
      <c r="AM85" s="59">
        <f t="shared" si="59"/>
        <v>883.78490144570719</v>
      </c>
      <c r="AN85" s="59">
        <f ca="1">AVERAGE(OFFSET($AM$3,0,0,'Données projet'!$E$10+1,1))-AVERAGE(OFFSET($H$3,0,0,'Données projet'!$E$10+1,1))</f>
        <v>608.11285041597125</v>
      </c>
      <c r="AO85" s="59">
        <f t="shared" si="90"/>
        <v>282.40007659049331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28.386712079366379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28.386712079366379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66.985459491574062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10.985833333333332</v>
      </c>
      <c r="BD85" s="12">
        <f>IF('Données projet'!$A$88&gt;35,BD84+BC85-BL84,IF(A85&lt;'Données projet'!$A$88,$BA$205^A85,IF(A85='Données projet'!$A$88,'Données projet'!$B$88,BD84+BC85-BL84)))</f>
        <v>387.20250000000067</v>
      </c>
      <c r="BE85" s="13">
        <f>BD85*VLOOKUP('Données projet'!$B$11,Paramètres!$A$1:$I$89,3,0)*VLOOKUP('Données projet'!$B$11,Paramètres!$A$1:$I$89,5,0)</f>
        <v>181.21077000000031</v>
      </c>
      <c r="BF85" s="13">
        <f t="shared" si="91"/>
        <v>45.591454992325396</v>
      </c>
      <c r="BG85" s="20">
        <f t="shared" si="61"/>
        <v>395.01387519496728</v>
      </c>
      <c r="BH85" s="59">
        <f t="shared" si="62"/>
        <v>677.29389333073891</v>
      </c>
      <c r="BI85" s="59">
        <f ca="1">AVERAGE(OFFSET($BH$3,0,0,'Données projet'!$E$11+1,1))-AVERAGE(OFFSET($H$3,0,0,'Données projet'!$E$11+1,1))</f>
        <v>355.12987360915633</v>
      </c>
      <c r="BJ85" s="59">
        <f t="shared" si="92"/>
        <v>286.78588538798715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58.380667839052137</v>
      </c>
      <c r="BQ85" s="21">
        <f>EXP(-LN(2)/25)*BQ84+(1-EXP(-LN(2)/25))/(LN(2)/25)*Calculateur!BL85*Calculateur!BN85*VLOOKUP('Données projet'!$B$11,Paramètres!$A$1:$I$89,3,0)*0.475*44/12</f>
        <v>21.228425643339705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79.609093482391842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66.985459491574062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66.985459491574062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66.985459491574062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66.985459491574062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66.985459491574062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66.985459491574062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66.985459491574062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1.7000000000000002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6.2333333333333343</v>
      </c>
      <c r="H86" s="67">
        <f t="shared" si="56"/>
        <v>216.48000000000002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67.037755029892324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312.21112796780687</v>
      </c>
      <c r="T86" s="59">
        <f t="shared" si="88"/>
        <v>318.74634178809458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87.699296451967911</v>
      </c>
      <c r="AA86" s="21">
        <f>EXP(-LN(2)/25)*AA85+(1-EXP(-LN(2)/25))/(LN(2)/25)*Calculateur!V86*Calculateur!X86*VLOOKUP('Données projet'!$B$9,Paramètres!$A$1:$I$89,3,0)*0.475*44/12</f>
        <v>45.290761022604201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132.9900574745721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67.037755029892324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286.52573040000021</v>
      </c>
      <c r="AK86" s="13">
        <f t="shared" si="89"/>
        <v>68.344228730046424</v>
      </c>
      <c r="AL86" s="20">
        <f t="shared" si="58"/>
        <v>618.06517881816455</v>
      </c>
      <c r="AM86" s="59">
        <f t="shared" si="59"/>
        <v>900.53694726110302</v>
      </c>
      <c r="AN86" s="59">
        <f ca="1">AVERAGE(OFFSET($AM$3,0,0,'Données projet'!$E$10+1,1))-AVERAGE(OFFSET($H$3,0,0,'Données projet'!$E$10+1,1))</f>
        <v>608.11285041597125</v>
      </c>
      <c r="AO86" s="59">
        <f t="shared" si="90"/>
        <v>282.40007659049331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27.830065969674738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27.830065969674738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67.037755029892324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10.985833333333332</v>
      </c>
      <c r="BD86" s="12">
        <f>IF('Données projet'!$A$88&gt;35,BD85+BC86-BL85,IF(A86&lt;'Données projet'!$A$88,$BA$205^A86,IF(A86='Données projet'!$A$88,'Données projet'!$B$88,BD85+BC86-BL85)))</f>
        <v>398.18833333333401</v>
      </c>
      <c r="BE86" s="13">
        <f>BD86*VLOOKUP('Données projet'!$B$11,Paramètres!$A$1:$I$89,3,0)*VLOOKUP('Données projet'!$B$11,Paramètres!$A$1:$I$89,5,0)</f>
        <v>186.3521400000003</v>
      </c>
      <c r="BF86" s="13">
        <f t="shared" si="91"/>
        <v>46.732555123893533</v>
      </c>
      <c r="BG86" s="20">
        <f t="shared" si="61"/>
        <v>405.95584400744838</v>
      </c>
      <c r="BH86" s="59">
        <f t="shared" si="62"/>
        <v>688.42761245038696</v>
      </c>
      <c r="BI86" s="59">
        <f ca="1">AVERAGE(OFFSET($BH$3,0,0,'Données projet'!$E$11+1,1))-AVERAGE(OFFSET($H$3,0,0,'Données projet'!$E$11+1,1))</f>
        <v>355.12987360915633</v>
      </c>
      <c r="BJ86" s="59">
        <f t="shared" si="92"/>
        <v>286.78588538798715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57.235858551419639</v>
      </c>
      <c r="BQ86" s="21">
        <f>EXP(-LN(2)/25)*BQ85+(1-EXP(-LN(2)/25))/(LN(2)/25)*Calculateur!BL86*Calculateur!BN86*VLOOKUP('Données projet'!$B$11,Paramètres!$A$1:$I$89,3,0)*0.475*44/12</f>
        <v>20.647933227768196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77.883791779187831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67.037755029892324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67.037755029892324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67.037755029892324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67.037755029892324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67.037755029892324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67.037755029892324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67.037755029892324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1.7000000000000002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6.2333333333333343</v>
      </c>
      <c r="H87" s="67">
        <f t="shared" si="56"/>
        <v>216.48000000000002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67.089143357536074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312.21112796780687</v>
      </c>
      <c r="T87" s="59">
        <f t="shared" si="88"/>
        <v>318.74634178809458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85.979566739833828</v>
      </c>
      <c r="AA87" s="21">
        <f>EXP(-LN(2)/25)*AA86+(1-EXP(-LN(2)/25))/(LN(2)/25)*Calculateur!V87*Calculateur!X87*VLOOKUP('Données projet'!$B$9,Paramètres!$A$1:$I$89,3,0)*0.475*44/12</f>
        <v>44.052282780703479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130.03184952053732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67.089143357536074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294.37668000000025</v>
      </c>
      <c r="AK87" s="13">
        <f t="shared" si="89"/>
        <v>69.99630449784344</v>
      </c>
      <c r="AL87" s="20">
        <f t="shared" si="58"/>
        <v>634.61628133374438</v>
      </c>
      <c r="AM87" s="59">
        <f t="shared" si="59"/>
        <v>917.27647364470999</v>
      </c>
      <c r="AN87" s="59">
        <f ca="1">AVERAGE(OFFSET($AM$3,0,0,'Données projet'!$E$10+1,1))-AVERAGE(OFFSET($H$3,0,0,'Données projet'!$E$10+1,1))</f>
        <v>608.11285041597125</v>
      </c>
      <c r="AO87" s="59">
        <f t="shared" si="90"/>
        <v>282.40007659049331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43.147236627276406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43.147236627276406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67.089143357536074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10.985833333333332</v>
      </c>
      <c r="BD87" s="12">
        <f>IF('Données projet'!$A$88&gt;35,BD86+BC87-BL86,IF(A87&lt;'Données projet'!$A$88,$BA$205^A87,IF(A87='Données projet'!$A$88,'Données projet'!$B$88,BD86+BC87-BL86)))</f>
        <v>409.17416666666736</v>
      </c>
      <c r="BE87" s="13">
        <f>BD87*VLOOKUP('Données projet'!$B$11,Paramètres!$A$1:$I$89,3,0)*VLOOKUP('Données projet'!$B$11,Paramètres!$A$1:$I$89,5,0)</f>
        <v>191.49351000000033</v>
      </c>
      <c r="BF87" s="13">
        <f t="shared" si="91"/>
        <v>47.869996088134386</v>
      </c>
      <c r="BG87" s="20">
        <f t="shared" si="61"/>
        <v>416.89143977016801</v>
      </c>
      <c r="BH87" s="59">
        <f t="shared" si="62"/>
        <v>699.55163208113368</v>
      </c>
      <c r="BI87" s="59">
        <f ca="1">AVERAGE(OFFSET($BH$3,0,0,'Données projet'!$E$11+1,1))-AVERAGE(OFFSET($H$3,0,0,'Données projet'!$E$11+1,1))</f>
        <v>355.12987360915633</v>
      </c>
      <c r="BJ87" s="59">
        <f t="shared" si="92"/>
        <v>286.78588538798715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56.113498275652901</v>
      </c>
      <c r="BQ87" s="21">
        <f>EXP(-LN(2)/25)*BQ86+(1-EXP(-LN(2)/25))/(LN(2)/25)*Calculateur!BL87*Calculateur!BN87*VLOOKUP('Données projet'!$B$11,Paramètres!$A$1:$I$89,3,0)*0.475*44/12</f>
        <v>20.083314407827256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76.196812683480161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67.089143357536074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67.089143357536074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67.089143357536074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67.089143357536074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67.089143357536074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67.089143357536074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67.089143357536074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1.7000000000000002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6.2333333333333343</v>
      </c>
      <c r="H88" s="67">
        <f t="shared" si="56"/>
        <v>216.48000000000002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67.139640212582293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312.21112796780687</v>
      </c>
      <c r="T88" s="59">
        <f t="shared" si="88"/>
        <v>318.74634178809458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84.293559878423139</v>
      </c>
      <c r="AA88" s="21">
        <f>EXP(-LN(2)/25)*AA87+(1-EXP(-LN(2)/25))/(LN(2)/25)*Calculateur!V88*Calculateur!X88*VLOOKUP('Données projet'!$B$9,Paramètres!$A$1:$I$89,3,0)*0.475*44/12</f>
        <v>42.847670791456274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127.14123066987941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67.139640212582293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246.26032080000024</v>
      </c>
      <c r="AK88" s="13">
        <f t="shared" si="89"/>
        <v>59.784443753506842</v>
      </c>
      <c r="AL88" s="20">
        <f t="shared" si="58"/>
        <v>533.02796493069138</v>
      </c>
      <c r="AM88" s="59">
        <f t="shared" si="59"/>
        <v>815.87331237682645</v>
      </c>
      <c r="AN88" s="59">
        <f ca="1">AVERAGE(OFFSET($AM$3,0,0,'Données projet'!$E$10+1,1))-AVERAGE(OFFSET($H$3,0,0,'Données projet'!$E$10+1,1))</f>
        <v>608.11285041597125</v>
      </c>
      <c r="AO88" s="59">
        <f t="shared" si="90"/>
        <v>282.40007659049331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42.301145634231247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42.301145634231247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67.139640212582293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420.16</v>
      </c>
      <c r="BB88" s="12">
        <f>VLOOKUP(A88,'Données projet'!$A$87:$I$107,9,0)</f>
        <v>10.985833333333332</v>
      </c>
      <c r="BC88" s="12">
        <f t="array" ref="BC88">INDEX(BB:BB,MIN(IF(ISNUMBER(BB88:BB284),ROW(BB88:BB284),"")))</f>
        <v>10.985833333333332</v>
      </c>
      <c r="BD88" s="12">
        <f>IF('Données projet'!$A$88&gt;35,BD87+BC88-BL87,IF(A88&lt;'Données projet'!$A$88,$BA$205^A88,IF(A88='Données projet'!$A$88,'Données projet'!$B$88,BD87+BC88-BL87)))</f>
        <v>420.16000000000071</v>
      </c>
      <c r="BE88" s="13">
        <f>BD88*VLOOKUP('Données projet'!$B$11,Paramètres!$A$1:$I$89,3,0)*VLOOKUP('Données projet'!$B$11,Paramètres!$A$1:$I$89,5,0)</f>
        <v>196.63488000000032</v>
      </c>
      <c r="BF88" s="13">
        <f t="shared" si="91"/>
        <v>49.003887420349137</v>
      </c>
      <c r="BG88" s="20">
        <f t="shared" si="61"/>
        <v>427.82085325710864</v>
      </c>
      <c r="BH88" s="59">
        <f t="shared" si="62"/>
        <v>710.6662007032437</v>
      </c>
      <c r="BI88" s="59">
        <f ca="1">AVERAGE(OFFSET($BH$3,0,0,'Données projet'!$E$11+1,1))-AVERAGE(OFFSET($H$3,0,0,'Données projet'!$E$11+1,1))</f>
        <v>355.12987360915633</v>
      </c>
      <c r="BJ88" s="59">
        <f t="shared" si="92"/>
        <v>286.78588538798715</v>
      </c>
      <c r="BK88" s="15">
        <f>IF(ISNA(VLOOKUP(A88,'Données projet'!$A$87:$I$107,3,0)),0,VLOOKUP(A88,'Données projet'!$A$87:$I$107,3,0))</f>
        <v>4</v>
      </c>
      <c r="BL88" s="15">
        <f>IF(ISNA(VLOOKUP(A88,'Données projet'!$A$87:$I$107,4,0)),0,VLOOKUP(A88,'Données projet'!$A$87:$I$107,4,0))</f>
        <v>94.69</v>
      </c>
      <c r="BM88" s="16">
        <f>IF(ISNA(VLOOKUP(A88,'Données projet'!$A$87:$I$107,5,0)),0%,VLOOKUP(A88,'Données projet'!$A$87:$I$107,5,0)*VLOOKUP('Données projet'!$B$11,Paramètres!$A$1:$I$89,7,0))</f>
        <v>0.38500000000000001</v>
      </c>
      <c r="BN88" s="16">
        <f>IF(ISNA(VLOOKUP(A88,'Données projet'!$A$87:$I$107,6,0)),0%,VLOOKUP(A88,'Données projet'!$A$87:$I$107,6,0)*VLOOKUP('Données projet'!$B$11,Paramètres!$A$1:$I$89,7,0))</f>
        <v>0.16500000000000001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77.645986921615787</v>
      </c>
      <c r="BQ88" s="21">
        <f>EXP(-LN(2)/25)*BQ87+(1-EXP(-LN(2)/25))/(LN(2)/25)*Calculateur!BL88*Calculateur!BN88*VLOOKUP('Données projet'!$B$11,Paramètres!$A$1:$I$89,3,0)*0.475*44/12</f>
        <v>29.195731978901744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106.84171890051753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67.139640212582293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67.139640212582293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67.139640212582293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67.139640212582293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67.139640212582293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67.139640212582293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67.139640212582293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1.7000000000000002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6.2333333333333343</v>
      </c>
      <c r="H89" s="67">
        <f t="shared" si="56"/>
        <v>216.48000000000002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67.189261060087532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312.21112796780687</v>
      </c>
      <c r="T89" s="59">
        <f t="shared" si="88"/>
        <v>318.74634178809458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82.64061458320208</v>
      </c>
      <c r="AA89" s="21">
        <f>EXP(-LN(2)/25)*AA88+(1-EXP(-LN(2)/25))/(LN(2)/25)*Calculateur!V89*Calculateur!X89*VLOOKUP('Données projet'!$B$9,Paramètres!$A$1:$I$89,3,0)*0.475*44/12</f>
        <v>41.675998980402824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124.3166135636049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67.189261060087532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253.76201760000023</v>
      </c>
      <c r="AK89" s="13">
        <f t="shared" si="89"/>
        <v>61.390818695638195</v>
      </c>
      <c r="AL89" s="20">
        <f t="shared" si="58"/>
        <v>548.89118988157031</v>
      </c>
      <c r="AM89" s="59">
        <f t="shared" si="59"/>
        <v>831.91848043522464</v>
      </c>
      <c r="AN89" s="59">
        <f ca="1">AVERAGE(OFFSET($AM$3,0,0,'Données projet'!$E$10+1,1))-AVERAGE(OFFSET($H$3,0,0,'Données projet'!$E$10+1,1))</f>
        <v>608.11285041597125</v>
      </c>
      <c r="AO89" s="59">
        <f t="shared" si="90"/>
        <v>282.40007659049331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41.471645969495157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41.471645969495157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67.189261060087532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10.059999999999997</v>
      </c>
      <c r="BD89" s="12">
        <f>IF('Données projet'!$A$88&gt;35,BD88+BC89-BL88,IF(A89&lt;'Données projet'!$A$88,$BA$205^A89,IF(A89='Données projet'!$A$88,'Données projet'!$B$88,BD88+BC89-BL88)))</f>
        <v>335.53000000000071</v>
      </c>
      <c r="BE89" s="13">
        <f>BD89*VLOOKUP('Données projet'!$B$11,Paramètres!$A$1:$I$89,3,0)*VLOOKUP('Données projet'!$B$11,Paramètres!$A$1:$I$89,5,0)</f>
        <v>157.02804000000032</v>
      </c>
      <c r="BF89" s="13">
        <f t="shared" si="91"/>
        <v>40.171451809334279</v>
      </c>
      <c r="BG89" s="20">
        <f t="shared" si="61"/>
        <v>343.45578156792436</v>
      </c>
      <c r="BH89" s="59">
        <f t="shared" si="62"/>
        <v>626.48307212157863</v>
      </c>
      <c r="BI89" s="59">
        <f ca="1">AVERAGE(OFFSET($BH$3,0,0,'Données projet'!$E$11+1,1))-AVERAGE(OFFSET($H$3,0,0,'Données projet'!$E$11+1,1))</f>
        <v>355.12987360915633</v>
      </c>
      <c r="BJ89" s="59">
        <f t="shared" si="92"/>
        <v>286.78588538798715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76.12339647745857</v>
      </c>
      <c r="BQ89" s="21">
        <f>EXP(-LN(2)/25)*BQ88+(1-EXP(-LN(2)/25))/(LN(2)/25)*Calculateur!BL89*Calculateur!BN89*VLOOKUP('Données projet'!$B$11,Paramètres!$A$1:$I$89,3,0)*0.475*44/12</f>
        <v>28.397373152601858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104.52076963006043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67.189261060087532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67.189261060087532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67.189261060087532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67.189261060087532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67.189261060087532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67.189261060087532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67.189261060087532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1.7000000000000002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6.2333333333333343</v>
      </c>
      <c r="H90" s="67">
        <f t="shared" si="56"/>
        <v>216.48000000000002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67.238021096824127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312.21112796780687</v>
      </c>
      <c r="T90" s="59">
        <f t="shared" si="88"/>
        <v>318.74634178809458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81.020082537023228</v>
      </c>
      <c r="AA90" s="21">
        <f>EXP(-LN(2)/25)*AA89+(1-EXP(-LN(2)/25))/(LN(2)/25)*Calculateur!V90*Calculateur!X90*VLOOKUP('Données projet'!$B$9,Paramètres!$A$1:$I$89,3,0)*0.475*44/12</f>
        <v>40.536366596638175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121.5564491336614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67.238021096824127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261.26371440000025</v>
      </c>
      <c r="AK90" s="13">
        <f t="shared" si="89"/>
        <v>62.991674736313257</v>
      </c>
      <c r="AL90" s="20">
        <f t="shared" si="58"/>
        <v>564.74480274574603</v>
      </c>
      <c r="AM90" s="59">
        <f t="shared" si="59"/>
        <v>847.95088010076779</v>
      </c>
      <c r="AN90" s="59">
        <f ca="1">AVERAGE(OFFSET($AM$3,0,0,'Données projet'!$E$10+1,1))-AVERAGE(OFFSET($H$3,0,0,'Données projet'!$E$10+1,1))</f>
        <v>608.11285041597125</v>
      </c>
      <c r="AO90" s="59">
        <f t="shared" si="90"/>
        <v>282.40007659049331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40.658412287239706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40.658412287239706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67.238021096824127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10.059999999999997</v>
      </c>
      <c r="BD90" s="12">
        <f>IF('Données projet'!$A$88&gt;35,BD89+BC90-BL89,IF(A90&lt;'Données projet'!$A$88,$BA$205^A90,IF(A90='Données projet'!$A$88,'Données projet'!$B$88,BD89+BC90-BL89)))</f>
        <v>345.59000000000071</v>
      </c>
      <c r="BE90" s="13">
        <f>BD90*VLOOKUP('Données projet'!$B$11,Paramètres!$A$1:$I$89,3,0)*VLOOKUP('Données projet'!$B$11,Paramètres!$A$1:$I$89,5,0)</f>
        <v>161.73612000000031</v>
      </c>
      <c r="BF90" s="13">
        <f t="shared" si="91"/>
        <v>41.233855819285765</v>
      </c>
      <c r="BG90" s="20">
        <f t="shared" si="61"/>
        <v>353.50604121858987</v>
      </c>
      <c r="BH90" s="59">
        <f t="shared" si="62"/>
        <v>636.71211857361163</v>
      </c>
      <c r="BI90" s="59">
        <f ca="1">AVERAGE(OFFSET($BH$3,0,0,'Données projet'!$E$11+1,1))-AVERAGE(OFFSET($H$3,0,0,'Données projet'!$E$11+1,1))</f>
        <v>355.12987360915633</v>
      </c>
      <c r="BJ90" s="59">
        <f t="shared" si="92"/>
        <v>286.78588538798715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74.630663103222815</v>
      </c>
      <c r="BQ90" s="21">
        <f>EXP(-LN(2)/25)*BQ89+(1-EXP(-LN(2)/25))/(LN(2)/25)*Calculateur!BL90*Calculateur!BN90*VLOOKUP('Données projet'!$B$11,Paramètres!$A$1:$I$89,3,0)*0.475*44/12</f>
        <v>27.620845490391009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102.25150859361382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67.238021096824127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67.238021096824127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67.238021096824127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67.238021096824127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67.238021096824127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67.238021096824127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67.238021096824127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1.7000000000000002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6.2333333333333343</v>
      </c>
      <c r="H91" s="67">
        <f t="shared" si="56"/>
        <v>216.48000000000002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67.285935255934461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312.21112796780687</v>
      </c>
      <c r="T91" s="59">
        <f t="shared" si="88"/>
        <v>318.74634178809458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79.431328135842989</v>
      </c>
      <c r="AA91" s="21">
        <f>EXP(-LN(2)/25)*AA90+(1-EXP(-LN(2)/25))/(LN(2)/25)*Calculateur!V91*Calculateur!X91*VLOOKUP('Données projet'!$B$9,Paramètres!$A$1:$I$89,3,0)*0.475*44/12</f>
        <v>39.427897520338234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118.85922565618122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67.285935255934461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268.76541120000024</v>
      </c>
      <c r="AK91" s="13">
        <f t="shared" si="89"/>
        <v>64.587188539623412</v>
      </c>
      <c r="AL91" s="20">
        <f t="shared" si="58"/>
        <v>580.58911121317794</v>
      </c>
      <c r="AM91" s="59">
        <f t="shared" si="59"/>
        <v>863.970873818271</v>
      </c>
      <c r="AN91" s="59">
        <f ca="1">AVERAGE(OFFSET($AM$3,0,0,'Données projet'!$E$10+1,1))-AVERAGE(OFFSET($H$3,0,0,'Données projet'!$E$10+1,1))</f>
        <v>608.11285041597125</v>
      </c>
      <c r="AO91" s="59">
        <f t="shared" si="90"/>
        <v>282.40007659049331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39.861125621469718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39.861125621469718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67.285935255934461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10.059999999999997</v>
      </c>
      <c r="BD91" s="12">
        <f>IF('Données projet'!$A$88&gt;35,BD90+BC91-BL90,IF(A91&lt;'Données projet'!$A$88,$BA$205^A91,IF(A91='Données projet'!$A$88,'Données projet'!$B$88,BD90+BC91-BL90)))</f>
        <v>355.65000000000072</v>
      </c>
      <c r="BE91" s="13">
        <f>BD91*VLOOKUP('Données projet'!$B$11,Paramètres!$A$1:$I$89,3,0)*VLOOKUP('Données projet'!$B$11,Paramètres!$A$1:$I$89,5,0)</f>
        <v>166.44420000000034</v>
      </c>
      <c r="BF91" s="13">
        <f t="shared" si="91"/>
        <v>42.292665575425083</v>
      </c>
      <c r="BG91" s="20">
        <f t="shared" si="61"/>
        <v>363.55004087719925</v>
      </c>
      <c r="BH91" s="59">
        <f t="shared" si="62"/>
        <v>646.93180348229225</v>
      </c>
      <c r="BI91" s="59">
        <f ca="1">AVERAGE(OFFSET($BH$3,0,0,'Données projet'!$E$11+1,1))-AVERAGE(OFFSET($H$3,0,0,'Données projet'!$E$11+1,1))</f>
        <v>355.12987360915633</v>
      </c>
      <c r="BJ91" s="59">
        <f t="shared" si="92"/>
        <v>286.78588538798715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73.167201319978361</v>
      </c>
      <c r="BQ91" s="21">
        <f>EXP(-LN(2)/25)*BQ90+(1-EXP(-LN(2)/25))/(LN(2)/25)*Calculateur!BL91*Calculateur!BN91*VLOOKUP('Données projet'!$B$11,Paramètres!$A$1:$I$89,3,0)*0.475*44/12</f>
        <v>26.86555201793913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100.03275333791748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67.285935255934461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67.285935255934461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67.285935255934461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67.285935255934461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67.285935255934461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67.285935255934461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67.285935255934461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1.7000000000000002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6.2333333333333343</v>
      </c>
      <c r="H92" s="67">
        <f t="shared" si="56"/>
        <v>216.48000000000002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67.333018211504239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312.21112796780687</v>
      </c>
      <c r="T92" s="59">
        <f t="shared" si="88"/>
        <v>318.74634178809458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77.87372823942539</v>
      </c>
      <c r="AA92" s="21">
        <f>EXP(-LN(2)/25)*AA91+(1-EXP(-LN(2)/25))/(LN(2)/25)*Calculateur!V92*Calculateur!X92*VLOOKUP('Données projet'!$B$9,Paramètres!$A$1:$I$89,3,0)*0.475*44/12</f>
        <v>38.349739589221571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116.22346782864696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67.333018211504239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276.26710800000023</v>
      </c>
      <c r="AK92" s="13">
        <f t="shared" si="89"/>
        <v>66.177526346547864</v>
      </c>
      <c r="AL92" s="20">
        <f t="shared" si="58"/>
        <v>596.42440482023801</v>
      </c>
      <c r="AM92" s="59">
        <f t="shared" si="59"/>
        <v>879.97880492908689</v>
      </c>
      <c r="AN92" s="59">
        <f ca="1">AVERAGE(OFFSET($AM$3,0,0,'Données projet'!$E$10+1,1))-AVERAGE(OFFSET($H$3,0,0,'Données projet'!$E$10+1,1))</f>
        <v>608.11285041597125</v>
      </c>
      <c r="AO92" s="59">
        <f t="shared" si="90"/>
        <v>282.40007659049331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39.079473260918625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39.079473260918625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67.333018211504239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10.059999999999997</v>
      </c>
      <c r="BD92" s="12">
        <f>IF('Données projet'!$A$88&gt;35,BD91+BC92-BL91,IF(A92&lt;'Données projet'!$A$88,$BA$205^A92,IF(A92='Données projet'!$A$88,'Données projet'!$B$88,BD91+BC92-BL91)))</f>
        <v>365.71000000000072</v>
      </c>
      <c r="BE92" s="13">
        <f>BD92*VLOOKUP('Données projet'!$B$11,Paramètres!$A$1:$I$89,3,0)*VLOOKUP('Données projet'!$B$11,Paramètres!$A$1:$I$89,5,0)</f>
        <v>171.15228000000033</v>
      </c>
      <c r="BF92" s="13">
        <f t="shared" si="91"/>
        <v>43.347994423787434</v>
      </c>
      <c r="BG92" s="20">
        <f t="shared" si="61"/>
        <v>373.58797795476374</v>
      </c>
      <c r="BH92" s="59">
        <f t="shared" si="62"/>
        <v>657.14237806361257</v>
      </c>
      <c r="BI92" s="59">
        <f ca="1">AVERAGE(OFFSET($BH$3,0,0,'Données projet'!$E$11+1,1))-AVERAGE(OFFSET($H$3,0,0,'Données projet'!$E$11+1,1))</f>
        <v>355.12987360915633</v>
      </c>
      <c r="BJ92" s="59">
        <f t="shared" si="92"/>
        <v>286.78588538798715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71.732437129679781</v>
      </c>
      <c r="BQ92" s="21">
        <f>EXP(-LN(2)/25)*BQ91+(1-EXP(-LN(2)/25))/(LN(2)/25)*Calculateur!BL92*Calculateur!BN92*VLOOKUP('Données projet'!$B$11,Paramètres!$A$1:$I$89,3,0)*0.475*44/12</f>
        <v>26.130912085210607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97.863349214890391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67.333018211504239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67.333018211504239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67.333018211504239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67.333018211504239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67.333018211504239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67.333018211504239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67.333018211504239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1.7000000000000002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6.2333333333333343</v>
      </c>
      <c r="H93" s="67">
        <f t="shared" si="56"/>
        <v>216.48000000000002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67.379284383056614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312.21112796780687</v>
      </c>
      <c r="T93" s="59">
        <f t="shared" si="88"/>
        <v>318.74634178809458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76.34667192693442</v>
      </c>
      <c r="AA93" s="21">
        <f>EXP(-LN(2)/25)*AA92+(1-EXP(-LN(2)/25))/(LN(2)/25)*Calculateur!V93*Calculateur!X93*VLOOKUP('Données projet'!$B$9,Paramètres!$A$1:$I$89,3,0)*0.475*44/12</f>
        <v>37.301063943429149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113.64773587036356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67.379284383056614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283.76880480000023</v>
      </c>
      <c r="AK93" s="13">
        <f t="shared" si="89"/>
        <v>67.762844856024827</v>
      </c>
      <c r="AL93" s="20">
        <f t="shared" si="58"/>
        <v>612.2509564842436</v>
      </c>
      <c r="AM93" s="59">
        <f t="shared" si="59"/>
        <v>895.97499922211784</v>
      </c>
      <c r="AN93" s="59">
        <f ca="1">AVERAGE(OFFSET($AM$3,0,0,'Données projet'!$E$10+1,1))-AVERAGE(OFFSET($H$3,0,0,'Données projet'!$E$10+1,1))</f>
        <v>608.11285041597125</v>
      </c>
      <c r="AO93" s="59">
        <f t="shared" si="90"/>
        <v>282.40007659049331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38.31314862639708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38.31314862639708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67.379284383056614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10.059999999999997</v>
      </c>
      <c r="BD93" s="12">
        <f>IF('Données projet'!$A$88&gt;35,BD92+BC93-BL92,IF(A93&lt;'Données projet'!$A$88,$BA$205^A93,IF(A93='Données projet'!$A$88,'Données projet'!$B$88,BD92+BC93-BL92)))</f>
        <v>375.77000000000072</v>
      </c>
      <c r="BE93" s="13">
        <f>BD93*VLOOKUP('Données projet'!$B$11,Paramètres!$A$1:$I$89,3,0)*VLOOKUP('Données projet'!$B$11,Paramètres!$A$1:$I$89,5,0)</f>
        <v>175.86036000000033</v>
      </c>
      <c r="BF93" s="13">
        <f t="shared" si="91"/>
        <v>44.399949119645072</v>
      </c>
      <c r="BG93" s="20">
        <f t="shared" si="61"/>
        <v>383.62003838338245</v>
      </c>
      <c r="BH93" s="59">
        <f t="shared" si="62"/>
        <v>667.34408112125675</v>
      </c>
      <c r="BI93" s="59">
        <f ca="1">AVERAGE(OFFSET($BH$3,0,0,'Données projet'!$E$11+1,1))-AVERAGE(OFFSET($H$3,0,0,'Données projet'!$E$11+1,1))</f>
        <v>355.12987360915633</v>
      </c>
      <c r="BJ93" s="59">
        <f t="shared" si="92"/>
        <v>286.78588538798715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70.32580779003321</v>
      </c>
      <c r="BQ93" s="21">
        <f>EXP(-LN(2)/25)*BQ92+(1-EXP(-LN(2)/25))/(LN(2)/25)*Calculateur!BL93*Calculateur!BN93*VLOOKUP('Données projet'!$B$11,Paramètres!$A$1:$I$89,3,0)*0.475*44/12</f>
        <v>25.416360920075579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95.742168710108785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67.379284383056614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67.379284383056614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67.379284383056614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67.379284383056614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67.379284383056614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67.379284383056614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67.379284383056614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1.7000000000000002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6.2333333333333343</v>
      </c>
      <c r="H94" s="67">
        <f t="shared" si="56"/>
        <v>216.48000000000002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67.424747939968199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312.21112796780687</v>
      </c>
      <c r="T94" s="59">
        <f t="shared" si="88"/>
        <v>318.74634178809458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74.849560257319013</v>
      </c>
      <c r="AA94" s="21">
        <f>EXP(-LN(2)/25)*AA93+(1-EXP(-LN(2)/25))/(LN(2)/25)*Calculateur!V94*Calculateur!X94*VLOOKUP('Données projet'!$B$9,Paramètres!$A$1:$I$89,3,0)*0.475*44/12</f>
        <v>36.281064388318377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111.1306246456374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67.424747939968199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291.27050160000022</v>
      </c>
      <c r="AK94" s="13">
        <f t="shared" si="89"/>
        <v>69.343292010233441</v>
      </c>
      <c r="AL94" s="20">
        <f t="shared" si="58"/>
        <v>628.0690238711569</v>
      </c>
      <c r="AM94" s="59">
        <f t="shared" si="59"/>
        <v>911.95976631770691</v>
      </c>
      <c r="AN94" s="59">
        <f ca="1">AVERAGE(OFFSET($AM$3,0,0,'Données projet'!$E$10+1,1))-AVERAGE(OFFSET($H$3,0,0,'Données projet'!$E$10+1,1))</f>
        <v>608.11285041597125</v>
      </c>
      <c r="AO94" s="59">
        <f t="shared" si="90"/>
        <v>282.40007659049331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37.561851150546623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37.561851150546623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67.424747939968199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10.059999999999997</v>
      </c>
      <c r="BD94" s="12">
        <f>IF('Données projet'!$A$88&gt;35,BD93+BC94-BL93,IF(A94&lt;'Données projet'!$A$88,$BA$205^A94,IF(A94='Données projet'!$A$88,'Données projet'!$B$88,BD93+BC94-BL93)))</f>
        <v>385.83000000000072</v>
      </c>
      <c r="BE94" s="13">
        <f>BD94*VLOOKUP('Données projet'!$B$11,Paramètres!$A$1:$I$89,3,0)*VLOOKUP('Données projet'!$B$11,Paramètres!$A$1:$I$89,5,0)</f>
        <v>180.56844000000032</v>
      </c>
      <c r="BF94" s="13">
        <f t="shared" si="91"/>
        <v>45.448630376792785</v>
      </c>
      <c r="BG94" s="20">
        <f t="shared" si="61"/>
        <v>393.64639757291462</v>
      </c>
      <c r="BH94" s="59">
        <f t="shared" si="62"/>
        <v>677.53714001946469</v>
      </c>
      <c r="BI94" s="59">
        <f ca="1">AVERAGE(OFFSET($BH$3,0,0,'Données projet'!$E$11+1,1))-AVERAGE(OFFSET($H$3,0,0,'Données projet'!$E$11+1,1))</f>
        <v>355.12987360915633</v>
      </c>
      <c r="BJ94" s="59">
        <f t="shared" si="92"/>
        <v>286.78588538798715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68.946761593777936</v>
      </c>
      <c r="BQ94" s="21">
        <f>EXP(-LN(2)/25)*BQ93+(1-EXP(-LN(2)/25))/(LN(2)/25)*Calculateur!BL94*Calculateur!BN94*VLOOKUP('Données projet'!$B$11,Paramètres!$A$1:$I$89,3,0)*0.475*44/12</f>
        <v>24.721349194127782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93.668110787905718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67.424747939968199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67.424747939968199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67.424747939968199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67.424747939968199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67.424747939968199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67.424747939968199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67.424747939968199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1.7000000000000002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6.2333333333333343</v>
      </c>
      <c r="H95" s="67">
        <f t="shared" si="56"/>
        <v>216.48000000000002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67.469422805808676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312.21112796780687</v>
      </c>
      <c r="T95" s="59">
        <f t="shared" si="88"/>
        <v>318.74634178809458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73.381806034396817</v>
      </c>
      <c r="AA95" s="21">
        <f>EXP(-LN(2)/25)*AA94+(1-EXP(-LN(2)/25))/(LN(2)/25)*Calculateur!V95*Calculateur!X95*VLOOKUP('Données projet'!$B$9,Paramètres!$A$1:$I$89,3,0)*0.475*44/12</f>
        <v>35.288956774681559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108.67076280907838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67.469422805808676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298.77219840000021</v>
      </c>
      <c r="AK95" s="13">
        <f t="shared" si="89"/>
        <v>70.919007696700163</v>
      </c>
      <c r="AL95" s="20">
        <f t="shared" si="58"/>
        <v>643.87885061841985</v>
      </c>
      <c r="AM95" s="59">
        <f t="shared" si="59"/>
        <v>927.93340090638503</v>
      </c>
      <c r="AN95" s="59">
        <f ca="1">AVERAGE(OFFSET($AM$3,0,0,'Données projet'!$E$10+1,1))-AVERAGE(OFFSET($H$3,0,0,'Données projet'!$E$10+1,1))</f>
        <v>608.11285041597125</v>
      </c>
      <c r="AO95" s="59">
        <f t="shared" si="90"/>
        <v>282.40007659049331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36.825286159951382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36.825286159951382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67.469422805808676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10.059999999999997</v>
      </c>
      <c r="BD95" s="12">
        <f>IF('Données projet'!$A$88&gt;35,BD94+BC95-BL94,IF(A95&lt;'Données projet'!$A$88,$BA$205^A95,IF(A95='Données projet'!$A$88,'Données projet'!$B$88,BD94+BC95-BL94)))</f>
        <v>395.89000000000073</v>
      </c>
      <c r="BE95" s="13">
        <f>BD95*VLOOKUP('Données projet'!$B$11,Paramètres!$A$1:$I$89,3,0)*VLOOKUP('Données projet'!$B$11,Paramètres!$A$1:$I$89,5,0)</f>
        <v>185.27652000000035</v>
      </c>
      <c r="BF95" s="13">
        <f t="shared" si="91"/>
        <v>46.494133357933862</v>
      </c>
      <c r="BG95" s="20">
        <f t="shared" si="61"/>
        <v>403.66722126506875</v>
      </c>
      <c r="BH95" s="59">
        <f t="shared" si="62"/>
        <v>687.72177155303393</v>
      </c>
      <c r="BI95" s="59">
        <f ca="1">AVERAGE(OFFSET($BH$3,0,0,'Données projet'!$E$11+1,1))-AVERAGE(OFFSET($H$3,0,0,'Données projet'!$E$11+1,1))</f>
        <v>355.12987360915633</v>
      </c>
      <c r="BJ95" s="59">
        <f t="shared" si="92"/>
        <v>286.78588538798715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67.594757652296096</v>
      </c>
      <c r="BQ95" s="21">
        <f>EXP(-LN(2)/25)*BQ94+(1-EXP(-LN(2)/25))/(LN(2)/25)*Calculateur!BL95*Calculateur!BN95*VLOOKUP('Données projet'!$B$11,Paramètres!$A$1:$I$89,3,0)*0.475*44/12</f>
        <v>24.045342600375104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91.640100252671203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67.469422805808676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67.469422805808676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67.469422805808676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67.469422805808676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67.469422805808676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67.469422805808676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67.469422805808676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1.7000000000000002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6.2333333333333343</v>
      </c>
      <c r="H96" s="67">
        <f t="shared" si="56"/>
        <v>216.48000000000002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67.51332266260485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312.21112796780687</v>
      </c>
      <c r="T96" s="59">
        <f t="shared" si="88"/>
        <v>318.74634178809458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71.942833576544444</v>
      </c>
      <c r="AA96" s="21">
        <f>EXP(-LN(2)/25)*AA95+(1-EXP(-LN(2)/25))/(LN(2)/25)*Calculateur!V96*Calculateur!X96*VLOOKUP('Données projet'!$B$9,Paramètres!$A$1:$I$89,3,0)*0.475*44/12</f>
        <v>34.323978395912306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106.26681197245675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67.51332266260485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306.27389520000025</v>
      </c>
      <c r="AK96" s="13">
        <f t="shared" si="89"/>
        <v>72.490124377904692</v>
      </c>
      <c r="AL96" s="20">
        <f t="shared" si="58"/>
        <v>659.68066743151769</v>
      </c>
      <c r="AM96" s="59">
        <f t="shared" si="59"/>
        <v>943.89618386106872</v>
      </c>
      <c r="AN96" s="59">
        <f ca="1">AVERAGE(OFFSET($AM$3,0,0,'Données projet'!$E$10+1,1))-AVERAGE(OFFSET($H$3,0,0,'Données projet'!$E$10+1,1))</f>
        <v>608.11285041597125</v>
      </c>
      <c r="AO96" s="59">
        <f t="shared" si="90"/>
        <v>282.40007659049331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36.10316475956143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36.10316475956143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67.51332266260485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10.059999999999997</v>
      </c>
      <c r="BD96" s="12">
        <f>IF('Données projet'!$A$88&gt;35,BD95+BC96-BL95,IF(A96&lt;'Données projet'!$A$88,$BA$205^A96,IF(A96='Données projet'!$A$88,'Données projet'!$B$88,BD95+BC96-BL95)))</f>
        <v>405.95000000000073</v>
      </c>
      <c r="BE96" s="13">
        <f>BD96*VLOOKUP('Données projet'!$B$11,Paramètres!$A$1:$I$89,3,0)*VLOOKUP('Données projet'!$B$11,Paramètres!$A$1:$I$89,5,0)</f>
        <v>189.98460000000034</v>
      </c>
      <c r="BF96" s="13">
        <f t="shared" si="91"/>
        <v>47.536548113819151</v>
      </c>
      <c r="BG96" s="20">
        <f t="shared" si="61"/>
        <v>413.68266629823557</v>
      </c>
      <c r="BH96" s="59">
        <f t="shared" si="62"/>
        <v>697.89818272778666</v>
      </c>
      <c r="BI96" s="59">
        <f ca="1">AVERAGE(OFFSET($BH$3,0,0,'Données projet'!$E$11+1,1))-AVERAGE(OFFSET($H$3,0,0,'Données projet'!$E$11+1,1))</f>
        <v>355.12987360915633</v>
      </c>
      <c r="BJ96" s="59">
        <f t="shared" si="92"/>
        <v>286.78588538798715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66.269265683465733</v>
      </c>
      <c r="BQ96" s="21">
        <f>EXP(-LN(2)/25)*BQ95+(1-EXP(-LN(2)/25))/(LN(2)/25)*Calculateur!BL96*Calculateur!BN96*VLOOKUP('Données projet'!$B$11,Paramètres!$A$1:$I$89,3,0)*0.475*44/12</f>
        <v>23.387821442478234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89.657087125943974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67.51332266260485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67.51332266260485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67.51332266260485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67.51332266260485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67.51332266260485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67.51332266260485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67.51332266260485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1.7000000000000002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6.2333333333333343</v>
      </c>
      <c r="H97" s="67">
        <f t="shared" si="56"/>
        <v>216.48000000000002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67.556460955030985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312.21112796780687</v>
      </c>
      <c r="T97" s="59">
        <f t="shared" si="88"/>
        <v>318.74634178809458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70.532078490904027</v>
      </c>
      <c r="AA97" s="21">
        <f>EXP(-LN(2)/25)*AA96+(1-EXP(-LN(2)/25))/(LN(2)/25)*Calculateur!V97*Calculateur!X97*VLOOKUP('Données projet'!$B$9,Paramètres!$A$1:$I$89,3,0)*0.475*44/12</f>
        <v>33.385387401656509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103.91746589256053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67.556460955030985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313.77559200000019</v>
      </c>
      <c r="AK97" s="13">
        <f t="shared" si="89"/>
        <v>74.056767657464533</v>
      </c>
      <c r="AL97" s="20">
        <f t="shared" si="58"/>
        <v>675.47469307008441</v>
      </c>
      <c r="AM97" s="59">
        <f t="shared" si="59"/>
        <v>959.84838323853137</v>
      </c>
      <c r="AN97" s="59">
        <f ca="1">AVERAGE(OFFSET($AM$3,0,0,'Données projet'!$E$10+1,1))-AVERAGE(OFFSET($H$3,0,0,'Données projet'!$E$10+1,1))</f>
        <v>608.11285041597125</v>
      </c>
      <c r="AO97" s="59">
        <f t="shared" si="90"/>
        <v>282.40007659049331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51.356167505910733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51.356167505910733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67.556460955030985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10.059999999999997</v>
      </c>
      <c r="BD97" s="12">
        <f>IF('Données projet'!$A$88&gt;35,BD96+BC97-BL96,IF(A97&lt;'Données projet'!$A$88,$BA$205^A97,IF(A97='Données projet'!$A$88,'Données projet'!$B$88,BD96+BC97-BL96)))</f>
        <v>416.01000000000073</v>
      </c>
      <c r="BE97" s="13">
        <f>BD97*VLOOKUP('Données projet'!$B$11,Paramètres!$A$1:$I$89,3,0)*VLOOKUP('Données projet'!$B$11,Paramètres!$A$1:$I$89,5,0)</f>
        <v>194.69268000000034</v>
      </c>
      <c r="BF97" s="13">
        <f t="shared" si="91"/>
        <v>48.575959977629871</v>
      </c>
      <c r="BG97" s="20">
        <f t="shared" si="61"/>
        <v>423.69288129437263</v>
      </c>
      <c r="BH97" s="59">
        <f t="shared" si="62"/>
        <v>708.06657146281964</v>
      </c>
      <c r="BI97" s="59">
        <f ca="1">AVERAGE(OFFSET($BH$3,0,0,'Données projet'!$E$11+1,1))-AVERAGE(OFFSET($H$3,0,0,'Données projet'!$E$11+1,1))</f>
        <v>355.12987360915633</v>
      </c>
      <c r="BJ97" s="59">
        <f t="shared" si="92"/>
        <v>286.78588538798715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64.969765803673866</v>
      </c>
      <c r="BQ97" s="21">
        <f>EXP(-LN(2)/25)*BQ96+(1-EXP(-LN(2)/25))/(LN(2)/25)*Calculateur!BL97*Calculateur!BN97*VLOOKUP('Données projet'!$B$11,Paramètres!$A$1:$I$89,3,0)*0.475*44/12</f>
        <v>22.748280235221589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87.718046038895451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67.556460955030985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67.556460955030985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67.556460955030985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67.556460955030985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67.556460955030985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67.556460955030985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67.556460955030985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1.7000000000000002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6.2333333333333343</v>
      </c>
      <c r="H98" s="67">
        <f t="shared" si="56"/>
        <v>216.48000000000002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67.598850894526294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312.21112796780687</v>
      </c>
      <c r="T98" s="59">
        <f t="shared" si="88"/>
        <v>318.74634178809458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69.14898745201738</v>
      </c>
      <c r="AA98" s="21">
        <f>EXP(-LN(2)/25)*AA97+(1-EXP(-LN(2)/25))/(LN(2)/25)*Calculateur!V98*Calculateur!X98*VLOOKUP('Données projet'!$B$9,Paramètres!$A$1:$I$89,3,0)*0.475*44/12</f>
        <v>32.47246222749699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101.62144967951437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67.598850894526294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265.09463760000023</v>
      </c>
      <c r="AK98" s="13">
        <f t="shared" si="89"/>
        <v>63.807119294189917</v>
      </c>
      <c r="AL98" s="20">
        <f t="shared" si="58"/>
        <v>572.83722659071452</v>
      </c>
      <c r="AM98" s="59">
        <f t="shared" si="59"/>
        <v>857.36634653731085</v>
      </c>
      <c r="AN98" s="59">
        <f ca="1">AVERAGE(OFFSET($AM$3,0,0,'Données projet'!$E$10+1,1))-AVERAGE(OFFSET($H$3,0,0,'Données projet'!$E$10+1,1))</f>
        <v>608.11285041597125</v>
      </c>
      <c r="AO98" s="59">
        <f t="shared" si="90"/>
        <v>282.40007659049331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50.349104385288996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50.349104385288996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67.598850894526294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10.059999999999997</v>
      </c>
      <c r="BD98" s="12">
        <f>IF('Données projet'!$A$88&gt;35,BD97+BC98-BL97,IF(A98&lt;'Données projet'!$A$88,$BA$205^A98,IF(A98='Données projet'!$A$88,'Données projet'!$B$88,BD97+BC98-BL97)))</f>
        <v>426.07000000000073</v>
      </c>
      <c r="BE98" s="13">
        <f>BD98*VLOOKUP('Données projet'!$B$11,Paramètres!$A$1:$I$89,3,0)*VLOOKUP('Données projet'!$B$11,Paramètres!$A$1:$I$89,5,0)</f>
        <v>199.40076000000033</v>
      </c>
      <c r="BF98" s="13">
        <f t="shared" si="91"/>
        <v>49.612449920138786</v>
      </c>
      <c r="BG98" s="20">
        <f t="shared" si="61"/>
        <v>433.69800727757553</v>
      </c>
      <c r="BH98" s="59">
        <f t="shared" si="62"/>
        <v>718.22712722417191</v>
      </c>
      <c r="BI98" s="59">
        <f ca="1">AVERAGE(OFFSET($BH$3,0,0,'Données projet'!$E$11+1,1))-AVERAGE(OFFSET($H$3,0,0,'Données projet'!$E$11+1,1))</f>
        <v>355.12987360915633</v>
      </c>
      <c r="BJ98" s="59">
        <f t="shared" si="92"/>
        <v>286.78588538798715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63.695748323908056</v>
      </c>
      <c r="BQ98" s="21">
        <f>EXP(-LN(2)/25)*BQ97+(1-EXP(-LN(2)/25))/(LN(2)/25)*Calculateur!BL98*Calculateur!BN98*VLOOKUP('Données projet'!$B$11,Paramètres!$A$1:$I$89,3,0)*0.475*44/12</f>
        <v>22.126227315909389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85.821975639817452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67.598850894526294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67.598850894526294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67.598850894526294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67.598850894526294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67.598850894526294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67.598850894526294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67.598850894526294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1.7000000000000002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6.2333333333333343</v>
      </c>
      <c r="H99" s="67">
        <f t="shared" si="56"/>
        <v>216.48000000000002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67.640505463341071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312.21112796780687</v>
      </c>
      <c r="T99" s="59">
        <f t="shared" si="88"/>
        <v>318.74634178809458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67.793017984801054</v>
      </c>
      <c r="AA99" s="21">
        <f>EXP(-LN(2)/25)*AA98+(1-EXP(-LN(2)/25))/(LN(2)/25)*Calculateur!V99*Calculateur!X99*VLOOKUP('Données projet'!$B$9,Paramètres!$A$1:$I$89,3,0)*0.475*44/12</f>
        <v>31.584501040233512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99.377519025034559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67.640505463341071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272.37556320000027</v>
      </c>
      <c r="AK99" s="13">
        <f t="shared" si="89"/>
        <v>65.35316643513535</v>
      </c>
      <c r="AL99" s="20">
        <f t="shared" si="58"/>
        <v>588.21087078119456</v>
      </c>
      <c r="AM99" s="59">
        <f t="shared" si="59"/>
        <v>872.89272414677851</v>
      </c>
      <c r="AN99" s="59">
        <f ca="1">AVERAGE(OFFSET($AM$3,0,0,'Données projet'!$E$10+1,1))-AVERAGE(OFFSET($H$3,0,0,'Données projet'!$E$10+1,1))</f>
        <v>608.11285041597125</v>
      </c>
      <c r="AO99" s="59">
        <f t="shared" si="90"/>
        <v>282.40007659049331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49.361789158214798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49.361789158214798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67.640505463341071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10.059999999999997</v>
      </c>
      <c r="BD99" s="12">
        <f>IF('Données projet'!$A$88&gt;35,BD98+BC99-BL98,IF(A99&lt;'Données projet'!$A$88,$BA$205^A99,IF(A99='Données projet'!$A$88,'Données projet'!$B$88,BD98+BC99-BL98)))</f>
        <v>436.13000000000073</v>
      </c>
      <c r="BE99" s="13">
        <f>BD99*VLOOKUP('Données projet'!$B$11,Paramètres!$A$1:$I$89,3,0)*VLOOKUP('Données projet'!$B$11,Paramètres!$A$1:$I$89,5,0)</f>
        <v>204.10884000000033</v>
      </c>
      <c r="BF99" s="13">
        <f t="shared" si="91"/>
        <v>50.646094870383052</v>
      </c>
      <c r="BG99" s="20">
        <f t="shared" si="61"/>
        <v>443.69817823258433</v>
      </c>
      <c r="BH99" s="59">
        <f t="shared" si="62"/>
        <v>728.38003159816822</v>
      </c>
      <c r="BI99" s="59">
        <f ca="1">AVERAGE(OFFSET($BH$3,0,0,'Données projet'!$E$11+1,1))-AVERAGE(OFFSET($H$3,0,0,'Données projet'!$E$11+1,1))</f>
        <v>355.12987360915633</v>
      </c>
      <c r="BJ99" s="59">
        <f t="shared" si="92"/>
        <v>286.78588538798715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62.446713549846521</v>
      </c>
      <c r="BQ99" s="21">
        <f>EXP(-LN(2)/25)*BQ98+(1-EXP(-LN(2)/25))/(LN(2)/25)*Calculateur!BL99*Calculateur!BN99*VLOOKUP('Données projet'!$B$11,Paramètres!$A$1:$I$89,3,0)*0.475*44/12</f>
        <v>21.521184466388124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83.967898016234642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67.640505463341071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67.640505463341071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67.640505463341071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67.640505463341071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67.640505463341071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67.640505463341071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67.640505463341071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1.7000000000000002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6.2333333333333343</v>
      </c>
      <c r="H100" s="67">
        <f t="shared" si="56"/>
        <v>216.48000000000002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67.681437418512587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312.21112796780687</v>
      </c>
      <c r="T100" s="59">
        <f t="shared" si="88"/>
        <v>318.74634178809458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66.463638251777141</v>
      </c>
      <c r="AA100" s="21">
        <f>EXP(-LN(2)/25)*AA99+(1-EXP(-LN(2)/25))/(LN(2)/25)*Calculateur!V100*Calculateur!X100*VLOOKUP('Données projet'!$B$9,Paramètres!$A$1:$I$89,3,0)*0.475*44/12</f>
        <v>30.720821198331603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97.184459450108747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67.681437418512587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279.65648880000026</v>
      </c>
      <c r="AK100" s="13">
        <f t="shared" si="89"/>
        <v>66.894409904113928</v>
      </c>
      <c r="AL100" s="20">
        <f t="shared" si="58"/>
        <v>603.57614857633223</v>
      </c>
      <c r="AM100" s="59">
        <f t="shared" si="59"/>
        <v>888.40808577754501</v>
      </c>
      <c r="AN100" s="59">
        <f ca="1">AVERAGE(OFFSET($AM$3,0,0,'Données projet'!$E$10+1,1))-AVERAGE(OFFSET($H$3,0,0,'Données projet'!$E$10+1,1))</f>
        <v>608.11285041597125</v>
      </c>
      <c r="AO100" s="59">
        <f t="shared" si="90"/>
        <v>282.40007659049331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48.393834580540698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48.393834580540698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67.681437418512587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>
        <f>VLOOKUP(A100,'Données projet'!$A$87:$I$107,2,0)</f>
        <v>446.19</v>
      </c>
      <c r="BB100" s="12">
        <f>VLOOKUP(A100,'Données projet'!$A$87:$I$107,9,0)</f>
        <v>10.059999999999997</v>
      </c>
      <c r="BC100" s="12">
        <f t="array" ref="BC100">INDEX(BB:BB,MIN(IF(ISNUMBER(BB100:BB296),ROW(BB100:BB296),"")))</f>
        <v>10.059999999999997</v>
      </c>
      <c r="BD100" s="12">
        <f>IF('Données projet'!$A$88&gt;35,BD99+BC100-BL99,IF(A100&lt;'Données projet'!$A$88,$BA$205^A100,IF(A100='Données projet'!$A$88,'Données projet'!$B$88,BD99+BC100-BL99)))</f>
        <v>446.19000000000074</v>
      </c>
      <c r="BE100" s="13">
        <f>BD100*VLOOKUP('Données projet'!$B$11,Paramètres!$A$1:$I$89,3,0)*VLOOKUP('Données projet'!$B$11,Paramètres!$A$1:$I$89,5,0)</f>
        <v>208.81692000000035</v>
      </c>
      <c r="BF100" s="13">
        <f t="shared" si="91"/>
        <v>51.676968005916123</v>
      </c>
      <c r="BG100" s="20">
        <f t="shared" si="61"/>
        <v>453.69352161030451</v>
      </c>
      <c r="BH100" s="59">
        <f t="shared" si="62"/>
        <v>738.52545881151741</v>
      </c>
      <c r="BI100" s="59">
        <f ca="1">AVERAGE(OFFSET($BH$3,0,0,'Données projet'!$E$11+1,1))-AVERAGE(OFFSET($H$3,0,0,'Données projet'!$E$11+1,1))</f>
        <v>355.12987360915633</v>
      </c>
      <c r="BJ100" s="59">
        <f t="shared" si="92"/>
        <v>286.78588538798715</v>
      </c>
      <c r="BK100" s="15">
        <f>IF(ISNA(VLOOKUP(A100,'Données projet'!$A$87:$I$107,3,0)),0,VLOOKUP(A100,'Données projet'!$A$87:$I$107,3,0))</f>
        <v>5</v>
      </c>
      <c r="BL100" s="15">
        <f>IF(ISNA(VLOOKUP(A100,'Données projet'!$A$87:$I$107,4,0)),0,VLOOKUP(A100,'Données projet'!$A$87:$I$107,4,0))</f>
        <v>89.6</v>
      </c>
      <c r="BM100" s="16">
        <f>IF(ISNA(VLOOKUP(A100,'Données projet'!$A$87:$I$107,5,0)),0%,VLOOKUP(A100,'Données projet'!$A$87:$I$107,5,0)*VLOOKUP('Données projet'!$B$11,Paramètres!$A$1:$I$89,7,0))</f>
        <v>0.38500000000000001</v>
      </c>
      <c r="BN100" s="16">
        <f>IF(ISNA(VLOOKUP(A100,'Données projet'!$A$87:$I$107,6,0)),0%,VLOOKUP(A100,'Données projet'!$A$87:$I$107,6,0)*VLOOKUP('Données projet'!$B$11,Paramètres!$A$1:$I$89,7,0))</f>
        <v>0.16500000000000001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82.638397954734586</v>
      </c>
      <c r="BQ100" s="21">
        <f>EXP(-LN(2)/25)*BQ99+(1-EXP(-LN(2)/25))/(LN(2)/25)*Calculateur!BL100*Calculateur!BN100*VLOOKUP('Données projet'!$B$11,Paramètres!$A$1:$I$89,3,0)*0.475*44/12</f>
        <v>30.074930484874841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112.71332843960943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67.681437418512587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67.681437418512587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67.681437418512587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67.681437418512587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67.681437418512587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67.681437418512587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67.681437418512587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1.7000000000000002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6.2333333333333343</v>
      </c>
      <c r="H101" s="67">
        <f t="shared" si="56"/>
        <v>216.48000000000002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67.721659295772014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312.21112796780687</v>
      </c>
      <c r="T101" s="59">
        <f t="shared" si="88"/>
        <v>318.74634178809458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65.160326844476245</v>
      </c>
      <c r="AA101" s="21">
        <f>EXP(-LN(2)/25)*AA100+(1-EXP(-LN(2)/25))/(LN(2)/25)*Calculateur!V101*Calculateur!X101*VLOOKUP('Données projet'!$B$9,Paramètres!$A$1:$I$89,3,0)*0.475*44/12</f>
        <v>29.88075872712545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95.041085571601698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67.721659295772014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286.93741440000031</v>
      </c>
      <c r="AK101" s="13">
        <f t="shared" si="89"/>
        <v>68.430989143985158</v>
      </c>
      <c r="AL101" s="20">
        <f t="shared" si="58"/>
        <v>618.93330283910791</v>
      </c>
      <c r="AM101" s="59">
        <f t="shared" si="59"/>
        <v>903.91272025693866</v>
      </c>
      <c r="AN101" s="59">
        <f ca="1">AVERAGE(OFFSET($AM$3,0,0,'Données projet'!$E$10+1,1))-AVERAGE(OFFSET($H$3,0,0,'Données projet'!$E$10+1,1))</f>
        <v>608.11285041597125</v>
      </c>
      <c r="AO101" s="59">
        <f t="shared" si="90"/>
        <v>282.40007659049331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47.444861001740797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47.444861001740797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67.721659295772014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9.0474999999999994</v>
      </c>
      <c r="BD101" s="12">
        <f>IF('Données projet'!$A$88&gt;35,BD100+BC101-BL100,IF(A101&lt;'Données projet'!$A$88,$BA$205^A101,IF(A101='Données projet'!$A$88,'Données projet'!$B$88,BD100+BC101-BL100)))</f>
        <v>365.63750000000073</v>
      </c>
      <c r="BE101" s="13">
        <f>BD101*VLOOKUP('Données projet'!$B$11,Paramètres!$A$1:$I$89,3,0)*VLOOKUP('Données projet'!$B$11,Paramètres!$A$1:$I$89,5,0)</f>
        <v>171.11835000000036</v>
      </c>
      <c r="BF101" s="13">
        <f t="shared" si="91"/>
        <v>43.340401117854505</v>
      </c>
      <c r="BG101" s="20">
        <f t="shared" si="61"/>
        <v>373.51565819693059</v>
      </c>
      <c r="BH101" s="59">
        <f t="shared" si="62"/>
        <v>658.49507561476128</v>
      </c>
      <c r="BI101" s="59">
        <f ca="1">AVERAGE(OFFSET($BH$3,0,0,'Données projet'!$E$11+1,1))-AVERAGE(OFFSET($H$3,0,0,'Données projet'!$E$11+1,1))</f>
        <v>355.12987360915633</v>
      </c>
      <c r="BJ101" s="59">
        <f t="shared" si="92"/>
        <v>286.78588538798715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81.017909375287971</v>
      </c>
      <c r="BQ101" s="21">
        <f>EXP(-LN(2)/25)*BQ100+(1-EXP(-LN(2)/25))/(LN(2)/25)*Calculateur!BL101*Calculateur!BN101*VLOOKUP('Données projet'!$B$11,Paramètres!$A$1:$I$89,3,0)*0.475*44/12</f>
        <v>29.252529929194083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110.27043930448205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67.721659295772014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67.721659295772014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67.721659295772014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67.721659295772014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67.721659295772014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67.721659295772014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67.721659295772014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1.7000000000000002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6.2333333333333343</v>
      </c>
      <c r="H102" s="67">
        <f t="shared" si="56"/>
        <v>216.48000000000002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67.76118341338362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312.21112796780687</v>
      </c>
      <c r="T102" s="59">
        <f t="shared" si="88"/>
        <v>318.74634178809458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63.882572578931061</v>
      </c>
      <c r="AA102" s="21">
        <f>EXP(-LN(2)/25)*AA101+(1-EXP(-LN(2)/25))/(LN(2)/25)*Calculateur!V102*Calculateur!X102*VLOOKUP('Données projet'!$B$9,Paramètres!$A$1:$I$89,3,0)*0.475*44/12</f>
        <v>29.063667808371395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92.946240387302453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67.76118341338362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294.2183400000003</v>
      </c>
      <c r="AK102" s="13">
        <f t="shared" si="89"/>
        <v>69.963036117759913</v>
      </c>
      <c r="AL102" s="20">
        <f t="shared" si="58"/>
        <v>634.28256340509904</v>
      </c>
      <c r="AM102" s="59">
        <f t="shared" si="59"/>
        <v>919.40690258750556</v>
      </c>
      <c r="AN102" s="59">
        <f ca="1">AVERAGE(OFFSET($AM$3,0,0,'Données projet'!$E$10+1,1))-AVERAGE(OFFSET($H$3,0,0,'Données projet'!$E$10+1,1))</f>
        <v>608.11285041597125</v>
      </c>
      <c r="AO102" s="59">
        <f t="shared" si="90"/>
        <v>282.40007659049331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46.514496216004432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46.514496216004432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67.76118341338362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9.0474999999999994</v>
      </c>
      <c r="BD102" s="12">
        <f>IF('Données projet'!$A$88&gt;35,BD101+BC102-BL101,IF(A102&lt;'Données projet'!$A$88,$BA$205^A102,IF(A102='Données projet'!$A$88,'Données projet'!$B$88,BD101+BC102-BL101)))</f>
        <v>374.68500000000074</v>
      </c>
      <c r="BE102" s="13">
        <f>BD102*VLOOKUP('Données projet'!$B$11,Paramètres!$A$1:$I$89,3,0)*VLOOKUP('Données projet'!$B$11,Paramètres!$A$1:$I$89,5,0)</f>
        <v>175.35258000000036</v>
      </c>
      <c r="BF102" s="13">
        <f t="shared" si="91"/>
        <v>44.286652000427587</v>
      </c>
      <c r="BG102" s="20">
        <f t="shared" si="61"/>
        <v>382.53832906741195</v>
      </c>
      <c r="BH102" s="59">
        <f t="shared" si="62"/>
        <v>667.66266824981858</v>
      </c>
      <c r="BI102" s="59">
        <f ca="1">AVERAGE(OFFSET($BH$3,0,0,'Données projet'!$E$11+1,1))-AVERAGE(OFFSET($H$3,0,0,'Données projet'!$E$11+1,1))</f>
        <v>355.12987360915633</v>
      </c>
      <c r="BJ102" s="59">
        <f t="shared" si="92"/>
        <v>286.78588538798715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79.429197588483859</v>
      </c>
      <c r="BQ102" s="21">
        <f>EXP(-LN(2)/25)*BQ101+(1-EXP(-LN(2)/25))/(LN(2)/25)*Calculateur!BL102*Calculateur!BN102*VLOOKUP('Données projet'!$B$11,Paramètres!$A$1:$I$89,3,0)*0.475*44/12</f>
        <v>28.45261795995658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107.88181554844044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67.76118341338362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67.76118341338362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67.76118341338362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67.76118341338362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67.76118341338362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67.76118341338362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67.76118341338362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1.7000000000000002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6.2333333333333343</v>
      </c>
      <c r="H103" s="67">
        <f t="shared" si="56"/>
        <v>216.48000000000002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67.800021875917366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312.21112796780687</v>
      </c>
      <c r="T103" s="59">
        <f t="shared" si="88"/>
        <v>318.74634178809458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62.629874295180066</v>
      </c>
      <c r="AA103" s="21">
        <f>EXP(-LN(2)/25)*AA102+(1-EXP(-LN(2)/25))/(LN(2)/25)*Calculateur!V103*Calculateur!X103*VLOOKUP('Données projet'!$B$9,Paramètres!$A$1:$I$89,3,0)*0.475*44/12</f>
        <v>28.268920283759616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90.898794578939686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67.800021875917366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301.49926560000034</v>
      </c>
      <c r="AK103" s="13">
        <f t="shared" si="89"/>
        <v>71.490675884857296</v>
      </c>
      <c r="AL103" s="20">
        <f t="shared" si="58"/>
        <v>649.62414808612709</v>
      </c>
      <c r="AM103" s="59">
        <f t="shared" si="59"/>
        <v>934.89089496449083</v>
      </c>
      <c r="AN103" s="59">
        <f ca="1">AVERAGE(OFFSET($AM$3,0,0,'Données projet'!$E$10+1,1))-AVERAGE(OFFSET($H$3,0,0,'Données projet'!$E$10+1,1))</f>
        <v>608.11285041597125</v>
      </c>
      <c r="AO103" s="59">
        <f t="shared" si="90"/>
        <v>282.40007659049331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45.602375316249869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45.602375316249869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67.800021875917366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9.0474999999999994</v>
      </c>
      <c r="BD103" s="12">
        <f>IF('Données projet'!$A$88&gt;35,BD102+BC103-BL102,IF(A103&lt;'Données projet'!$A$88,$BA$205^A103,IF(A103='Données projet'!$A$88,'Données projet'!$B$88,BD102+BC103-BL102)))</f>
        <v>383.73250000000075</v>
      </c>
      <c r="BE103" s="13">
        <f>BD103*VLOOKUP('Données projet'!$B$11,Paramètres!$A$1:$I$89,3,0)*VLOOKUP('Données projet'!$B$11,Paramètres!$A$1:$I$89,5,0)</f>
        <v>179.58681000000038</v>
      </c>
      <c r="BF103" s="13">
        <f t="shared" si="91"/>
        <v>45.230246712340069</v>
      </c>
      <c r="BG103" s="20">
        <f t="shared" si="61"/>
        <v>391.5563737739929</v>
      </c>
      <c r="BH103" s="59">
        <f t="shared" si="62"/>
        <v>676.82312065235658</v>
      </c>
      <c r="BI103" s="59">
        <f ca="1">AVERAGE(OFFSET($BH$3,0,0,'Données projet'!$E$11+1,1))-AVERAGE(OFFSET($H$3,0,0,'Données projet'!$E$11+1,1))</f>
        <v>355.12987360915633</v>
      </c>
      <c r="BJ103" s="59">
        <f t="shared" si="92"/>
        <v>286.78588538798715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77.871639470800474</v>
      </c>
      <c r="BQ103" s="21">
        <f>EXP(-LN(2)/25)*BQ102+(1-EXP(-LN(2)/25))/(LN(2)/25)*Calculateur!BL103*Calculateur!BN103*VLOOKUP('Données projet'!$B$11,Paramètres!$A$1:$I$89,3,0)*0.475*44/12</f>
        <v>27.674579625583419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105.54621909638389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67.800021875917366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67.800021875917366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67.800021875917366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67.800021875917366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67.800021875917366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67.800021875917366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67.800021875917366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1.7000000000000002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6.2333333333333343</v>
      </c>
      <c r="H104" s="67">
        <f t="shared" si="56"/>
        <v>216.48000000000002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67.838186577955952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312.21112796780687</v>
      </c>
      <c r="T104" s="59">
        <f t="shared" si="88"/>
        <v>318.74634178809458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61.401740660702927</v>
      </c>
      <c r="AA104" s="21">
        <f>EXP(-LN(2)/25)*AA103+(1-EXP(-LN(2)/25))/(LN(2)/25)*Calculateur!V104*Calculateur!X104*VLOOKUP('Données projet'!$B$9,Paramètres!$A$1:$I$89,3,0)*0.475*44/12</f>
        <v>27.495905172002303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88.897645832705223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67.838186577955952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308.78019120000033</v>
      </c>
      <c r="AK104" s="13">
        <f t="shared" si="89"/>
        <v>73.014027120130123</v>
      </c>
      <c r="AL104" s="20">
        <f t="shared" si="58"/>
        <v>664.95826357422709</v>
      </c>
      <c r="AM104" s="59">
        <f t="shared" si="59"/>
        <v>950.3649476933989</v>
      </c>
      <c r="AN104" s="59">
        <f ca="1">AVERAGE(OFFSET($AM$3,0,0,'Données projet'!$E$10+1,1))-AVERAGE(OFFSET($H$3,0,0,'Données projet'!$E$10+1,1))</f>
        <v>608.11285041597125</v>
      </c>
      <c r="AO104" s="59">
        <f t="shared" si="90"/>
        <v>282.40007659049331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44.708140551000682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44.708140551000682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67.838186577955952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9.0474999999999994</v>
      </c>
      <c r="BD104" s="12">
        <f>IF('Données projet'!$A$88&gt;35,BD103+BC104-BL103,IF(A104&lt;'Données projet'!$A$88,$BA$205^A104,IF(A104='Données projet'!$A$88,'Données projet'!$B$88,BD103+BC104-BL103)))</f>
        <v>392.78000000000077</v>
      </c>
      <c r="BE104" s="13">
        <f>BD104*VLOOKUP('Données projet'!$B$11,Paramètres!$A$1:$I$89,3,0)*VLOOKUP('Données projet'!$B$11,Paramètres!$A$1:$I$89,5,0)</f>
        <v>183.82104000000035</v>
      </c>
      <c r="BF104" s="13">
        <f t="shared" si="91"/>
        <v>46.17125508669745</v>
      </c>
      <c r="BG104" s="20">
        <f t="shared" si="61"/>
        <v>400.56991394266532</v>
      </c>
      <c r="BH104" s="59">
        <f t="shared" si="62"/>
        <v>685.97659806183719</v>
      </c>
      <c r="BI104" s="59">
        <f ca="1">AVERAGE(OFFSET($BH$3,0,0,'Données projet'!$E$11+1,1))-AVERAGE(OFFSET($H$3,0,0,'Données projet'!$E$11+1,1))</f>
        <v>355.12987360915633</v>
      </c>
      <c r="BJ104" s="59">
        <f t="shared" si="92"/>
        <v>286.78588538798715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76.344624117788214</v>
      </c>
      <c r="BQ104" s="21">
        <f>EXP(-LN(2)/25)*BQ103+(1-EXP(-LN(2)/25))/(LN(2)/25)*Calculateur!BL104*Calculateur!BN104*VLOOKUP('Données projet'!$B$11,Paramètres!$A$1:$I$89,3,0)*0.475*44/12</f>
        <v>26.91781679037895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103.26244090816716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67.838186577955952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67.838186577955952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67.838186577955952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67.838186577955952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67.838186577955952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67.838186577955952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67.838186577955952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1.7000000000000002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6.2333333333333343</v>
      </c>
      <c r="H105" s="67">
        <f t="shared" si="56"/>
        <v>216.48000000000002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67.875689207737651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312.21112796780687</v>
      </c>
      <c r="T105" s="59">
        <f t="shared" si="88"/>
        <v>318.74634178809458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60.197689977710333</v>
      </c>
      <c r="AA105" s="21">
        <f>EXP(-LN(2)/25)*AA104+(1-EXP(-LN(2)/25))/(LN(2)/25)*Calculateur!V105*Calculateur!X105*VLOOKUP('Données projet'!$B$9,Paramètres!$A$1:$I$89,3,0)*0.475*44/12</f>
        <v>26.74402819912709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86.941718176837426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67.875689207737651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316.06111680000038</v>
      </c>
      <c r="AK105" s="13">
        <f t="shared" si="89"/>
        <v>74.533202582557081</v>
      </c>
      <c r="AL105" s="20">
        <f t="shared" si="58"/>
        <v>680.28510625795423</v>
      </c>
      <c r="AM105" s="59">
        <f t="shared" si="59"/>
        <v>965.82930001965894</v>
      </c>
      <c r="AN105" s="59">
        <f ca="1">AVERAGE(OFFSET($AM$3,0,0,'Données projet'!$E$10+1,1))-AVERAGE(OFFSET($H$3,0,0,'Données projet'!$E$10+1,1))</f>
        <v>608.11285041597125</v>
      </c>
      <c r="AO105" s="59">
        <f t="shared" si="90"/>
        <v>282.40007659049331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43.83144118406868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43.83144118406868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67.875689207737651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9.0474999999999994</v>
      </c>
      <c r="BD105" s="12">
        <f>IF('Données projet'!$A$88&gt;35,BD104+BC105-BL104,IF(A105&lt;'Données projet'!$A$88,$BA$205^A105,IF(A105='Données projet'!$A$88,'Données projet'!$B$88,BD104+BC105-BL104)))</f>
        <v>401.82750000000078</v>
      </c>
      <c r="BE105" s="13">
        <f>BD105*VLOOKUP('Données projet'!$B$11,Paramètres!$A$1:$I$89,3,0)*VLOOKUP('Données projet'!$B$11,Paramètres!$A$1:$I$89,5,0)</f>
        <v>188.05527000000035</v>
      </c>
      <c r="BF105" s="13">
        <f t="shared" si="91"/>
        <v>47.109743555877948</v>
      </c>
      <c r="BG105" s="20">
        <f t="shared" si="61"/>
        <v>409.57906527648794</v>
      </c>
      <c r="BH105" s="59">
        <f t="shared" si="62"/>
        <v>695.1232590381926</v>
      </c>
      <c r="BI105" s="59">
        <f ca="1">AVERAGE(OFFSET($BH$3,0,0,'Données projet'!$E$11+1,1))-AVERAGE(OFFSET($H$3,0,0,'Données projet'!$E$11+1,1))</f>
        <v>355.12987360915633</v>
      </c>
      <c r="BJ105" s="59">
        <f t="shared" si="92"/>
        <v>286.78588538798715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74.847552604461129</v>
      </c>
      <c r="BQ105" s="21">
        <f>EXP(-LN(2)/25)*BQ104+(1-EXP(-LN(2)/25))/(LN(2)/25)*Calculateur!BL105*Calculateur!BN105*VLOOKUP('Données projet'!$B$11,Paramètres!$A$1:$I$89,3,0)*0.475*44/12</f>
        <v>26.181747674699576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101.02930027916071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67.875689207737651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67.875689207737651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67.875689207737651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67.875689207737651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67.875689207737651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67.875689207737651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67.875689207737651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1.7000000000000002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6.2333333333333343</v>
      </c>
      <c r="H106" s="67">
        <f t="shared" si="56"/>
        <v>216.48000000000002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67.912541250735956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312.21112796780687</v>
      </c>
      <c r="T106" s="59">
        <f t="shared" si="88"/>
        <v>318.74634178809458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59.017249994212818</v>
      </c>
      <c r="AA106" s="21">
        <f>EXP(-LN(2)/25)*AA105+(1-EXP(-LN(2)/25))/(LN(2)/25)*Calculateur!V106*Calculateur!X106*VLOOKUP('Données projet'!$B$9,Paramètres!$A$1:$I$89,3,0)*0.475*44/12</f>
        <v>26.01271134161464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85.029961335827466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67.912541250735956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323.34204240000037</v>
      </c>
      <c r="AK106" s="13">
        <f t="shared" si="89"/>
        <v>76.048309539529996</v>
      </c>
      <c r="AL106" s="20">
        <f t="shared" si="58"/>
        <v>695.60486296134877</v>
      </c>
      <c r="AM106" s="59">
        <f t="shared" si="59"/>
        <v>981.28418088071385</v>
      </c>
      <c r="AN106" s="59">
        <f ca="1">AVERAGE(OFFSET($AM$3,0,0,'Données projet'!$E$10+1,1))-AVERAGE(OFFSET($H$3,0,0,'Données projet'!$E$10+1,1))</f>
        <v>608.11285041597125</v>
      </c>
      <c r="AO106" s="59">
        <f t="shared" si="90"/>
        <v>282.40007659049331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42.971933356988401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42.971933356988401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67.912541250735956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9.0474999999999994</v>
      </c>
      <c r="BD106" s="12">
        <f>IF('Données projet'!$A$88&gt;35,BD105+BC106-BL105,IF(A106&lt;'Données projet'!$A$88,$BA$205^A106,IF(A106='Données projet'!$A$88,'Données projet'!$B$88,BD105+BC106-BL105)))</f>
        <v>410.8750000000008</v>
      </c>
      <c r="BE106" s="13">
        <f>BD106*VLOOKUP('Données projet'!$B$11,Paramètres!$A$1:$I$89,3,0)*VLOOKUP('Données projet'!$B$11,Paramètres!$A$1:$I$89,5,0)</f>
        <v>192.28950000000037</v>
      </c>
      <c r="BF106" s="13">
        <f t="shared" si="91"/>
        <v>48.045775389924884</v>
      </c>
      <c r="BG106" s="20">
        <f t="shared" si="61"/>
        <v>418.58393797078651</v>
      </c>
      <c r="BH106" s="59">
        <f t="shared" si="62"/>
        <v>704.26325589015164</v>
      </c>
      <c r="BI106" s="59">
        <f ca="1">AVERAGE(OFFSET($BH$3,0,0,'Données projet'!$E$11+1,1))-AVERAGE(OFFSET($H$3,0,0,'Données projet'!$E$11+1,1))</f>
        <v>355.12987360915633</v>
      </c>
      <c r="BJ106" s="59">
        <f t="shared" si="92"/>
        <v>286.78588538798715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73.379837750386926</v>
      </c>
      <c r="BQ106" s="21">
        <f>EXP(-LN(2)/25)*BQ105+(1-EXP(-LN(2)/25))/(LN(2)/25)*Calculateur!BL106*Calculateur!BN106*VLOOKUP('Données projet'!$B$11,Paramètres!$A$1:$I$89,3,0)*0.475*44/12</f>
        <v>25.465806407696643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98.845644158083573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67.912541250735956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67.912541250735956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67.912541250735956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67.912541250735956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67.912541250735956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67.912541250735956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67.912541250735956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1.7000000000000002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6.2333333333333343</v>
      </c>
      <c r="H107" s="67">
        <f t="shared" si="56"/>
        <v>216.48000000000002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67.948753993177064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312.21112796780687</v>
      </c>
      <c r="T107" s="59">
        <f t="shared" si="88"/>
        <v>318.74634178809458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57.859957718794398</v>
      </c>
      <c r="AA107" s="21">
        <f>EXP(-LN(2)/25)*AA106+(1-EXP(-LN(2)/25))/(LN(2)/25)*Calculateur!V107*Calculateur!X107*VLOOKUP('Données projet'!$B$9,Paramètres!$A$1:$I$89,3,0)*0.475*44/12</f>
        <v>25.30139238202915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83.16135010082354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67.948753993177064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330.62296800000041</v>
      </c>
      <c r="AK107" s="13">
        <f t="shared" si="89"/>
        <v>77.559450151847827</v>
      </c>
      <c r="AL107" s="20">
        <f t="shared" si="58"/>
        <v>710.91771161446911</v>
      </c>
      <c r="AM107" s="59">
        <f t="shared" si="59"/>
        <v>996.72980958945163</v>
      </c>
      <c r="AN107" s="59">
        <f ca="1">AVERAGE(OFFSET($AM$3,0,0,'Données projet'!$E$10+1,1))-AVERAGE(OFFSET($H$3,0,0,'Données projet'!$E$10+1,1))</f>
        <v>608.11285041597125</v>
      </c>
      <c r="AO107" s="59">
        <f t="shared" si="90"/>
        <v>282.40007659049331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57.661865407845688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57.661865407845688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67.948753993177064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9.0474999999999994</v>
      </c>
      <c r="BD107" s="12">
        <f>IF('Données projet'!$A$88&gt;35,BD106+BC107-BL106,IF(A107&lt;'Données projet'!$A$88,$BA$205^A107,IF(A107='Données projet'!$A$88,'Données projet'!$B$88,BD106+BC107-BL106)))</f>
        <v>419.92250000000081</v>
      </c>
      <c r="BE107" s="13">
        <f>BD107*VLOOKUP('Données projet'!$B$11,Paramètres!$A$1:$I$89,3,0)*VLOOKUP('Données projet'!$B$11,Paramètres!$A$1:$I$89,5,0)</f>
        <v>196.52373000000037</v>
      </c>
      <c r="BF107" s="13">
        <f t="shared" si="91"/>
        <v>48.979410913349057</v>
      </c>
      <c r="BG107" s="20">
        <f t="shared" si="61"/>
        <v>427.58463709075022</v>
      </c>
      <c r="BH107" s="59">
        <f t="shared" si="62"/>
        <v>713.39673506573286</v>
      </c>
      <c r="BI107" s="59">
        <f ca="1">AVERAGE(OFFSET($BH$3,0,0,'Données projet'!$E$11+1,1))-AVERAGE(OFFSET($H$3,0,0,'Données projet'!$E$11+1,1))</f>
        <v>355.12987360915633</v>
      </c>
      <c r="BJ107" s="59">
        <f t="shared" si="92"/>
        <v>286.78588538798715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71.940903889383449</v>
      </c>
      <c r="BQ107" s="21">
        <f>EXP(-LN(2)/25)*BQ106+(1-EXP(-LN(2)/25))/(LN(2)/25)*Calculateur!BL107*Calculateur!BN107*VLOOKUP('Données projet'!$B$11,Paramètres!$A$1:$I$89,3,0)*0.475*44/12</f>
        <v>24.769442592289622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96.710346481673071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67.948753993177064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67.948753993177064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67.948753993177064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67.948753993177064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67.948753993177064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67.948753993177064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67.948753993177064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1.7000000000000002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6.2333333333333343</v>
      </c>
      <c r="H108" s="67">
        <f t="shared" si="56"/>
        <v>216.48000000000002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67.984338525496383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312.21112796780687</v>
      </c>
      <c r="T108" s="59">
        <f t="shared" si="88"/>
        <v>318.74634178809458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56.725359239018346</v>
      </c>
      <c r="AA108" s="21">
        <f>EXP(-LN(2)/25)*AA107+(1-EXP(-LN(2)/25))/(LN(2)/25)*Calculateur!V108*Calculateur!X108*VLOOKUP('Données projet'!$B$9,Paramètres!$A$1:$I$89,3,0)*0.475*44/12</f>
        <v>24.609524476800164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81.334883715818506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67.984338525496383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283.34264400000046</v>
      </c>
      <c r="AK108" s="13">
        <f t="shared" si="89"/>
        <v>67.672917015543916</v>
      </c>
      <c r="AL108" s="20">
        <f t="shared" si="58"/>
        <v>611.3521021020731</v>
      </c>
      <c r="AM108" s="59">
        <f t="shared" si="59"/>
        <v>897.29467669555993</v>
      </c>
      <c r="AN108" s="59">
        <f ca="1">AVERAGE(OFFSET($AM$3,0,0,'Données projet'!$E$10+1,1))-AVERAGE(OFFSET($H$3,0,0,'Données projet'!$E$10+1,1))</f>
        <v>608.11285041597125</v>
      </c>
      <c r="AO108" s="59">
        <f t="shared" si="90"/>
        <v>282.40007659049331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56.531151397462956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56.531151397462956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67.984338525496383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9.0474999999999994</v>
      </c>
      <c r="BD108" s="12">
        <f>IF('Données projet'!$A$88&gt;35,BD107+BC108-BL107,IF(A108&lt;'Données projet'!$A$88,$BA$205^A108,IF(A108='Données projet'!$A$88,'Données projet'!$B$88,BD107+BC108-BL107)))</f>
        <v>428.97000000000082</v>
      </c>
      <c r="BE108" s="13">
        <f>BD108*VLOOKUP('Données projet'!$B$11,Paramètres!$A$1:$I$89,3,0)*VLOOKUP('Données projet'!$B$11,Paramètres!$A$1:$I$89,5,0)</f>
        <v>200.75796000000039</v>
      </c>
      <c r="BF108" s="13">
        <f t="shared" si="91"/>
        <v>49.910707702719861</v>
      </c>
      <c r="BG108" s="20">
        <f t="shared" si="61"/>
        <v>436.58126291557113</v>
      </c>
      <c r="BH108" s="59">
        <f t="shared" si="62"/>
        <v>722.5238375090579</v>
      </c>
      <c r="BI108" s="59">
        <f ca="1">AVERAGE(OFFSET($BH$3,0,0,'Données projet'!$E$11+1,1))-AVERAGE(OFFSET($H$3,0,0,'Données projet'!$E$11+1,1))</f>
        <v>355.12987360915633</v>
      </c>
      <c r="BJ108" s="59">
        <f t="shared" si="92"/>
        <v>286.78588538798715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70.530186643731255</v>
      </c>
      <c r="BQ108" s="21">
        <f>EXP(-LN(2)/25)*BQ107+(1-EXP(-LN(2)/25))/(LN(2)/25)*Calculateur!BL108*Calculateur!BN108*VLOOKUP('Données projet'!$B$11,Paramètres!$A$1:$I$89,3,0)*0.475*44/12</f>
        <v>24.092120882035086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94.622307525766345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67.984338525496383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67.984338525496383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67.984338525496383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67.984338525496383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67.984338525496383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67.984338525496383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67.984338525496383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1.7000000000000002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6.2333333333333343</v>
      </c>
      <c r="H109" s="67">
        <f t="shared" si="56"/>
        <v>216.48000000000002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68.019305745735082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312.21112796780687</v>
      </c>
      <c r="T109" s="59">
        <f t="shared" si="88"/>
        <v>318.74634178809458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55.613009543393957</v>
      </c>
      <c r="AA109" s="21">
        <f>EXP(-LN(2)/25)*AA108+(1-EXP(-LN(2)/25))/(LN(2)/25)*Calculateur!V109*Calculateur!X109*VLOOKUP('Données projet'!$B$9,Paramètres!$A$1:$I$89,3,0)*0.475*44/12</f>
        <v>23.936575735823418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79.549585279217382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68.019305745735082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290.52223200000043</v>
      </c>
      <c r="AK109" s="13">
        <f t="shared" si="89"/>
        <v>69.185862279978352</v>
      </c>
      <c r="AL109" s="20">
        <f t="shared" si="58"/>
        <v>626.49159753762979</v>
      </c>
      <c r="AM109" s="59">
        <f t="shared" si="59"/>
        <v>912.56238527199184</v>
      </c>
      <c r="AN109" s="59">
        <f ca="1">AVERAGE(OFFSET($AM$3,0,0,'Données projet'!$E$10+1,1))-AVERAGE(OFFSET($H$3,0,0,'Données projet'!$E$10+1,1))</f>
        <v>608.11285041597125</v>
      </c>
      <c r="AO109" s="59">
        <f t="shared" si="90"/>
        <v>282.40007659049331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55.422609999156386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55.422609999156386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68.019305745735082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9.0474999999999994</v>
      </c>
      <c r="BD109" s="12">
        <f>IF('Données projet'!$A$88&gt;35,BD108+BC109-BL108,IF(A109&lt;'Données projet'!$A$88,$BA$205^A109,IF(A109='Données projet'!$A$88,'Données projet'!$B$88,BD108+BC109-BL108)))</f>
        <v>438.01750000000084</v>
      </c>
      <c r="BE109" s="13">
        <f>BD109*VLOOKUP('Données projet'!$B$11,Paramètres!$A$1:$I$89,3,0)*VLOOKUP('Données projet'!$B$11,Paramètres!$A$1:$I$89,5,0)</f>
        <v>204.99219000000039</v>
      </c>
      <c r="BF109" s="13">
        <f t="shared" si="91"/>
        <v>50.839720767115892</v>
      </c>
      <c r="BG109" s="20">
        <f t="shared" si="61"/>
        <v>445.57391125272744</v>
      </c>
      <c r="BH109" s="59">
        <f t="shared" si="62"/>
        <v>731.64469898708944</v>
      </c>
      <c r="BI109" s="59">
        <f ca="1">AVERAGE(OFFSET($BH$3,0,0,'Données projet'!$E$11+1,1))-AVERAGE(OFFSET($H$3,0,0,'Données projet'!$E$11+1,1))</f>
        <v>355.12987360915633</v>
      </c>
      <c r="BJ109" s="59">
        <f t="shared" si="92"/>
        <v>286.78588538798715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69.147132702813749</v>
      </c>
      <c r="BQ109" s="21">
        <f>EXP(-LN(2)/25)*BQ108+(1-EXP(-LN(2)/25))/(LN(2)/25)*Calculateur!BL109*Calculateur!BN109*VLOOKUP('Données projet'!$B$11,Paramètres!$A$1:$I$89,3,0)*0.475*44/12</f>
        <v>23.433320569566263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92.580453272380012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68.019305745735082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68.019305745735082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68.019305745735082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68.019305745735082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68.019305745735082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68.019305745735082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68.019305745735082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1.7000000000000002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6.2333333333333343</v>
      </c>
      <c r="H110" s="67">
        <f t="shared" si="56"/>
        <v>216.48000000000002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68.053666362877607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312.21112796780687</v>
      </c>
      <c r="T110" s="59">
        <f t="shared" si="88"/>
        <v>318.74634178809458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54.522472346834441</v>
      </c>
      <c r="AA110" s="21">
        <f>EXP(-LN(2)/25)*AA109+(1-EXP(-LN(2)/25))/(LN(2)/25)*Calculateur!V110*Calculateur!X110*VLOOKUP('Données projet'!$B$9,Paramètres!$A$1:$I$89,3,0)*0.475*44/12</f>
        <v>23.282028813557517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77.804501160391965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68.053666362877607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297.70182000000045</v>
      </c>
      <c r="AK110" s="13">
        <f t="shared" si="89"/>
        <v>70.69446125561177</v>
      </c>
      <c r="AL110" s="20">
        <f t="shared" si="58"/>
        <v>641.62352318685794</v>
      </c>
      <c r="AM110" s="59">
        <f t="shared" si="59"/>
        <v>927.82029985074246</v>
      </c>
      <c r="AN110" s="59">
        <f ca="1">AVERAGE(OFFSET($AM$3,0,0,'Données projet'!$E$10+1,1))-AVERAGE(OFFSET($H$3,0,0,'Données projet'!$E$10+1,1))</f>
        <v>608.11285041597125</v>
      </c>
      <c r="AO110" s="59">
        <f t="shared" si="90"/>
        <v>282.40007659049331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54.335806421527117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54.335806421527117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68.053666362877607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9.0474999999999994</v>
      </c>
      <c r="BD110" s="12">
        <f>IF('Données projet'!$A$88&gt;35,BD109+BC110-BL109,IF(A110&lt;'Données projet'!$A$88,$BA$205^A110,IF(A110='Données projet'!$A$88,'Données projet'!$B$88,BD109+BC110-BL109)))</f>
        <v>447.06500000000085</v>
      </c>
      <c r="BE110" s="13">
        <f>BD110*VLOOKUP('Données projet'!$B$11,Paramètres!$A$1:$I$89,3,0)*VLOOKUP('Données projet'!$B$11,Paramètres!$A$1:$I$89,5,0)</f>
        <v>209.22642000000042</v>
      </c>
      <c r="BF110" s="13">
        <f t="shared" si="91"/>
        <v>51.76650271324506</v>
      </c>
      <c r="BG110" s="20">
        <f t="shared" si="61"/>
        <v>454.56267372556914</v>
      </c>
      <c r="BH110" s="59">
        <f t="shared" si="62"/>
        <v>740.75945038945372</v>
      </c>
      <c r="BI110" s="59">
        <f ca="1">AVERAGE(OFFSET($BH$3,0,0,'Données projet'!$E$11+1,1))-AVERAGE(OFFSET($H$3,0,0,'Données projet'!$E$11+1,1))</f>
        <v>355.12987360915633</v>
      </c>
      <c r="BJ110" s="59">
        <f t="shared" si="92"/>
        <v>286.78588538798715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67.791199606098033</v>
      </c>
      <c r="BQ110" s="21">
        <f>EXP(-LN(2)/25)*BQ109+(1-EXP(-LN(2)/25))/(LN(2)/25)*Calculateur!BL110*Calculateur!BN110*VLOOKUP('Données projet'!$B$11,Paramètres!$A$1:$I$89,3,0)*0.475*44/12</f>
        <v>22.792535186286702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90.583734792384732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68.053666362877607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68.053666362877607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68.053666362877607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68.053666362877607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68.053666362877607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68.053666362877607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68.053666362877607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1.7000000000000002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6.2333333333333343</v>
      </c>
      <c r="H111" s="67">
        <f t="shared" si="56"/>
        <v>216.48000000000002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68.087430900131551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312.21112796780687</v>
      </c>
      <c r="T111" s="59">
        <f t="shared" si="88"/>
        <v>318.74634178809458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53.453319919537449</v>
      </c>
      <c r="AA111" s="21">
        <f>EXP(-LN(2)/25)*AA110+(1-EXP(-LN(2)/25))/(LN(2)/25)*Calculateur!V111*Calculateur!X111*VLOOKUP('Données projet'!$B$9,Paramètres!$A$1:$I$89,3,0)*0.475*44/12</f>
        <v>22.645380511302104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76.098700430839557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68.087430900131551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304.88140800000042</v>
      </c>
      <c r="AK111" s="13">
        <f t="shared" si="89"/>
        <v>72.198830820277394</v>
      </c>
      <c r="AL111" s="20">
        <f t="shared" si="58"/>
        <v>656.74808261198393</v>
      </c>
      <c r="AM111" s="59">
        <f t="shared" si="59"/>
        <v>943.06866257913293</v>
      </c>
      <c r="AN111" s="59">
        <f ca="1">AVERAGE(OFFSET($AM$3,0,0,'Données projet'!$E$10+1,1))-AVERAGE(OFFSET($H$3,0,0,'Données projet'!$E$10+1,1))</f>
        <v>608.11285041597125</v>
      </c>
      <c r="AO111" s="59">
        <f t="shared" si="90"/>
        <v>282.40007659049331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53.270314399170431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53.270314399170431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68.087430900131551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9.0474999999999994</v>
      </c>
      <c r="BD111" s="12">
        <f>IF('Données projet'!$A$88&gt;35,BD110+BC111-BL110,IF(A111&lt;'Données projet'!$A$88,$BA$205^A111,IF(A111='Données projet'!$A$88,'Données projet'!$B$88,BD110+BC111-BL110)))</f>
        <v>456.11250000000086</v>
      </c>
      <c r="BE111" s="13">
        <f>BD111*VLOOKUP('Données projet'!$B$11,Paramètres!$A$1:$I$89,3,0)*VLOOKUP('Données projet'!$B$11,Paramètres!$A$1:$I$89,5,0)</f>
        <v>213.46065000000041</v>
      </c>
      <c r="BF111" s="13">
        <f t="shared" si="91"/>
        <v>52.691103896821531</v>
      </c>
      <c r="BG111" s="20">
        <f t="shared" si="61"/>
        <v>463.54763803696488</v>
      </c>
      <c r="BH111" s="59">
        <f t="shared" si="62"/>
        <v>749.86821800411394</v>
      </c>
      <c r="BI111" s="59">
        <f ca="1">AVERAGE(OFFSET($BH$3,0,0,'Données projet'!$E$11+1,1))-AVERAGE(OFFSET($H$3,0,0,'Données projet'!$E$11+1,1))</f>
        <v>355.12987360915633</v>
      </c>
      <c r="BJ111" s="59">
        <f t="shared" si="92"/>
        <v>286.78588538798715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66.46185553037138</v>
      </c>
      <c r="BQ111" s="21">
        <f>EXP(-LN(2)/25)*BQ110+(1-EXP(-LN(2)/25))/(LN(2)/25)*Calculateur!BL111*Calculateur!BN111*VLOOKUP('Données projet'!$B$11,Paramètres!$A$1:$I$89,3,0)*0.475*44/12</f>
        <v>22.169272113010361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88.631127643381745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68.087430900131551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68.087430900131551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68.087430900131551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68.087430900131551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68.087430900131551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68.087430900131551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68.087430900131551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1.7000000000000002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6.2333333333333343</v>
      </c>
      <c r="H112" s="67">
        <f t="shared" si="56"/>
        <v>216.48000000000002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68.120609698150332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312.21112796780687</v>
      </c>
      <c r="T112" s="59">
        <f t="shared" si="88"/>
        <v>318.74634178809458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52.40513291922116</v>
      </c>
      <c r="AA112" s="21">
        <f>EXP(-LN(2)/25)*AA111+(1-EXP(-LN(2)/25))/(LN(2)/25)*Calculateur!V112*Calculateur!X112*VLOOKUP('Données projet'!$B$9,Paramètres!$A$1:$I$89,3,0)*0.475*44/12</f>
        <v>22.026141390351743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74.431274309572899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68.120609698150332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312.06099600000044</v>
      </c>
      <c r="AK112" s="13">
        <f t="shared" si="89"/>
        <v>73.699082033131035</v>
      </c>
      <c r="AL112" s="20">
        <f t="shared" si="58"/>
        <v>671.86546924103743</v>
      </c>
      <c r="AM112" s="59">
        <f t="shared" si="59"/>
        <v>958.30770480092201</v>
      </c>
      <c r="AN112" s="59">
        <f ca="1">AVERAGE(OFFSET($AM$3,0,0,'Données projet'!$E$10+1,1))-AVERAGE(OFFSET($H$3,0,0,'Données projet'!$E$10+1,1))</f>
        <v>608.11285041597125</v>
      </c>
      <c r="AO112" s="59">
        <f t="shared" si="90"/>
        <v>282.40007659049331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52.225716025486193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52.225716025486193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68.120609698150332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465.16</v>
      </c>
      <c r="BB112" s="12">
        <f>VLOOKUP(A112,'Données projet'!$A$87:$I$107,9,0)</f>
        <v>9.0474999999999994</v>
      </c>
      <c r="BC112" s="12">
        <f t="array" ref="BC112">INDEX(BB:BB,MIN(IF(ISNUMBER(BB112:BB308),ROW(BB112:BB308),"")))</f>
        <v>9.0474999999999994</v>
      </c>
      <c r="BD112" s="12">
        <f>IF('Données projet'!$A$88&gt;35,BD111+BC112-BL111,IF(A112&lt;'Données projet'!$A$88,$BA$205^A112,IF(A112='Données projet'!$A$88,'Données projet'!$B$88,BD111+BC112-BL111)))</f>
        <v>465.16000000000088</v>
      </c>
      <c r="BE112" s="13">
        <f>BD112*VLOOKUP('Données projet'!$B$11,Paramètres!$A$1:$I$89,3,0)*VLOOKUP('Données projet'!$B$11,Paramètres!$A$1:$I$89,5,0)</f>
        <v>217.69488000000038</v>
      </c>
      <c r="BF112" s="13">
        <f t="shared" si="91"/>
        <v>53.613572561591781</v>
      </c>
      <c r="BG112" s="20">
        <f t="shared" si="61"/>
        <v>472.52888821143966</v>
      </c>
      <c r="BH112" s="59">
        <f t="shared" si="62"/>
        <v>758.97112377132419</v>
      </c>
      <c r="BI112" s="59">
        <f ca="1">AVERAGE(OFFSET($BH$3,0,0,'Données projet'!$E$11+1,1))-AVERAGE(OFFSET($H$3,0,0,'Données projet'!$E$11+1,1))</f>
        <v>355.12987360915633</v>
      </c>
      <c r="BJ112" s="59">
        <f t="shared" si="92"/>
        <v>286.78588538798715</v>
      </c>
      <c r="BK112" s="15">
        <f>IF(ISNA(VLOOKUP(A112,'Données projet'!$A$87:$I$107,3,0)),0,VLOOKUP(A112,'Données projet'!$A$87:$I$107,3,0))</f>
        <v>6</v>
      </c>
      <c r="BL112" s="15">
        <f>IF(ISNA(VLOOKUP(A112,'Données projet'!$A$87:$I$107,4,0)),0,VLOOKUP(A112,'Données projet'!$A$87:$I$107,4,0))</f>
        <v>91.09</v>
      </c>
      <c r="BM112" s="16">
        <f>IF(ISNA(VLOOKUP(A112,'Données projet'!$A$87:$I$107,5,0)),0%,VLOOKUP(A112,'Données projet'!$A$87:$I$107,5,0)*VLOOKUP('Données projet'!$B$11,Paramètres!$A$1:$I$89,7,0))</f>
        <v>0.38500000000000001</v>
      </c>
      <c r="BN112" s="16">
        <f>IF(ISNA(VLOOKUP(A112,'Données projet'!$A$87:$I$107,6,0)),0%,VLOOKUP(A112,'Données projet'!$A$87:$I$107,6,0)*VLOOKUP('Données projet'!$B$11,Paramètres!$A$1:$I$89,7,0))</f>
        <v>0.16500000000000001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86.930945821551987</v>
      </c>
      <c r="BQ112" s="21">
        <f>EXP(-LN(2)/25)*BQ111+(1-EXP(-LN(2)/25))/(LN(2)/25)*Calculateur!BL112*Calculateur!BN112*VLOOKUP('Données projet'!$B$11,Paramètres!$A$1:$I$89,3,0)*0.475*44/12</f>
        <v>30.857326759801449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117.78827258135344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68.120609698150332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68.120609698150332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68.120609698150332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68.120609698150332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68.120609698150332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68.120609698150332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68.120609698150332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1.7000000000000002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6.2333333333333343</v>
      </c>
      <c r="H113" s="67">
        <f t="shared" si="56"/>
        <v>216.48000000000002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68.153212918200168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312.21112796780687</v>
      </c>
      <c r="T113" s="59">
        <f t="shared" si="88"/>
        <v>318.74634178809458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51.377500226650135</v>
      </c>
      <c r="AA113" s="21">
        <f>EXP(-LN(2)/25)*AA112+(1-EXP(-LN(2)/25))/(LN(2)/25)*Calculateur!V113*Calculateur!X113*VLOOKUP('Données projet'!$B$9,Paramètres!$A$1:$I$89,3,0)*0.475*44/12</f>
        <v>21.42383539572814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72.801335622378275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68.153212918200168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319.24058400000041</v>
      </c>
      <c r="AK113" s="13">
        <f t="shared" si="89"/>
        <v>75.195320551435159</v>
      </c>
      <c r="AL113" s="20">
        <f t="shared" si="58"/>
        <v>686.97586709375025</v>
      </c>
      <c r="AM113" s="59">
        <f t="shared" si="59"/>
        <v>973.53764779381754</v>
      </c>
      <c r="AN113" s="59">
        <f ca="1">AVERAGE(OFFSET($AM$3,0,0,'Données projet'!$E$10+1,1))-AVERAGE(OFFSET($H$3,0,0,'Données projet'!$E$10+1,1))</f>
        <v>608.11285041597125</v>
      </c>
      <c r="AO113" s="59">
        <f t="shared" si="90"/>
        <v>282.40007659049331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51.201601588767808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51.201601588767808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68.153212918200168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8.0958333333333314</v>
      </c>
      <c r="BD113" s="12">
        <f>IF('Données projet'!$A$88&gt;35,BD112+BC113-BL112,IF(A113&lt;'Données projet'!$A$88,$BA$205^A113,IF(A113='Données projet'!$A$88,'Données projet'!$B$88,BD112+BC113-BL112)))</f>
        <v>382.16583333333415</v>
      </c>
      <c r="BE113" s="13">
        <f>BD113*VLOOKUP('Données projet'!$B$11,Paramètres!$A$1:$I$89,3,0)*VLOOKUP('Données projet'!$B$11,Paramètres!$A$1:$I$89,5,0)</f>
        <v>178.85361000000037</v>
      </c>
      <c r="BF113" s="13">
        <f t="shared" si="91"/>
        <v>45.067040749095575</v>
      </c>
      <c r="BG113" s="20">
        <f t="shared" si="61"/>
        <v>389.99513338800875</v>
      </c>
      <c r="BH113" s="59">
        <f t="shared" si="62"/>
        <v>676.55691408807604</v>
      </c>
      <c r="BI113" s="59">
        <f ca="1">AVERAGE(OFFSET($BH$3,0,0,'Données projet'!$E$11+1,1))-AVERAGE(OFFSET($H$3,0,0,'Données projet'!$E$11+1,1))</f>
        <v>355.12987360915633</v>
      </c>
      <c r="BJ113" s="59">
        <f t="shared" si="92"/>
        <v>286.78588538798715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85.226282996632747</v>
      </c>
      <c r="BQ113" s="21">
        <f>EXP(-LN(2)/25)*BQ112+(1-EXP(-LN(2)/25))/(LN(2)/25)*Calculateur!BL113*Calculateur!BN113*VLOOKUP('Données projet'!$B$11,Paramètres!$A$1:$I$89,3,0)*0.475*44/12</f>
        <v>30.013531536838389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115.23981453347113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68.153212918200168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68.153212918200168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68.153212918200168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68.153212918200168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68.153212918200168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68.153212918200168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68.153212918200168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1.7000000000000002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6.2333333333333343</v>
      </c>
      <c r="H114" s="67">
        <f t="shared" si="56"/>
        <v>216.48000000000002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68.185250545272012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312.21112796780687</v>
      </c>
      <c r="T114" s="59">
        <f t="shared" si="88"/>
        <v>318.74634178809458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50.370018784386374</v>
      </c>
      <c r="AA114" s="21">
        <f>EXP(-LN(2)/25)*AA113+(1-EXP(-LN(2)/25))/(LN(2)/25)*Calculateur!V114*Calculateur!X114*VLOOKUP('Données projet'!$B$9,Paramètres!$A$1:$I$89,3,0)*0.475*44/12</f>
        <v>20.837999490201415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71.208018274587786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68.185250545272012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326.42017200000043</v>
      </c>
      <c r="AK114" s="13">
        <f t="shared" si="89"/>
        <v>76.687647008791089</v>
      </c>
      <c r="AL114" s="20">
        <f t="shared" si="58"/>
        <v>702.07945144031191</v>
      </c>
      <c r="AM114" s="59">
        <f t="shared" si="59"/>
        <v>988.75870343964266</v>
      </c>
      <c r="AN114" s="59">
        <f ca="1">AVERAGE(OFFSET($AM$3,0,0,'Données projet'!$E$10+1,1))-AVERAGE(OFFSET($H$3,0,0,'Données projet'!$E$10+1,1))</f>
        <v>608.11285041597125</v>
      </c>
      <c r="AO114" s="59">
        <f t="shared" si="90"/>
        <v>282.40007659049331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50.197569411505341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50.197569411505341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68.185250545272012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8.0958333333333314</v>
      </c>
      <c r="BD114" s="12">
        <f>IF('Données projet'!$A$88&gt;35,BD113+BC114-BL113,IF(A114&lt;'Données projet'!$A$88,$BA$205^A114,IF(A114='Données projet'!$A$88,'Données projet'!$B$88,BD113+BC114-BL113)))</f>
        <v>390.26166666666745</v>
      </c>
      <c r="BE114" s="13">
        <f>BD114*VLOOKUP('Données projet'!$B$11,Paramètres!$A$1:$I$89,3,0)*VLOOKUP('Données projet'!$B$11,Paramètres!$A$1:$I$89,5,0)</f>
        <v>182.6424600000004</v>
      </c>
      <c r="BF114" s="13">
        <f t="shared" si="91"/>
        <v>45.909585257164984</v>
      </c>
      <c r="BG114" s="20">
        <f t="shared" si="61"/>
        <v>398.06147882289639</v>
      </c>
      <c r="BH114" s="59">
        <f t="shared" si="62"/>
        <v>684.74073082222708</v>
      </c>
      <c r="BI114" s="59">
        <f ca="1">AVERAGE(OFFSET($BH$3,0,0,'Données projet'!$E$11+1,1))-AVERAGE(OFFSET($H$3,0,0,'Données projet'!$E$11+1,1))</f>
        <v>355.12987360915633</v>
      </c>
      <c r="BJ114" s="59">
        <f t="shared" si="92"/>
        <v>286.78588538798715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83.555047569968522</v>
      </c>
      <c r="BQ114" s="21">
        <f>EXP(-LN(2)/25)*BQ113+(1-EXP(-LN(2)/25))/(LN(2)/25)*Calculateur!BL114*Calculateur!BN114*VLOOKUP('Données projet'!$B$11,Paramètres!$A$1:$I$89,3,0)*0.475*44/12</f>
        <v>29.192809938620517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112.74785750858904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68.185250545272012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68.185250545272012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68.185250545272012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68.185250545272012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68.185250545272012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68.185250545272012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68.185250545272012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1.7000000000000002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6.2333333333333343</v>
      </c>
      <c r="H115" s="67">
        <f t="shared" si="56"/>
        <v>216.48000000000002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68.216732391139573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312.21112796780687</v>
      </c>
      <c r="T115" s="59">
        <f t="shared" si="88"/>
        <v>318.74634178809458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49.382293438702405</v>
      </c>
      <c r="AA115" s="21">
        <f>EXP(-LN(2)/25)*AA114+(1-EXP(-LN(2)/25))/(LN(2)/25)*Calculateur!V115*Calculateur!X115*VLOOKUP('Données projet'!$B$9,Paramètres!$A$1:$I$89,3,0)*0.475*44/12</f>
        <v>20.268183298319091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69.650476737021492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68.216732391139573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333.59976000000046</v>
      </c>
      <c r="AK115" s="13">
        <f t="shared" si="89"/>
        <v>78.17615735915706</v>
      </c>
      <c r="AL115" s="20">
        <f t="shared" si="58"/>
        <v>717.17638940053257</v>
      </c>
      <c r="AM115" s="59">
        <f t="shared" si="59"/>
        <v>1003.9710748347111</v>
      </c>
      <c r="AN115" s="59">
        <f ca="1">AVERAGE(OFFSET($AM$3,0,0,'Données projet'!$E$10+1,1))-AVERAGE(OFFSET($H$3,0,0,'Données projet'!$E$10+1,1))</f>
        <v>608.11285041597125</v>
      </c>
      <c r="AO115" s="59">
        <f t="shared" si="90"/>
        <v>282.40007659049331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49.213225692839835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49.213225692839835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68.216732391139573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8.0958333333333314</v>
      </c>
      <c r="BD115" s="12">
        <f>IF('Données projet'!$A$88&gt;35,BD114+BC115-BL114,IF(A115&lt;'Données projet'!$A$88,$BA$205^A115,IF(A115='Données projet'!$A$88,'Données projet'!$B$88,BD114+BC115-BL114)))</f>
        <v>398.35750000000075</v>
      </c>
      <c r="BE115" s="13">
        <f>BD115*VLOOKUP('Données projet'!$B$11,Paramètres!$A$1:$I$89,3,0)*VLOOKUP('Données projet'!$B$11,Paramètres!$A$1:$I$89,5,0)</f>
        <v>186.43131000000037</v>
      </c>
      <c r="BF115" s="13">
        <f t="shared" si="91"/>
        <v>46.750097594518834</v>
      </c>
      <c r="BG115" s="20">
        <f t="shared" si="61"/>
        <v>406.12428489378766</v>
      </c>
      <c r="BH115" s="59">
        <f t="shared" si="62"/>
        <v>692.91897032796612</v>
      </c>
      <c r="BI115" s="59">
        <f ca="1">AVERAGE(OFFSET($BH$3,0,0,'Données projet'!$E$11+1,1))-AVERAGE(OFFSET($H$3,0,0,'Données projet'!$E$11+1,1))</f>
        <v>355.12987360915633</v>
      </c>
      <c r="BJ115" s="59">
        <f t="shared" si="92"/>
        <v>286.78588538798715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81.91658405066822</v>
      </c>
      <c r="BQ115" s="21">
        <f>EXP(-LN(2)/25)*BQ114+(1-EXP(-LN(2)/25))/(LN(2)/25)*Calculateur!BL115*Calculateur!BN115*VLOOKUP('Données projet'!$B$11,Paramètres!$A$1:$I$89,3,0)*0.475*44/12</f>
        <v>28.394531015665784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110.311115066334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68.216732391139573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68.216732391139573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68.216732391139573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68.216732391139573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68.216732391139573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68.216732391139573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68.216732391139573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1.7000000000000002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6.2333333333333343</v>
      </c>
      <c r="H116" s="67">
        <f t="shared" si="56"/>
        <v>216.48000000000002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68.247668097364198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312.21112796780687</v>
      </c>
      <c r="T116" s="59">
        <f t="shared" si="88"/>
        <v>318.74634178809458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48.41393678459432</v>
      </c>
      <c r="AA116" s="21">
        <f>EXP(-LN(2)/25)*AA115+(1-EXP(-LN(2)/25))/(LN(2)/25)*Calculateur!V116*Calculateur!X116*VLOOKUP('Données projet'!$B$9,Paramètres!$A$1:$I$89,3,0)*0.475*44/12</f>
        <v>19.713948760169121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68.127885544763444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68.247668097364198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340.77934800000043</v>
      </c>
      <c r="AK116" s="13">
        <f t="shared" si="89"/>
        <v>79.660943190415296</v>
      </c>
      <c r="AL116" s="20">
        <f t="shared" si="58"/>
        <v>732.26684048997402</v>
      </c>
      <c r="AM116" s="59">
        <f t="shared" si="59"/>
        <v>1019.1749568469761</v>
      </c>
      <c r="AN116" s="59">
        <f ca="1">AVERAGE(OFFSET($AM$3,0,0,'Données projet'!$E$10+1,1))-AVERAGE(OFFSET($H$3,0,0,'Données projet'!$E$10+1,1))</f>
        <v>608.11285041597125</v>
      </c>
      <c r="AO116" s="59">
        <f t="shared" si="90"/>
        <v>282.40007659049331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48.248184354106975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48.248184354106975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68.247668097364198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8.0958333333333314</v>
      </c>
      <c r="BD116" s="12">
        <f>IF('Données projet'!$A$88&gt;35,BD115+BC116-BL115,IF(A116&lt;'Données projet'!$A$88,$BA$205^A116,IF(A116='Données projet'!$A$88,'Données projet'!$B$88,BD115+BC116-BL115)))</f>
        <v>406.45333333333406</v>
      </c>
      <c r="BE116" s="13">
        <f>BD116*VLOOKUP('Données projet'!$B$11,Paramètres!$A$1:$I$89,3,0)*VLOOKUP('Données projet'!$B$11,Paramètres!$A$1:$I$89,5,0)</f>
        <v>190.22016000000033</v>
      </c>
      <c r="BF116" s="13">
        <f t="shared" si="91"/>
        <v>47.58862382024622</v>
      </c>
      <c r="BG116" s="20">
        <f t="shared" si="61"/>
        <v>414.18363182026269</v>
      </c>
      <c r="BH116" s="59">
        <f t="shared" si="62"/>
        <v>701.09174817726466</v>
      </c>
      <c r="BI116" s="59">
        <f ca="1">AVERAGE(OFFSET($BH$3,0,0,'Données projet'!$E$11+1,1))-AVERAGE(OFFSET($H$3,0,0,'Données projet'!$E$11+1,1))</f>
        <v>355.12987360915633</v>
      </c>
      <c r="BJ116" s="59">
        <f t="shared" si="92"/>
        <v>286.78588538798715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80.310249801617331</v>
      </c>
      <c r="BQ116" s="21">
        <f>EXP(-LN(2)/25)*BQ115+(1-EXP(-LN(2)/25))/(LN(2)/25)*Calculateur!BL116*Calculateur!BN116*VLOOKUP('Données projet'!$B$11,Paramètres!$A$1:$I$89,3,0)*0.475*44/12</f>
        <v>27.618081071838912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107.92833087345625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68.247668097364198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68.247668097364198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68.247668097364198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68.247668097364198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68.247668097364198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68.247668097364198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68.247668097364198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1.7000000000000002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6.2333333333333343</v>
      </c>
      <c r="H117" s="67">
        <f t="shared" si="56"/>
        <v>216.48000000000002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68.278067138247692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312.21112796780687</v>
      </c>
      <c r="T117" s="59">
        <f t="shared" si="88"/>
        <v>318.74634178809458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47.464569013834058</v>
      </c>
      <c r="AA117" s="21">
        <f>EXP(-LN(2)/25)*AA116+(1-EXP(-LN(2)/25))/(LN(2)/25)*Calculateur!V117*Calculateur!X117*VLOOKUP('Données projet'!$B$9,Paramètres!$A$1:$I$89,3,0)*0.475*44/12</f>
        <v>19.174869794610789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66.639438808444851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68.278067138247692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347.95893600000045</v>
      </c>
      <c r="AK117" s="13">
        <f t="shared" si="89"/>
        <v>81.142092010767954</v>
      </c>
      <c r="AL117" s="20">
        <f t="shared" si="58"/>
        <v>747.35095711875499</v>
      </c>
      <c r="AM117" s="59">
        <f t="shared" si="59"/>
        <v>1034.3705366256631</v>
      </c>
      <c r="AN117" s="59">
        <f ca="1">AVERAGE(OFFSET($AM$3,0,0,'Données projet'!$E$10+1,1))-AVERAGE(OFFSET($H$3,0,0,'Données projet'!$E$10+1,1))</f>
        <v>608.11285041597125</v>
      </c>
      <c r="AO117" s="59">
        <f t="shared" si="90"/>
        <v>282.40007659049331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61.771448286126386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61.771448286126386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68.278067138247692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8.0958333333333314</v>
      </c>
      <c r="BD117" s="12">
        <f>IF('Données projet'!$A$88&gt;35,BD116+BC117-BL116,IF(A117&lt;'Données projet'!$A$88,$BA$205^A117,IF(A117='Données projet'!$A$88,'Données projet'!$B$88,BD116+BC117-BL116)))</f>
        <v>414.54916666666736</v>
      </c>
      <c r="BE117" s="13">
        <f>BD117*VLOOKUP('Données projet'!$B$11,Paramètres!$A$1:$I$89,3,0)*VLOOKUP('Données projet'!$B$11,Paramètres!$A$1:$I$89,5,0)</f>
        <v>194.00901000000033</v>
      </c>
      <c r="BF117" s="13">
        <f t="shared" si="91"/>
        <v>48.425208053681985</v>
      </c>
      <c r="BG117" s="20">
        <f t="shared" si="61"/>
        <v>422.23959644349662</v>
      </c>
      <c r="BH117" s="59">
        <f t="shared" si="62"/>
        <v>709.25917595040482</v>
      </c>
      <c r="BI117" s="59">
        <f ca="1">AVERAGE(OFFSET($BH$3,0,0,'Données projet'!$E$11+1,1))-AVERAGE(OFFSET($H$3,0,0,'Données projet'!$E$11+1,1))</f>
        <v>355.12987360915633</v>
      </c>
      <c r="BJ117" s="59">
        <f t="shared" si="92"/>
        <v>286.78588538798715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78.735414787423181</v>
      </c>
      <c r="BQ117" s="21">
        <f>EXP(-LN(2)/25)*BQ116+(1-EXP(-LN(2)/25))/(LN(2)/25)*Calculateur!BL117*Calculateur!BN117*VLOOKUP('Données projet'!$B$11,Paramètres!$A$1:$I$89,3,0)*0.475*44/12</f>
        <v>26.862863192557715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105.59827797998089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68.278067138247692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68.278067138247692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68.278067138247692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68.278067138247692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68.278067138247692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68.278067138247692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68.278067138247692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1.7000000000000002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6.2333333333333343</v>
      </c>
      <c r="H118" s="67">
        <f t="shared" si="56"/>
        <v>216.48000000000002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68.307938823733934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312.21112796780687</v>
      </c>
      <c r="T118" s="59">
        <f t="shared" si="88"/>
        <v>318.74634178809458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46.533817766001242</v>
      </c>
      <c r="AA118" s="21">
        <f>EXP(-LN(2)/25)*AA117+(1-EXP(-LN(2)/25))/(LN(2)/25)*Calculateur!V118*Calculateur!X118*VLOOKUP('Données projet'!$B$9,Paramètres!$A$1:$I$89,3,0)*0.475*44/12</f>
        <v>18.650531971714578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65.18434973771582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68.307938823733934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304.45796160000049</v>
      </c>
      <c r="AK118" s="13">
        <f t="shared" si="89"/>
        <v>72.11021964481435</v>
      </c>
      <c r="AL118" s="20">
        <f t="shared" si="58"/>
        <v>655.85624900138566</v>
      </c>
      <c r="AM118" s="59">
        <f t="shared" si="59"/>
        <v>942.98535802174342</v>
      </c>
      <c r="AN118" s="59">
        <f ca="1">AVERAGE(OFFSET($AM$3,0,0,'Données projet'!$E$10+1,1))-AVERAGE(OFFSET($H$3,0,0,'Données projet'!$E$10+1,1))</f>
        <v>608.11285041597125</v>
      </c>
      <c r="AO118" s="59">
        <f t="shared" si="90"/>
        <v>282.40007659049331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60.560147862098624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60.560147862098624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68.307938823733934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8.0958333333333314</v>
      </c>
      <c r="BD118" s="12">
        <f>IF('Données projet'!$A$88&gt;35,BD117+BC118-BL117,IF(A118&lt;'Données projet'!$A$88,$BA$205^A118,IF(A118='Données projet'!$A$88,'Données projet'!$B$88,BD117+BC118-BL117)))</f>
        <v>422.64500000000066</v>
      </c>
      <c r="BE118" s="13">
        <f>BD118*VLOOKUP('Données projet'!$B$11,Paramètres!$A$1:$I$89,3,0)*VLOOKUP('Données projet'!$B$11,Paramètres!$A$1:$I$89,5,0)</f>
        <v>197.7978600000003</v>
      </c>
      <c r="BF118" s="13">
        <f t="shared" si="91"/>
        <v>49.259892592357573</v>
      </c>
      <c r="BG118" s="20">
        <f t="shared" si="61"/>
        <v>430.29225243168997</v>
      </c>
      <c r="BH118" s="59">
        <f t="shared" si="62"/>
        <v>717.42136145204768</v>
      </c>
      <c r="BI118" s="59">
        <f ca="1">AVERAGE(OFFSET($BH$3,0,0,'Données projet'!$E$11+1,1))-AVERAGE(OFFSET($H$3,0,0,'Données projet'!$E$11+1,1))</f>
        <v>355.12987360915633</v>
      </c>
      <c r="BJ118" s="59">
        <f t="shared" si="92"/>
        <v>286.78588538798715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77.191461327302875</v>
      </c>
      <c r="BQ118" s="21">
        <f>EXP(-LN(2)/25)*BQ117+(1-EXP(-LN(2)/25))/(LN(2)/25)*Calculateur!BL118*Calculateur!BN118*VLOOKUP('Données projet'!$B$11,Paramètres!$A$1:$I$89,3,0)*0.475*44/12</f>
        <v>26.128296785900645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103.31975811320352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68.307938823733934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68.307938823733934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68.307938823733934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68.307938823733934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68.307938823733934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68.307938823733934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68.307938823733934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1.7000000000000002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6.2333333333333343</v>
      </c>
      <c r="H119" s="67">
        <f t="shared" si="56"/>
        <v>216.48000000000002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68.337292302260082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312.21112796780687</v>
      </c>
      <c r="T119" s="59">
        <f t="shared" si="88"/>
        <v>318.74634178809458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45.621317982436224</v>
      </c>
      <c r="AA119" s="21">
        <f>EXP(-LN(2)/25)*AA118+(1-EXP(-LN(2)/25))/(LN(2)/25)*Calculateur!V119*Calculateur!X119*VLOOKUP('Données projet'!$B$9,Paramètres!$A$1:$I$89,3,0)*0.475*44/12</f>
        <v>18.140532194159192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63.761850176595416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68.337292302260082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311.68912320000049</v>
      </c>
      <c r="AK119" s="13">
        <f t="shared" si="89"/>
        <v>73.621474685301479</v>
      </c>
      <c r="AL119" s="20">
        <f t="shared" si="58"/>
        <v>671.08262465023415</v>
      </c>
      <c r="AM119" s="59">
        <f t="shared" si="59"/>
        <v>958.31936309185448</v>
      </c>
      <c r="AN119" s="59">
        <f ca="1">AVERAGE(OFFSET($AM$3,0,0,'Données projet'!$E$10+1,1))-AVERAGE(OFFSET($H$3,0,0,'Données projet'!$E$10+1,1))</f>
        <v>608.11285041597125</v>
      </c>
      <c r="AO119" s="59">
        <f t="shared" si="90"/>
        <v>282.40007659049331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59.372600300565736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59.372600300565736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68.337292302260082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8.0958333333333314</v>
      </c>
      <c r="BD119" s="12">
        <f>IF('Données projet'!$A$88&gt;35,BD118+BC119-BL118,IF(A119&lt;'Données projet'!$A$88,$BA$205^A119,IF(A119='Données projet'!$A$88,'Données projet'!$B$88,BD118+BC119-BL118)))</f>
        <v>430.74083333333397</v>
      </c>
      <c r="BE119" s="13">
        <f>BD119*VLOOKUP('Données projet'!$B$11,Paramètres!$A$1:$I$89,3,0)*VLOOKUP('Données projet'!$B$11,Paramètres!$A$1:$I$89,5,0)</f>
        <v>201.58671000000029</v>
      </c>
      <c r="BF119" s="13">
        <f t="shared" si="91"/>
        <v>50.092718020659504</v>
      </c>
      <c r="BG119" s="20">
        <f t="shared" si="61"/>
        <v>438.34167046931583</v>
      </c>
      <c r="BH119" s="59">
        <f t="shared" si="62"/>
        <v>725.5784089109361</v>
      </c>
      <c r="BI119" s="59">
        <f ca="1">AVERAGE(OFFSET($BH$3,0,0,'Données projet'!$E$11+1,1))-AVERAGE(OFFSET($H$3,0,0,'Données projet'!$E$11+1,1))</f>
        <v>355.12987360915633</v>
      </c>
      <c r="BJ119" s="59">
        <f t="shared" si="92"/>
        <v>286.78588538798715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75.677783852816901</v>
      </c>
      <c r="BQ119" s="21">
        <f>EXP(-LN(2)/25)*BQ118+(1-EXP(-LN(2)/25))/(LN(2)/25)*Calculateur!BL119*Calculateur!BN119*VLOOKUP('Données projet'!$B$11,Paramètres!$A$1:$I$89,3,0)*0.475*44/12</f>
        <v>25.413817136262782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101.09160098907968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68.337292302260082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68.337292302260082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68.337292302260082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68.337292302260082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68.337292302260082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68.337292302260082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68.337292302260082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1.7000000000000002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6.2333333333333343</v>
      </c>
      <c r="H120" s="67">
        <f t="shared" si="56"/>
        <v>216.48000000000002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68.366136563558342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312.21112796780687</v>
      </c>
      <c r="T120" s="59">
        <f t="shared" si="88"/>
        <v>318.74634178809458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44.726711763057004</v>
      </c>
      <c r="AA120" s="21">
        <f>EXP(-LN(2)/25)*AA119+(1-EXP(-LN(2)/25))/(LN(2)/25)*Calculateur!V120*Calculateur!X120*VLOOKUP('Données projet'!$B$9,Paramètres!$A$1:$I$89,3,0)*0.475*44/12</f>
        <v>17.644478387340783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62.371190150397787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68.366136563558342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318.9202848000005</v>
      </c>
      <c r="AK120" s="13">
        <f t="shared" si="89"/>
        <v>75.128653745521831</v>
      </c>
      <c r="AL120" s="20">
        <f t="shared" si="58"/>
        <v>686.30190130011806</v>
      </c>
      <c r="AM120" s="59">
        <f t="shared" si="59"/>
        <v>973.64440203316531</v>
      </c>
      <c r="AN120" s="59">
        <f ca="1">AVERAGE(OFFSET($AM$3,0,0,'Données projet'!$E$10+1,1))-AVERAGE(OFFSET($H$3,0,0,'Données projet'!$E$10+1,1))</f>
        <v>608.11285041597125</v>
      </c>
      <c r="AO120" s="59">
        <f t="shared" si="90"/>
        <v>282.40007659049331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58.208339822382015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58.208339822382015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68.366136563558342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8.0958333333333314</v>
      </c>
      <c r="BD120" s="12">
        <f>IF('Données projet'!$A$88&gt;35,BD119+BC120-BL119,IF(A120&lt;'Données projet'!$A$88,$BA$205^A120,IF(A120='Données projet'!$A$88,'Données projet'!$B$88,BD119+BC120-BL119)))</f>
        <v>438.83666666666727</v>
      </c>
      <c r="BE120" s="13">
        <f>BD120*VLOOKUP('Données projet'!$B$11,Paramètres!$A$1:$I$89,3,0)*VLOOKUP('Données projet'!$B$11,Paramètres!$A$1:$I$89,5,0)</f>
        <v>205.37556000000026</v>
      </c>
      <c r="BF120" s="13">
        <f t="shared" si="91"/>
        <v>50.923723310087418</v>
      </c>
      <c r="BG120" s="20">
        <f t="shared" si="61"/>
        <v>446.38791843173607</v>
      </c>
      <c r="BH120" s="59">
        <f t="shared" si="62"/>
        <v>733.73041916478337</v>
      </c>
      <c r="BI120" s="59">
        <f ca="1">AVERAGE(OFFSET($BH$3,0,0,'Données projet'!$E$11+1,1))-AVERAGE(OFFSET($H$3,0,0,'Données projet'!$E$11+1,1))</f>
        <v>355.12987360915633</v>
      </c>
      <c r="BJ120" s="59">
        <f t="shared" si="92"/>
        <v>286.78588538798715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74.193788670353499</v>
      </c>
      <c r="BQ120" s="21">
        <f>EXP(-LN(2)/25)*BQ119+(1-EXP(-LN(2)/25))/(LN(2)/25)*Calculateur!BL120*Calculateur!BN120*VLOOKUP('Données projet'!$B$11,Paramètres!$A$1:$I$89,3,0)*0.475*44/12</f>
        <v>24.718874970217119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98.912663640570614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68.366136563558342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68.366136563558342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68.366136563558342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68.366136563558342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68.366136563558342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68.366136563558342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68.366136563558342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1.7000000000000002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6.2333333333333343</v>
      </c>
      <c r="H121" s="67">
        <f t="shared" si="56"/>
        <v>216.48000000000002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68.394480441409186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312.21112796780687</v>
      </c>
      <c r="T121" s="59">
        <f t="shared" si="88"/>
        <v>318.74634178809458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43.849648225983898</v>
      </c>
      <c r="AA121" s="21">
        <f>EXP(-LN(2)/25)*AA120+(1-EXP(-LN(2)/25))/(LN(2)/25)*Calculateur!V121*Calculateur!X121*VLOOKUP('Données projet'!$B$9,Paramètres!$A$1:$I$89,3,0)*0.475*44/12</f>
        <v>17.161989197956157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61.011637423940059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68.394480441409186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326.15144640000051</v>
      </c>
      <c r="AK121" s="13">
        <f t="shared" si="89"/>
        <v>76.631859883081802</v>
      </c>
      <c r="AL121" s="20">
        <f t="shared" si="58"/>
        <v>701.51425844303503</v>
      </c>
      <c r="AM121" s="59">
        <f t="shared" si="59"/>
        <v>988.96068672820206</v>
      </c>
      <c r="AN121" s="59">
        <f ca="1">AVERAGE(OFFSET($AM$3,0,0,'Données projet'!$E$10+1,1))-AVERAGE(OFFSET($H$3,0,0,'Données projet'!$E$10+1,1))</f>
        <v>608.11285041597125</v>
      </c>
      <c r="AO121" s="59">
        <f t="shared" si="90"/>
        <v>282.40007659049331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57.066909782046707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57.066909782046707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68.394480441409186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8.0958333333333314</v>
      </c>
      <c r="BD121" s="12">
        <f>IF('Données projet'!$A$88&gt;35,BD120+BC121-BL120,IF(A121&lt;'Données projet'!$A$88,$BA$205^A121,IF(A121='Données projet'!$A$88,'Données projet'!$B$88,BD120+BC121-BL120)))</f>
        <v>446.93250000000057</v>
      </c>
      <c r="BE121" s="13">
        <f>BD121*VLOOKUP('Données projet'!$B$11,Paramètres!$A$1:$I$89,3,0)*VLOOKUP('Données projet'!$B$11,Paramètres!$A$1:$I$89,5,0)</f>
        <v>209.16441000000026</v>
      </c>
      <c r="BF121" s="13">
        <f t="shared" si="91"/>
        <v>51.752945911904789</v>
      </c>
      <c r="BG121" s="20">
        <f t="shared" si="61"/>
        <v>454.43106154656789</v>
      </c>
      <c r="BH121" s="59">
        <f t="shared" si="62"/>
        <v>741.87748983173492</v>
      </c>
      <c r="BI121" s="59">
        <f ca="1">AVERAGE(OFFSET($BH$3,0,0,'Données projet'!$E$11+1,1))-AVERAGE(OFFSET($H$3,0,0,'Données projet'!$E$11+1,1))</f>
        <v>355.12987360915633</v>
      </c>
      <c r="BJ121" s="59">
        <f t="shared" si="92"/>
        <v>286.78588538798715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72.738893728270526</v>
      </c>
      <c r="BQ121" s="21">
        <f>EXP(-LN(2)/25)*BQ120+(1-EXP(-LN(2)/25))/(LN(2)/25)*Calculateur!BL121*Calculateur!BN121*VLOOKUP('Données projet'!$B$11,Paramètres!$A$1:$I$89,3,0)*0.475*44/12</f>
        <v>24.042936034247393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96.781829762517916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68.394480441409186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68.394480441409186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68.394480441409186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68.394480441409186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68.394480441409186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68.394480441409186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68.394480441409186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1.7000000000000002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6.2333333333333343</v>
      </c>
      <c r="H122" s="67">
        <f t="shared" si="56"/>
        <v>216.48000000000002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68.422332616346736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312.21112796780687</v>
      </c>
      <c r="T122" s="59">
        <f t="shared" si="88"/>
        <v>318.74634178809458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42.989783369916857</v>
      </c>
      <c r="AA122" s="21">
        <f>EXP(-LN(2)/25)*AA121+(1-EXP(-LN(2)/25))/(LN(2)/25)*Calculateur!V122*Calculateur!X122*VLOOKUP('Données projet'!$B$9,Paramètres!$A$1:$I$89,3,0)*0.475*44/12</f>
        <v>16.692693700828258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59.682477070745115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68.422332616346736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333.38260800000052</v>
      </c>
      <c r="AK122" s="13">
        <f t="shared" si="89"/>
        <v>78.13119132485231</v>
      </c>
      <c r="AL122" s="20">
        <f t="shared" si="58"/>
        <v>716.71986715745197</v>
      </c>
      <c r="AM122" s="59">
        <f t="shared" si="59"/>
        <v>1004.2684200840567</v>
      </c>
      <c r="AN122" s="59">
        <f ca="1">AVERAGE(OFFSET($AM$3,0,0,'Données projet'!$E$10+1,1))-AVERAGE(OFFSET($H$3,0,0,'Données projet'!$E$10+1,1))</f>
        <v>608.11285041597125</v>
      </c>
      <c r="AO122" s="59">
        <f t="shared" si="90"/>
        <v>282.40007659049331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55.947862488598794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55.947862488598794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68.422332616346736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8.0958333333333314</v>
      </c>
      <c r="BD122" s="12">
        <f>IF('Données projet'!$A$88&gt;35,BD121+BC122-BL121,IF(A122&lt;'Données projet'!$A$88,$BA$205^A122,IF(A122='Données projet'!$A$88,'Données projet'!$B$88,BD121+BC122-BL121)))</f>
        <v>455.02833333333388</v>
      </c>
      <c r="BE122" s="13">
        <f>BD122*VLOOKUP('Données projet'!$B$11,Paramètres!$A$1:$I$89,3,0)*VLOOKUP('Données projet'!$B$11,Paramètres!$A$1:$I$89,5,0)</f>
        <v>212.95326000000023</v>
      </c>
      <c r="BF122" s="13">
        <f t="shared" si="91"/>
        <v>52.58042184288621</v>
      </c>
      <c r="BG122" s="20">
        <f t="shared" si="61"/>
        <v>462.47116254302722</v>
      </c>
      <c r="BH122" s="59">
        <f t="shared" si="62"/>
        <v>750.01971546963193</v>
      </c>
      <c r="BI122" s="59">
        <f ca="1">AVERAGE(OFFSET($BH$3,0,0,'Données projet'!$E$11+1,1))-AVERAGE(OFFSET($H$3,0,0,'Données projet'!$E$11+1,1))</f>
        <v>355.12987360915633</v>
      </c>
      <c r="BJ122" s="59">
        <f t="shared" si="92"/>
        <v>286.78588538798715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71.312528388603496</v>
      </c>
      <c r="BQ122" s="21">
        <f>EXP(-LN(2)/25)*BQ121+(1-EXP(-LN(2)/25))/(LN(2)/25)*Calculateur!BL122*Calculateur!BN122*VLOOKUP('Données projet'!$B$11,Paramètres!$A$1:$I$89,3,0)*0.475*44/12</f>
        <v>23.385480684027844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94.698009072631336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68.422332616346736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68.422332616346736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68.422332616346736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68.422332616346736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68.422332616346736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68.422332616346736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68.422332616346736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1.7000000000000002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6.2333333333333343</v>
      </c>
      <c r="H123" s="67">
        <f t="shared" si="56"/>
        <v>216.48000000000002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68.449701618317249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312.21112796780687</v>
      </c>
      <c r="T123" s="59">
        <f t="shared" si="88"/>
        <v>318.74634178809458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42.14677993921152</v>
      </c>
      <c r="AA123" s="21">
        <f>EXP(-LN(2)/25)*AA122+(1-EXP(-LN(2)/25))/(LN(2)/25)*Calculateur!V123*Calculateur!X123*VLOOKUP('Données projet'!$B$9,Paramètres!$A$1:$I$89,3,0)*0.475*44/12</f>
        <v>16.236231113748499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58.383011052960015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68.449701618317249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340.61376960000058</v>
      </c>
      <c r="AK123" s="13">
        <f t="shared" si="89"/>
        <v>79.626741793195919</v>
      </c>
      <c r="AL123" s="20">
        <f t="shared" si="58"/>
        <v>731.9188906764839</v>
      </c>
      <c r="AM123" s="59">
        <f t="shared" si="59"/>
        <v>1019.5677966103137</v>
      </c>
      <c r="AN123" s="59">
        <f ca="1">AVERAGE(OFFSET($AM$3,0,0,'Données projet'!$E$10+1,1))-AVERAGE(OFFSET($H$3,0,0,'Données projet'!$E$10+1,1))</f>
        <v>608.11285041597125</v>
      </c>
      <c r="AO123" s="59">
        <f t="shared" si="90"/>
        <v>282.40007659049331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54.850759030023944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54.850759030023944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68.449701618317249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8.0958333333333314</v>
      </c>
      <c r="BD123" s="12">
        <f>IF('Données projet'!$A$88&gt;35,BD122+BC123-BL122,IF(A123&lt;'Données projet'!$A$88,$BA$205^A123,IF(A123='Données projet'!$A$88,'Données projet'!$B$88,BD122+BC123-BL122)))</f>
        <v>463.12416666666718</v>
      </c>
      <c r="BE123" s="13">
        <f>BD123*VLOOKUP('Données projet'!$B$11,Paramètres!$A$1:$I$89,3,0)*VLOOKUP('Données projet'!$B$11,Paramètres!$A$1:$I$89,5,0)</f>
        <v>216.74211000000025</v>
      </c>
      <c r="BF123" s="13">
        <f t="shared" si="91"/>
        <v>53.406185764789505</v>
      </c>
      <c r="BG123" s="20">
        <f t="shared" si="61"/>
        <v>470.50828179034215</v>
      </c>
      <c r="BH123" s="59">
        <f t="shared" si="62"/>
        <v>758.15718772417199</v>
      </c>
      <c r="BI123" s="59">
        <f ca="1">AVERAGE(OFFSET($BH$3,0,0,'Données projet'!$E$11+1,1))-AVERAGE(OFFSET($H$3,0,0,'Données projet'!$E$11+1,1))</f>
        <v>355.12987360915633</v>
      </c>
      <c r="BJ123" s="59">
        <f t="shared" si="92"/>
        <v>286.78588538798715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69.914133203250387</v>
      </c>
      <c r="BQ123" s="21">
        <f>EXP(-LN(2)/25)*BQ122+(1-EXP(-LN(2)/25))/(LN(2)/25)*Calculateur!BL123*Calculateur!BN123*VLOOKUP('Données projet'!$B$11,Paramètres!$A$1:$I$89,3,0)*0.475*44/12</f>
        <v>22.746003484934121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92.660136688184508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68.449701618317249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68.449701618317249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68.449701618317249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68.449701618317249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68.449701618317249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68.449701618317249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68.449701618317249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1.7000000000000002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6.2333333333333343</v>
      </c>
      <c r="H124" s="67">
        <f t="shared" si="56"/>
        <v>216.48000000000002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68.476595829291512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312.21112796780687</v>
      </c>
      <c r="T124" s="59">
        <f t="shared" si="88"/>
        <v>318.74634178809458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41.32030729160099</v>
      </c>
      <c r="AA124" s="21">
        <f>EXP(-LN(2)/25)*AA123+(1-EXP(-LN(2)/25))/(LN(2)/25)*Calculateur!V124*Calculateur!X124*VLOOKUP('Données projet'!$B$9,Paramètres!$A$1:$I$89,3,0)*0.475*44/12</f>
        <v>15.79225052011676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57.11255781171775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68.476595829291512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347.84493120000059</v>
      </c>
      <c r="AK124" s="13">
        <f t="shared" si="89"/>
        <v>81.11860080370937</v>
      </c>
      <c r="AL124" s="20">
        <f t="shared" si="58"/>
        <v>747.11148490646144</v>
      </c>
      <c r="AM124" s="59">
        <f t="shared" si="59"/>
        <v>1034.859002947197</v>
      </c>
      <c r="AN124" s="59">
        <f ca="1">AVERAGE(OFFSET($AM$3,0,0,'Données projet'!$E$10+1,1))-AVERAGE(OFFSET($H$3,0,0,'Données projet'!$E$10+1,1))</f>
        <v>608.11285041597125</v>
      </c>
      <c r="AO124" s="59">
        <f t="shared" si="90"/>
        <v>282.40007659049331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53.775169101104709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53.775169101104709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68.476595829291512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>
        <f>VLOOKUP(A124,'Données projet'!$A$87:$I$107,2,0)</f>
        <v>471.22</v>
      </c>
      <c r="BB124" s="12">
        <f>VLOOKUP(A124,'Données projet'!$A$87:$I$107,9,0)</f>
        <v>8.0958333333333314</v>
      </c>
      <c r="BC124" s="12">
        <f t="array" ref="BC124">INDEX(BB:BB,MIN(IF(ISNUMBER(BB124:BB320),ROW(BB124:BB320),"")))</f>
        <v>8.0958333333333314</v>
      </c>
      <c r="BD124" s="12">
        <f>IF('Données projet'!$A$88&gt;35,BD123+BC124-BL123,IF(A124&lt;'Données projet'!$A$88,$BA$205^A124,IF(A124='Données projet'!$A$88,'Données projet'!$B$88,BD123+BC124-BL123)))</f>
        <v>471.22000000000048</v>
      </c>
      <c r="BE124" s="13">
        <f>BD124*VLOOKUP('Données projet'!$B$11,Paramètres!$A$1:$I$89,3,0)*VLOOKUP('Données projet'!$B$11,Paramètres!$A$1:$I$89,5,0)</f>
        <v>220.53096000000022</v>
      </c>
      <c r="BF124" s="13">
        <f t="shared" si="91"/>
        <v>54.230271058113757</v>
      </c>
      <c r="BG124" s="20">
        <f t="shared" si="61"/>
        <v>478.54247742621516</v>
      </c>
      <c r="BH124" s="59">
        <f t="shared" si="62"/>
        <v>766.2899954669507</v>
      </c>
      <c r="BI124" s="59">
        <f ca="1">AVERAGE(OFFSET($BH$3,0,0,'Données projet'!$E$11+1,1))-AVERAGE(OFFSET($H$3,0,0,'Données projet'!$E$11+1,1))</f>
        <v>355.12987360915633</v>
      </c>
      <c r="BJ124" s="59">
        <f t="shared" si="92"/>
        <v>286.78588538798715</v>
      </c>
      <c r="BK124" s="15">
        <f>IF(ISNA(VLOOKUP(A124,'Données projet'!$A$87:$I$107,3,0)),0,VLOOKUP(A124,'Données projet'!$A$87:$I$107,3,0))</f>
        <v>7</v>
      </c>
      <c r="BL124" s="15">
        <f>IF(ISNA(VLOOKUP(A124,'Données projet'!$A$87:$I$107,4,0)),0,VLOOKUP(A124,'Données projet'!$A$87:$I$107,4,0))</f>
        <v>233.54</v>
      </c>
      <c r="BM124" s="16">
        <f>IF(ISNA(VLOOKUP(A124,'Données projet'!$A$87:$I$107,5,0)),0%,VLOOKUP(A124,'Données projet'!$A$87:$I$107,5,0)*VLOOKUP('Données projet'!$B$11,Paramètres!$A$1:$I$89,7,0))</f>
        <v>0.38500000000000001</v>
      </c>
      <c r="BN124" s="16">
        <f>IF(ISNA(VLOOKUP(A124,'Données projet'!$A$87:$I$107,6,0)),0%,VLOOKUP(A124,'Données projet'!$A$87:$I$107,6,0)*VLOOKUP('Données projet'!$B$11,Paramètres!$A$1:$I$89,7,0))</f>
        <v>0.16500000000000001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124.36398007607445</v>
      </c>
      <c r="BQ124" s="21">
        <f>EXP(-LN(2)/25)*BQ123+(1-EXP(-LN(2)/25))/(LN(2)/25)*Calculateur!BL124*Calculateur!BN124*VLOOKUP('Données projet'!$B$11,Paramètres!$A$1:$I$89,3,0)*0.475*44/12</f>
        <v>45.953026770172727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170.31700684624718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68.476595829291512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68.476595829291512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68.476595829291512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68.476595829291512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68.476595829291512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68.476595829291512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68.476595829291512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1.7000000000000002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6.2333333333333343</v>
      </c>
      <c r="H125" s="67">
        <f t="shared" si="56"/>
        <v>216.48000000000002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68.50302348583179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312.21112796780687</v>
      </c>
      <c r="T125" s="59">
        <f t="shared" si="88"/>
        <v>318.74634178809458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40.510041268511564</v>
      </c>
      <c r="AA125" s="21">
        <f>EXP(-LN(2)/25)*AA124+(1-EXP(-LN(2)/25))/(LN(2)/25)*Calculateur!V125*Calculateur!X125*VLOOKUP('Données projet'!$B$9,Paramètres!$A$1:$I$89,3,0)*0.475*44/12</f>
        <v>15.360410599165805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55.870451867677367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68.50302348583179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355.07609280000059</v>
      </c>
      <c r="AK125" s="13">
        <f t="shared" si="89"/>
        <v>82.606853937508674</v>
      </c>
      <c r="AL125" s="20">
        <f t="shared" si="58"/>
        <v>762.29779890116197</v>
      </c>
      <c r="AM125" s="59">
        <f t="shared" si="59"/>
        <v>1050.1422183492118</v>
      </c>
      <c r="AN125" s="59">
        <f ca="1">AVERAGE(OFFSET($AM$3,0,0,'Données projet'!$E$10+1,1))-AVERAGE(OFFSET($H$3,0,0,'Données projet'!$E$10+1,1))</f>
        <v>608.11285041597125</v>
      </c>
      <c r="AO125" s="59">
        <f t="shared" si="90"/>
        <v>282.40007659049331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52.720670834646505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52.720670834646505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68.50302348583179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5.6409999999999938</v>
      </c>
      <c r="BD125" s="12">
        <f>IF('Données projet'!$A$88&gt;35,BD124+BC125-BL124,IF(A125&lt;'Données projet'!$A$88,$BA$205^A125,IF(A125='Données projet'!$A$88,'Données projet'!$B$88,BD124+BC125-BL124)))</f>
        <v>243.32100000000051</v>
      </c>
      <c r="BE125" s="13">
        <f>BD125*VLOOKUP('Données projet'!$B$11,Paramètres!$A$1:$I$89,3,0)*VLOOKUP('Données projet'!$B$11,Paramètres!$A$1:$I$89,5,0)</f>
        <v>113.87422800000023</v>
      </c>
      <c r="BF125" s="13">
        <f t="shared" si="91"/>
        <v>30.241935912260949</v>
      </c>
      <c r="BG125" s="20">
        <f t="shared" si="61"/>
        <v>251.00231881385491</v>
      </c>
      <c r="BH125" s="59">
        <f t="shared" si="62"/>
        <v>538.84673826190487</v>
      </c>
      <c r="BI125" s="59">
        <f ca="1">AVERAGE(OFFSET($BH$3,0,0,'Données projet'!$E$11+1,1))-AVERAGE(OFFSET($H$3,0,0,'Données projet'!$E$11+1,1))</f>
        <v>355.12987360915633</v>
      </c>
      <c r="BJ125" s="59">
        <f t="shared" si="92"/>
        <v>286.78588538798715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121.92527828132047</v>
      </c>
      <c r="BQ125" s="21">
        <f>EXP(-LN(2)/25)*BQ124+(1-EXP(-LN(2)/25))/(LN(2)/25)*Calculateur!BL125*Calculateur!BN125*VLOOKUP('Données projet'!$B$11,Paramètres!$A$1:$I$89,3,0)*0.475*44/12</f>
        <v>44.696438836577705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166.62171711789819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68.50302348583179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68.50302348583179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68.50302348583179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68.50302348583179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68.50302348583179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68.50302348583179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68.50302348583179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1.7000000000000002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6.2333333333333343</v>
      </c>
      <c r="H126" s="67">
        <f t="shared" si="56"/>
        <v>216.48000000000002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68.528992681614511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312.21112796780687</v>
      </c>
      <c r="T126" s="59">
        <f t="shared" si="88"/>
        <v>318.74634178809458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39.715664067921445</v>
      </c>
      <c r="AA126" s="21">
        <f>EXP(-LN(2)/25)*AA125+(1-EXP(-LN(2)/25))/(LN(2)/25)*Calculateur!V126*Calculateur!X126*VLOOKUP('Données projet'!$B$9,Paramètres!$A$1:$I$89,3,0)*0.475*44/12</f>
        <v>14.940379363562728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54.656043431484171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68.528992681614511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362.3072544000006</v>
      </c>
      <c r="AK126" s="13">
        <f t="shared" si="89"/>
        <v>84.09158309070763</v>
      </c>
      <c r="AL126" s="20">
        <f t="shared" si="58"/>
        <v>777.4779752963168</v>
      </c>
      <c r="AM126" s="59">
        <f t="shared" si="59"/>
        <v>1065.4176151289034</v>
      </c>
      <c r="AN126" s="59">
        <f ca="1">AVERAGE(OFFSET($AM$3,0,0,'Données projet'!$E$10+1,1))-AVERAGE(OFFSET($H$3,0,0,'Données projet'!$E$10+1,1))</f>
        <v>608.11285041597125</v>
      </c>
      <c r="AO126" s="59">
        <f t="shared" si="90"/>
        <v>282.40007659049331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51.686850636013112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51.686850636013112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68.528992681614511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5.6409999999999938</v>
      </c>
      <c r="BD126" s="12">
        <f>IF('Données projet'!$A$88&gt;35,BD125+BC126-BL125,IF(A126&lt;'Données projet'!$A$88,$BA$205^A126,IF(A126='Données projet'!$A$88,'Données projet'!$B$88,BD125+BC126-BL125)))</f>
        <v>248.9620000000005</v>
      </c>
      <c r="BE126" s="13">
        <f>BD126*VLOOKUP('Données projet'!$B$11,Paramètres!$A$1:$I$89,3,0)*VLOOKUP('Données projet'!$B$11,Paramètres!$A$1:$I$89,5,0)</f>
        <v>116.51421600000023</v>
      </c>
      <c r="BF126" s="13">
        <f t="shared" si="91"/>
        <v>30.860607863693374</v>
      </c>
      <c r="BG126" s="20">
        <f t="shared" si="61"/>
        <v>256.67781822926639</v>
      </c>
      <c r="BH126" s="59">
        <f t="shared" si="62"/>
        <v>544.61745806185297</v>
      </c>
      <c r="BI126" s="59">
        <f ca="1">AVERAGE(OFFSET($BH$3,0,0,'Données projet'!$E$11+1,1))-AVERAGE(OFFSET($H$3,0,0,'Données projet'!$E$11+1,1))</f>
        <v>355.12987360915633</v>
      </c>
      <c r="BJ126" s="59">
        <f t="shared" si="92"/>
        <v>286.78588538798715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119.5343979413004</v>
      </c>
      <c r="BQ126" s="21">
        <f>EXP(-LN(2)/25)*BQ125+(1-EXP(-LN(2)/25))/(LN(2)/25)*Calculateur!BL126*Calculateur!BN126*VLOOKUP('Données projet'!$B$11,Paramètres!$A$1:$I$89,3,0)*0.475*44/12</f>
        <v>43.474212366107928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163.00861030740833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68.528992681614511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68.528992681614511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68.528992681614511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68.528992681614511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68.528992681614511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68.528992681614511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68.528992681614511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1.7000000000000002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6.2333333333333343</v>
      </c>
      <c r="H127" s="67">
        <f t="shared" si="56"/>
        <v>216.48000000000002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68.554511369908809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312.21112796780687</v>
      </c>
      <c r="T127" s="59">
        <f t="shared" si="88"/>
        <v>318.74634178809458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38.936864119712652</v>
      </c>
      <c r="AA127" s="21">
        <f>EXP(-LN(2)/25)*AA126+(1-EXP(-LN(2)/25))/(LN(2)/25)*Calculateur!V127*Calculateur!X127*VLOOKUP('Données projet'!$B$9,Paramètres!$A$1:$I$89,3,0)*0.475*44/12</f>
        <v>14.531833904185701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53.468698023898355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68.554511369908809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369.53841600000061</v>
      </c>
      <c r="AK127" s="13">
        <f t="shared" si="89"/>
        <v>85.572866703416025</v>
      </c>
      <c r="AL127" s="20">
        <f t="shared" si="58"/>
        <v>792.65215070845068</v>
      </c>
      <c r="AM127" s="59">
        <f t="shared" si="59"/>
        <v>1080.6853590647829</v>
      </c>
      <c r="AN127" s="59">
        <f ca="1">AVERAGE(OFFSET($AM$3,0,0,'Données projet'!$E$10+1,1))-AVERAGE(OFFSET($H$3,0,0,'Données projet'!$E$10+1,1))</f>
        <v>608.11285041597125</v>
      </c>
      <c r="AO127" s="59">
        <f t="shared" si="90"/>
        <v>282.40007659049331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64.229154721898368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64.229154721898368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68.554511369908809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5.6409999999999938</v>
      </c>
      <c r="BD127" s="12">
        <f>IF('Données projet'!$A$88&gt;35,BD126+BC127-BL126,IF(A127&lt;'Données projet'!$A$88,$BA$205^A127,IF(A127='Données projet'!$A$88,'Données projet'!$B$88,BD126+BC127-BL126)))</f>
        <v>254.60300000000049</v>
      </c>
      <c r="BE127" s="13">
        <f>BD127*VLOOKUP('Données projet'!$B$11,Paramètres!$A$1:$I$89,3,0)*VLOOKUP('Données projet'!$B$11,Paramètres!$A$1:$I$89,5,0)</f>
        <v>119.15420400000023</v>
      </c>
      <c r="BF127" s="13">
        <f t="shared" si="91"/>
        <v>31.477650132098876</v>
      </c>
      <c r="BG127" s="20">
        <f t="shared" si="61"/>
        <v>262.35047928007265</v>
      </c>
      <c r="BH127" s="59">
        <f t="shared" si="62"/>
        <v>550.38368763640494</v>
      </c>
      <c r="BI127" s="59">
        <f ca="1">AVERAGE(OFFSET($BH$3,0,0,'Données projet'!$E$11+1,1))-AVERAGE(OFFSET($H$3,0,0,'Données projet'!$E$11+1,1))</f>
        <v>355.12987360915633</v>
      </c>
      <c r="BJ127" s="59">
        <f t="shared" si="92"/>
        <v>286.78588538798715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117.1904013064551</v>
      </c>
      <c r="BQ127" s="21">
        <f>EXP(-LN(2)/25)*BQ126+(1-EXP(-LN(2)/25))/(LN(2)/25)*Calculateur!BL127*Calculateur!BN127*VLOOKUP('Données projet'!$B$11,Paramètres!$A$1:$I$89,3,0)*0.475*44/12</f>
        <v>42.285407742747239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159.47580904920233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68.554511369908809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68.554511369908809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68.554511369908809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68.554511369908809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68.554511369908809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68.554511369908809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68.554511369908809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1.7000000000000002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6.2333333333333343</v>
      </c>
      <c r="H128" s="67">
        <f t="shared" si="56"/>
        <v>216.48000000000002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68.579587366012447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312.21112796780687</v>
      </c>
      <c r="T128" s="59">
        <f t="shared" si="88"/>
        <v>318.74634178809458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38.173335963467167</v>
      </c>
      <c r="AA128" s="21">
        <f>EXP(-LN(2)/25)*AA127+(1-EXP(-LN(2)/25))/(LN(2)/25)*Calculateur!V128*Calculateur!X128*VLOOKUP('Données projet'!$B$9,Paramètres!$A$1:$I$89,3,0)*0.475*44/12</f>
        <v>14.134460141879812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52.307796105346981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68.579587366012447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329.31100800000064</v>
      </c>
      <c r="AK128" s="13">
        <f t="shared" si="89"/>
        <v>77.287444180583748</v>
      </c>
      <c r="AL128" s="20">
        <f t="shared" si="58"/>
        <v>708.15897088118447</v>
      </c>
      <c r="AM128" s="59">
        <f t="shared" si="59"/>
        <v>996.28412455656348</v>
      </c>
      <c r="AN128" s="59">
        <f ca="1">AVERAGE(OFFSET($AM$3,0,0,'Données projet'!$E$10+1,1))-AVERAGE(OFFSET($H$3,0,0,'Données projet'!$E$10+1,1))</f>
        <v>608.11285041597125</v>
      </c>
      <c r="AO128" s="59">
        <f t="shared" si="90"/>
        <v>282.40007659049331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62.969660173718019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62.969660173718019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68.579587366012447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5.6409999999999938</v>
      </c>
      <c r="BD128" s="12">
        <f>IF('Données projet'!$A$88&gt;35,BD127+BC128-BL127,IF(A128&lt;'Données projet'!$A$88,$BA$205^A128,IF(A128='Données projet'!$A$88,'Données projet'!$B$88,BD127+BC128-BL127)))</f>
        <v>260.24400000000048</v>
      </c>
      <c r="BE128" s="13">
        <f>BD128*VLOOKUP('Données projet'!$B$11,Paramètres!$A$1:$I$89,3,0)*VLOOKUP('Données projet'!$B$11,Paramètres!$A$1:$I$89,5,0)</f>
        <v>121.79419200000022</v>
      </c>
      <c r="BF128" s="13">
        <f t="shared" si="91"/>
        <v>32.093102982453836</v>
      </c>
      <c r="BG128" s="20">
        <f t="shared" si="61"/>
        <v>268.0203720944408</v>
      </c>
      <c r="BH128" s="59">
        <f t="shared" si="62"/>
        <v>556.14552576981976</v>
      </c>
      <c r="BI128" s="59">
        <f ca="1">AVERAGE(OFFSET($BH$3,0,0,'Données projet'!$E$11+1,1))-AVERAGE(OFFSET($H$3,0,0,'Données projet'!$E$11+1,1))</f>
        <v>355.12987360915633</v>
      </c>
      <c r="BJ128" s="59">
        <f t="shared" si="92"/>
        <v>286.78588538798715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114.89236901592234</v>
      </c>
      <c r="BQ128" s="21">
        <f>EXP(-LN(2)/25)*BQ127+(1-EXP(-LN(2)/25))/(LN(2)/25)*Calculateur!BL128*Calculateur!BN128*VLOOKUP('Données projet'!$B$11,Paramètres!$A$1:$I$89,3,0)*0.475*44/12</f>
        <v>41.129111044328866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156.02148006025121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68.579587366012447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68.579587366012447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68.579587366012447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68.579587366012447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68.579587366012447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68.579587366012447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68.579587366012447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1.7000000000000002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6.2333333333333343</v>
      </c>
      <c r="H129" s="67">
        <f t="shared" si="56"/>
        <v>216.48000000000002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68.604228349645226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312.21112796780687</v>
      </c>
      <c r="T129" s="59">
        <f t="shared" si="88"/>
        <v>318.74634178809458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37.424780128659464</v>
      </c>
      <c r="AA129" s="21">
        <f>EXP(-LN(2)/25)*AA128+(1-EXP(-LN(2)/25))/(LN(2)/25)*Calculateur!V129*Calculateur!X129*VLOOKUP('Données projet'!$B$9,Paramètres!$A$1:$I$89,3,0)*0.475*44/12</f>
        <v>13.747952586001155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51.172732714660619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68.604228349645226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336.61274400000065</v>
      </c>
      <c r="AK129" s="13">
        <f t="shared" si="89"/>
        <v>78.799710600410648</v>
      </c>
      <c r="AL129" s="20">
        <f t="shared" si="58"/>
        <v>723.51002509571629</v>
      </c>
      <c r="AM129" s="59">
        <f t="shared" si="59"/>
        <v>1011.7255290444155</v>
      </c>
      <c r="AN129" s="59">
        <f ca="1">AVERAGE(OFFSET($AM$3,0,0,'Données projet'!$E$10+1,1))-AVERAGE(OFFSET($H$3,0,0,'Données projet'!$E$10+1,1))</f>
        <v>608.11285041597125</v>
      </c>
      <c r="AO129" s="59">
        <f t="shared" si="90"/>
        <v>282.40007659049331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61.73486354541167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61.73486354541167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68.604228349645226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5.6409999999999938</v>
      </c>
      <c r="BD129" s="12">
        <f>IF('Données projet'!$A$88&gt;35,BD128+BC129-BL128,IF(A129&lt;'Données projet'!$A$88,$BA$205^A129,IF(A129='Données projet'!$A$88,'Données projet'!$B$88,BD128+BC129-BL128)))</f>
        <v>265.8850000000005</v>
      </c>
      <c r="BE129" s="13">
        <f>BD129*VLOOKUP('Données projet'!$B$11,Paramètres!$A$1:$I$89,3,0)*VLOOKUP('Données projet'!$B$11,Paramètres!$A$1:$I$89,5,0)</f>
        <v>124.43418000000024</v>
      </c>
      <c r="BF129" s="13">
        <f t="shared" si="91"/>
        <v>32.70700483448563</v>
      </c>
      <c r="BG129" s="20">
        <f t="shared" si="61"/>
        <v>273.68756358672954</v>
      </c>
      <c r="BH129" s="59">
        <f t="shared" si="62"/>
        <v>561.9030675354287</v>
      </c>
      <c r="BI129" s="59">
        <f ca="1">AVERAGE(OFFSET($BH$3,0,0,'Données projet'!$E$11+1,1))-AVERAGE(OFFSET($H$3,0,0,'Données projet'!$E$11+1,1))</f>
        <v>355.12987360915633</v>
      </c>
      <c r="BJ129" s="59">
        <f t="shared" si="92"/>
        <v>286.78588538798715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112.63939973694563</v>
      </c>
      <c r="BQ129" s="21">
        <f>EXP(-LN(2)/25)*BQ128+(1-EXP(-LN(2)/25))/(LN(2)/25)*Calculateur!BL129*Calculateur!BN129*VLOOKUP('Données projet'!$B$11,Paramètres!$A$1:$I$89,3,0)*0.475*44/12</f>
        <v>40.004433339935744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152.64383307688138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68.604228349645226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68.604228349645226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68.604228349645226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68.604228349645226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68.604228349645226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68.604228349645226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68.604228349645226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1.7000000000000002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6.2333333333333343</v>
      </c>
      <c r="H130" s="67">
        <f t="shared" si="56"/>
        <v>216.48000000000002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68.62844186730095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312.21112796780687</v>
      </c>
      <c r="T130" s="59">
        <f t="shared" si="88"/>
        <v>318.74634178809458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36.690903017198366</v>
      </c>
      <c r="AA130" s="21">
        <f>EXP(-LN(2)/25)*AA129+(1-EXP(-LN(2)/25))/(LN(2)/25)*Calculateur!V130*Calculateur!X130*VLOOKUP('Données projet'!$B$9,Paramètres!$A$1:$I$89,3,0)*0.475*44/12</f>
        <v>13.372014099563549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50.062917116761916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68.62844186730095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343.91448000000065</v>
      </c>
      <c r="AK130" s="13">
        <f t="shared" si="89"/>
        <v>80.308163160675235</v>
      </c>
      <c r="AL130" s="20">
        <f t="shared" si="58"/>
        <v>738.85443683817709</v>
      </c>
      <c r="AM130" s="59">
        <f t="shared" si="59"/>
        <v>1027.1587236849473</v>
      </c>
      <c r="AN130" s="59">
        <f ca="1">AVERAGE(OFFSET($AM$3,0,0,'Données projet'!$E$10+1,1))-AVERAGE(OFFSET($H$3,0,0,'Données projet'!$E$10+1,1))</f>
        <v>608.11285041597125</v>
      </c>
      <c r="AO130" s="59">
        <f t="shared" si="90"/>
        <v>282.40007659049331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60.524280525834833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60.524280525834833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68.62844186730095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5.6409999999999938</v>
      </c>
      <c r="BD130" s="12">
        <f>IF('Données projet'!$A$88&gt;35,BD129+BC130-BL129,IF(A130&lt;'Données projet'!$A$88,$BA$205^A130,IF(A130='Données projet'!$A$88,'Données projet'!$B$88,BD129+BC130-BL129)))</f>
        <v>271.52600000000052</v>
      </c>
      <c r="BE130" s="13">
        <f>BD130*VLOOKUP('Données projet'!$B$11,Paramètres!$A$1:$I$89,3,0)*VLOOKUP('Données projet'!$B$11,Paramètres!$A$1:$I$89,5,0)</f>
        <v>127.07416800000024</v>
      </c>
      <c r="BF130" s="13">
        <f t="shared" si="91"/>
        <v>33.319392384561489</v>
      </c>
      <c r="BG130" s="20">
        <f t="shared" si="61"/>
        <v>279.35211766977835</v>
      </c>
      <c r="BH130" s="59">
        <f t="shared" si="62"/>
        <v>567.65640451654849</v>
      </c>
      <c r="BI130" s="59">
        <f ca="1">AVERAGE(OFFSET($BH$3,0,0,'Données projet'!$E$11+1,1))-AVERAGE(OFFSET($H$3,0,0,'Données projet'!$E$11+1,1))</f>
        <v>355.12987360915633</v>
      </c>
      <c r="BJ130" s="59">
        <f t="shared" si="92"/>
        <v>286.78588538798715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110.43060981135409</v>
      </c>
      <c r="BQ130" s="21">
        <f>EXP(-LN(2)/25)*BQ129+(1-EXP(-LN(2)/25))/(LN(2)/25)*Calculateur!BL130*Calculateur!BN130*VLOOKUP('Données projet'!$B$11,Paramètres!$A$1:$I$89,3,0)*0.475*44/12</f>
        <v>38.910510006513483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149.34111981786756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68.62844186730095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68.62844186730095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68.62844186730095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68.62844186730095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68.62844186730095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68.62844186730095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68.62844186730095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1.7000000000000002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6.2333333333333343</v>
      </c>
      <c r="H131" s="67">
        <f t="shared" si="56"/>
        <v>216.48000000000002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68.652235334558668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312.21112796780687</v>
      </c>
      <c r="T131" s="59">
        <f t="shared" si="88"/>
        <v>318.74634178809458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35.97141678827218</v>
      </c>
      <c r="AA131" s="21">
        <f>EXP(-LN(2)/25)*AA130+(1-EXP(-LN(2)/25))/(LN(2)/25)*Calculateur!V131*Calculateur!X131*VLOOKUP('Données projet'!$B$9,Paramètres!$A$1:$I$89,3,0)*0.475*44/12</f>
        <v>13.006355670807324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48.977772459079503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68.652235334558668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351.2162160000006</v>
      </c>
      <c r="AK131" s="13">
        <f t="shared" si="89"/>
        <v>81.812892161752615</v>
      </c>
      <c r="AL131" s="20">
        <f t="shared" si="58"/>
        <v>754.19236338172016</v>
      </c>
      <c r="AM131" s="59">
        <f t="shared" si="59"/>
        <v>1042.5838929417687</v>
      </c>
      <c r="AN131" s="59">
        <f ca="1">AVERAGE(OFFSET($AM$3,0,0,'Données projet'!$E$10+1,1))-AVERAGE(OFFSET($H$3,0,0,'Données projet'!$E$10+1,1))</f>
        <v>608.11285041597125</v>
      </c>
      <c r="AO131" s="59">
        <f t="shared" si="90"/>
        <v>282.40007659049331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59.337436300889166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59.337436300889166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68.652235334558668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5.6409999999999938</v>
      </c>
      <c r="BD131" s="12">
        <f>IF('Données projet'!$A$88&gt;35,BD130+BC131-BL130,IF(A131&lt;'Données projet'!$A$88,$BA$205^A131,IF(A131='Données projet'!$A$88,'Données projet'!$B$88,BD130+BC131-BL130)))</f>
        <v>277.16700000000054</v>
      </c>
      <c r="BE131" s="13">
        <f>BD131*VLOOKUP('Données projet'!$B$11,Paramètres!$A$1:$I$89,3,0)*VLOOKUP('Données projet'!$B$11,Paramètres!$A$1:$I$89,5,0)</f>
        <v>129.71415600000026</v>
      </c>
      <c r="BF131" s="13">
        <f t="shared" si="91"/>
        <v>33.930300717162936</v>
      </c>
      <c r="BG131" s="20">
        <f t="shared" si="61"/>
        <v>285.0140954490592</v>
      </c>
      <c r="BH131" s="59">
        <f t="shared" si="62"/>
        <v>573.40562500910767</v>
      </c>
      <c r="BI131" s="59">
        <f ca="1">AVERAGE(OFFSET($BH$3,0,0,'Données projet'!$E$11+1,1))-AVERAGE(OFFSET($H$3,0,0,'Données projet'!$E$11+1,1))</f>
        <v>355.12987360915633</v>
      </c>
      <c r="BJ131" s="59">
        <f t="shared" si="92"/>
        <v>286.78588538798715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108.26513290897456</v>
      </c>
      <c r="BQ131" s="21">
        <f>EXP(-LN(2)/25)*BQ130+(1-EXP(-LN(2)/25))/(LN(2)/25)*Calculateur!BL131*Calculateur!BN131*VLOOKUP('Données projet'!$B$11,Paramètres!$A$1:$I$89,3,0)*0.475*44/12</f>
        <v>37.846500064170584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146.11163297314516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68.652235334558668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68.652235334558668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68.652235334558668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68.652235334558668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68.652235334558668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68.652235334558668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68.652235334558668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1.7000000000000002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6.2333333333333343</v>
      </c>
      <c r="H132" s="67">
        <f t="shared" ref="H132:H195" si="110">(B132+E132+F132)*44/12+(C132+D132)*0.475*44/12</f>
        <v>216.48000000000002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68.675616038353681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312.21112796780687</v>
      </c>
      <c r="T132" s="59">
        <f t="shared" si="88"/>
        <v>318.74634178809458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35.266039245451971</v>
      </c>
      <c r="AA132" s="21">
        <f>EXP(-LN(2)/25)*AA131+(1-EXP(-LN(2)/25))/(LN(2)/25)*Calculateur!V132*Calculateur!X132*VLOOKUP('Données projet'!$B$9,Paramètres!$A$1:$I$89,3,0)*0.475*44/12</f>
        <v>12.650696191014578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47.916735436466553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68.675616038353681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358.51795200000061</v>
      </c>
      <c r="AK132" s="13">
        <f t="shared" si="89"/>
        <v>83.313983934777241</v>
      </c>
      <c r="AL132" s="20">
        <f t="shared" ref="AL132:AL153" si="112">(AJ132+AK132)*0.475*44/12</f>
        <v>769.52395508640473</v>
      </c>
      <c r="AM132" s="59">
        <f t="shared" ref="AM132:AM195" si="113">AL132+(AD132+AE132)*44/12</f>
        <v>1058.0012138937016</v>
      </c>
      <c r="AN132" s="59">
        <f ca="1">AVERAGE(OFFSET($AM$3,0,0,'Données projet'!$E$10+1,1))-AVERAGE(OFFSET($H$3,0,0,'Données projet'!$E$10+1,1))</f>
        <v>608.11285041597125</v>
      </c>
      <c r="AO132" s="59">
        <f t="shared" si="90"/>
        <v>282.40007659049331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58.173865367291185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58.173865367291185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68.675616038353681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5.6409999999999938</v>
      </c>
      <c r="BD132" s="12">
        <f>IF('Données projet'!$A$88&gt;35,BD131+BC132-BL131,IF(A132&lt;'Données projet'!$A$88,$BA$205^A132,IF(A132='Données projet'!$A$88,'Données projet'!$B$88,BD131+BC132-BL131)))</f>
        <v>282.80800000000056</v>
      </c>
      <c r="BE132" s="13">
        <f>BD132*VLOOKUP('Données projet'!$B$11,Paramètres!$A$1:$I$89,3,0)*VLOOKUP('Données projet'!$B$11,Paramètres!$A$1:$I$89,5,0)</f>
        <v>132.35414400000025</v>
      </c>
      <c r="BF132" s="13">
        <f t="shared" si="91"/>
        <v>34.539763407028346</v>
      </c>
      <c r="BG132" s="20">
        <f t="shared" ref="BG132:BG153" si="115">(BE132+BF132)*0.475*44/12</f>
        <v>290.6735554005748</v>
      </c>
      <c r="BH132" s="59">
        <f t="shared" ref="BH132:BH195" si="116">BG132+(AY132+AZ132)*44/12</f>
        <v>579.15081420787169</v>
      </c>
      <c r="BI132" s="59">
        <f ca="1">AVERAGE(OFFSET($BH$3,0,0,'Données projet'!$E$11+1,1))-AVERAGE(OFFSET($H$3,0,0,'Données projet'!$E$11+1,1))</f>
        <v>355.12987360915633</v>
      </c>
      <c r="BJ132" s="59">
        <f t="shared" si="92"/>
        <v>286.78588538798715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106.14211968784021</v>
      </c>
      <c r="BQ132" s="21">
        <f>EXP(-LN(2)/25)*BQ131+(1-EXP(-LN(2)/25))/(LN(2)/25)*Calculateur!BL132*Calculateur!BN132*VLOOKUP('Données projet'!$B$11,Paramètres!$A$1:$I$89,3,0)*0.475*44/12</f>
        <v>36.811585529654899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142.9537052174951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68.675616038353681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68.675616038353681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68.675616038353681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68.675616038353681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68.675616038353681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68.675616038353681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68.675616038353681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1.7000000000000002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6.2333333333333343</v>
      </c>
      <c r="H133" s="67">
        <f t="shared" si="110"/>
        <v>216.48000000000002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68.69859113920927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312.21112796780687</v>
      </c>
      <c r="T133" s="59">
        <f t="shared" ref="T133:T196" si="142">$T$3</f>
        <v>318.74634178809458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34.574493726008647</v>
      </c>
      <c r="AA133" s="21">
        <f>EXP(-LN(2)/25)*AA132+(1-EXP(-LN(2)/25))/(LN(2)/25)*Calculateur!V133*Calculateur!X133*VLOOKUP('Données projet'!$B$9,Paramètres!$A$1:$I$89,3,0)*0.475*44/12</f>
        <v>12.304762238400086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46.879255964408735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68.69859113920927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365.81968800000061</v>
      </c>
      <c r="AK133" s="13">
        <f t="shared" ref="AK133:AK153" si="143">EXP(-1.0587+0.8836*LN(AJ133)+0.284)</f>
        <v>84.811521093342051</v>
      </c>
      <c r="AL133" s="20">
        <f t="shared" si="112"/>
        <v>784.84935583757169</v>
      </c>
      <c r="AM133" s="59">
        <f t="shared" si="113"/>
        <v>1073.4108566813391</v>
      </c>
      <c r="AN133" s="59">
        <f ca="1">AVERAGE(OFFSET($AM$3,0,0,'Données projet'!$E$10+1,1))-AVERAGE(OFFSET($H$3,0,0,'Données projet'!$E$10+1,1))</f>
        <v>608.11285041597125</v>
      </c>
      <c r="AO133" s="59">
        <f t="shared" ref="AO133:AO196" si="144">$AO$3</f>
        <v>282.40007659049331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57.033111349992865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57.033111349992865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68.69859113920927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5.6409999999999938</v>
      </c>
      <c r="BD133" s="12">
        <f>IF('Données projet'!$A$88&gt;35,BD132+BC133-BL132,IF(A133&lt;'Données projet'!$A$88,$BA$205^A133,IF(A133='Données projet'!$A$88,'Données projet'!$B$88,BD132+BC133-BL132)))</f>
        <v>288.44900000000058</v>
      </c>
      <c r="BE133" s="13">
        <f>BD133*VLOOKUP('Données projet'!$B$11,Paramètres!$A$1:$I$89,3,0)*VLOOKUP('Données projet'!$B$11,Paramètres!$A$1:$I$89,5,0)</f>
        <v>134.99413200000029</v>
      </c>
      <c r="BF133" s="13">
        <f t="shared" ref="BF133:BF153" si="145">EXP(-1.0587+0.8836*LN(BE133)+0.284)</f>
        <v>35.14781261291612</v>
      </c>
      <c r="BG133" s="20">
        <f t="shared" si="115"/>
        <v>296.33055353416273</v>
      </c>
      <c r="BH133" s="59">
        <f t="shared" si="116"/>
        <v>584.89205437792998</v>
      </c>
      <c r="BI133" s="59">
        <f ca="1">AVERAGE(OFFSET($BH$3,0,0,'Données projet'!$E$11+1,1))-AVERAGE(OFFSET($H$3,0,0,'Données projet'!$E$11+1,1))</f>
        <v>355.12987360915633</v>
      </c>
      <c r="BJ133" s="59">
        <f t="shared" ref="BJ133:BJ196" si="146">$BJ$3</f>
        <v>286.78588538798715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104.06073746106209</v>
      </c>
      <c r="BQ133" s="21">
        <f>EXP(-LN(2)/25)*BQ132+(1-EXP(-LN(2)/25))/(LN(2)/25)*Calculateur!BL133*Calculateur!BN133*VLOOKUP('Données projet'!$B$11,Paramètres!$A$1:$I$89,3,0)*0.475*44/12</f>
        <v>35.804970787509333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139.86570824857142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68.69859113920927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68.69859113920927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68.69859113920927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68.69859113920927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68.69859113920927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68.69859113920927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68.69859113920927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1.7000000000000002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6.2333333333333343</v>
      </c>
      <c r="H134" s="67">
        <f t="shared" si="110"/>
        <v>216.48000000000002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68.721167673429662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312.21112796780687</v>
      </c>
      <c r="T134" s="59">
        <f t="shared" si="142"/>
        <v>318.74634178809458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33.896508992400491</v>
      </c>
      <c r="AA134" s="21">
        <f>EXP(-LN(2)/25)*AA133+(1-EXP(-LN(2)/25))/(LN(2)/25)*Calculateur!V134*Calculateur!X134*VLOOKUP('Données projet'!$B$9,Paramètres!$A$1:$I$89,3,0)*0.475*44/12</f>
        <v>11.968287867911712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45.864796860312204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68.721167673429662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373.12142400000062</v>
      </c>
      <c r="AK134" s="13">
        <f t="shared" si="143"/>
        <v>86.305582764533938</v>
      </c>
      <c r="AL134" s="20">
        <f t="shared" si="112"/>
        <v>800.16870344823099</v>
      </c>
      <c r="AM134" s="59">
        <f t="shared" si="113"/>
        <v>1088.8129849174732</v>
      </c>
      <c r="AN134" s="59">
        <f ca="1">AVERAGE(OFFSET($AM$3,0,0,'Données projet'!$E$10+1,1))-AVERAGE(OFFSET($H$3,0,0,'Données projet'!$E$10+1,1))</f>
        <v>608.11285041597125</v>
      </c>
      <c r="AO134" s="59">
        <f t="shared" si="144"/>
        <v>282.40007659049331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55.914726823182519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55.914726823182519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68.721167673429662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294.08999999999997</v>
      </c>
      <c r="BB134" s="12">
        <f>VLOOKUP(A134,'Données projet'!$A$87:$I$107,9,0)</f>
        <v>5.6409999999999938</v>
      </c>
      <c r="BC134" s="12">
        <f t="array" ref="BC134">INDEX(BB:BB,MIN(IF(ISNUMBER(BB134:BB330),ROW(BB134:BB330),"")))</f>
        <v>5.6409999999999938</v>
      </c>
      <c r="BD134" s="12">
        <f>IF('Données projet'!$A$88&gt;35,BD133+BC134-BL133,IF(A134&lt;'Données projet'!$A$88,$BA$205^A134,IF(A134='Données projet'!$A$88,'Données projet'!$B$88,BD133+BC134-BL133)))</f>
        <v>294.0900000000006</v>
      </c>
      <c r="BE134" s="13">
        <f>BD134*VLOOKUP('Données projet'!$B$11,Paramètres!$A$1:$I$89,3,0)*VLOOKUP('Données projet'!$B$11,Paramètres!$A$1:$I$89,5,0)</f>
        <v>137.63412000000028</v>
      </c>
      <c r="BF134" s="13">
        <f t="shared" si="145"/>
        <v>35.754479163825771</v>
      </c>
      <c r="BG134" s="20">
        <f t="shared" si="115"/>
        <v>301.9851435436637</v>
      </c>
      <c r="BH134" s="59">
        <f t="shared" si="116"/>
        <v>590.62942501290581</v>
      </c>
      <c r="BI134" s="59">
        <f ca="1">AVERAGE(OFFSET($BH$3,0,0,'Données projet'!$E$11+1,1))-AVERAGE(OFFSET($H$3,0,0,'Données projet'!$E$11+1,1))</f>
        <v>355.12987360915633</v>
      </c>
      <c r="BJ134" s="59">
        <f t="shared" si="146"/>
        <v>286.78588538798715</v>
      </c>
      <c r="BK134" s="15">
        <f>IF(ISNA(VLOOKUP(A134,'Données projet'!$A$87:$I$107,3,0)),0,VLOOKUP(A134,'Données projet'!$A$87:$I$107,3,0))</f>
        <v>8</v>
      </c>
      <c r="BL134" s="15">
        <f>IF(ISNA(VLOOKUP(A134,'Données projet'!$A$87:$I$107,4,0)),0,VLOOKUP(A134,'Données projet'!$A$87:$I$107,4,0))</f>
        <v>294.08999999999997</v>
      </c>
      <c r="BM134" s="16">
        <f>IF(ISNA(VLOOKUP(A134,'Données projet'!$A$87:$I$107,5,0)),0%,VLOOKUP(A134,'Données projet'!$A$87:$I$107,5,0)*VLOOKUP('Données projet'!$B$11,Paramètres!$A$1:$I$89,7,0))</f>
        <v>0.38500000000000001</v>
      </c>
      <c r="BN134" s="16">
        <f>IF(ISNA(VLOOKUP(A134,'Données projet'!$A$87:$I$107,6,0)),0%,VLOOKUP(A134,'Données projet'!$A$87:$I$107,6,0)*VLOOKUP('Données projet'!$B$11,Paramètres!$A$1:$I$89,7,0))</f>
        <v>0.16500000000000001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172.31367447759791</v>
      </c>
      <c r="BQ134" s="21">
        <f>EXP(-LN(2)/25)*BQ133+(1-EXP(-LN(2)/25))/(LN(2)/25)*Calculateur!BL134*Calculateur!BN134*VLOOKUP('Données projet'!$B$11,Paramètres!$A$1:$I$89,3,0)*0.475*44/12</f>
        <v>64.833052962337746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237.14672743993566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68.721167673429662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68.721167673429662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68.721167673429662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68.721167673429662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68.721167673429662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68.721167673429662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68.721167673429662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1.7000000000000002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6.2333333333333343</v>
      </c>
      <c r="H135" s="67">
        <f t="shared" si="110"/>
        <v>216.48000000000002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68.743352555254887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312.21112796780687</v>
      </c>
      <c r="T135" s="59">
        <f t="shared" si="142"/>
        <v>318.74634178809458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33.231819125888535</v>
      </c>
      <c r="AA135" s="21">
        <f>EXP(-LN(2)/25)*AA134+(1-EXP(-LN(2)/25))/(LN(2)/25)*Calculateur!V135*Calculateur!X135*VLOOKUP('Données projet'!$B$9,Paramètres!$A$1:$I$89,3,0)*0.475*44/12</f>
        <v>11.641014406778762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44.8728335326673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68.743352555254887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380.42316000000056</v>
      </c>
      <c r="AK135" s="13">
        <f t="shared" si="143"/>
        <v>87.79624480137376</v>
      </c>
      <c r="AL135" s="20">
        <f t="shared" si="112"/>
        <v>815.48213002906016</v>
      </c>
      <c r="AM135" s="59">
        <f t="shared" si="113"/>
        <v>1104.2077560649948</v>
      </c>
      <c r="AN135" s="59">
        <f ca="1">AVERAGE(OFFSET($AM$3,0,0,'Données projet'!$E$10+1,1))-AVERAGE(OFFSET($H$3,0,0,'Données projet'!$E$10+1,1))</f>
        <v>608.11285041597125</v>
      </c>
      <c r="AO135" s="59">
        <f t="shared" si="144"/>
        <v>282.40007659049331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54.818273134795724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54.818273134795724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68.743352555254887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6.2527760746888816E-13</v>
      </c>
      <c r="BE135" s="13">
        <f>BD135*VLOOKUP('Données projet'!$B$11,Paramètres!$A$1:$I$89,3,0)*VLOOKUP('Données projet'!$B$11,Paramètres!$A$1:$I$89,5,0)</f>
        <v>2.9262992029543964E-13</v>
      </c>
      <c r="BF135" s="13">
        <f t="shared" si="145"/>
        <v>3.8796387982050903E-12</v>
      </c>
      <c r="BG135" s="20">
        <f t="shared" si="115"/>
        <v>7.2667013513884219E-12</v>
      </c>
      <c r="BH135" s="59">
        <f t="shared" si="116"/>
        <v>288.72562603594184</v>
      </c>
      <c r="BI135" s="59">
        <f ca="1">AVERAGE(OFFSET($BH$3,0,0,'Données projet'!$E$11+1,1))-AVERAGE(OFFSET($H$3,0,0,'Données projet'!$E$11+1,1))</f>
        <v>355.12987360915633</v>
      </c>
      <c r="BJ135" s="59">
        <f t="shared" si="146"/>
        <v>286.78588538798715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168.93470842205579</v>
      </c>
      <c r="BQ135" s="21">
        <f>EXP(-LN(2)/25)*BQ134+(1-EXP(-LN(2)/25))/(LN(2)/25)*Calculateur!BL135*Calculateur!BN135*VLOOKUP('Données projet'!$B$11,Paramètres!$A$1:$I$89,3,0)*0.475*44/12</f>
        <v>63.060189719660542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231.99489814171633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68.743352555254887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68.743352555254887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68.743352555254887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68.743352555254887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68.743352555254887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68.743352555254887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68.743352555254887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1.7000000000000002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6.2333333333333343</v>
      </c>
      <c r="H136" s="67">
        <f t="shared" si="110"/>
        <v>216.48000000000002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68.765152578978416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312.21112796780687</v>
      </c>
      <c r="T136" s="59">
        <f t="shared" si="142"/>
        <v>318.74634178809458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32.580163422238087</v>
      </c>
      <c r="AA136" s="21">
        <f>EXP(-LN(2)/25)*AA135+(1-EXP(-LN(2)/25))/(LN(2)/25)*Calculateur!V136*Calculateur!X136*VLOOKUP('Données projet'!$B$9,Paramètres!$A$1:$I$89,3,0)*0.475*44/12</f>
        <v>11.322690255651056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43.902853677889141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68.765152578978416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387.72489600000057</v>
      </c>
      <c r="AK136" s="13">
        <f t="shared" si="143"/>
        <v>89.283579978484866</v>
      </c>
      <c r="AL136" s="20">
        <f t="shared" si="112"/>
        <v>830.78976232919547</v>
      </c>
      <c r="AM136" s="59">
        <f t="shared" si="113"/>
        <v>1119.5953217854496</v>
      </c>
      <c r="AN136" s="59">
        <f ca="1">AVERAGE(OFFSET($AM$3,0,0,'Données projet'!$E$10+1,1))-AVERAGE(OFFSET($H$3,0,0,'Données projet'!$E$10+1,1))</f>
        <v>608.11285041597125</v>
      </c>
      <c r="AO136" s="59">
        <f t="shared" si="144"/>
        <v>282.40007659049331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53.743320234467475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53.743320234467475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68.765152578978416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6.2527760746888816E-13</v>
      </c>
      <c r="BE136" s="13">
        <f>BD136*VLOOKUP('Données projet'!$B$11,Paramètres!$A$1:$I$89,3,0)*VLOOKUP('Données projet'!$B$11,Paramètres!$A$1:$I$89,5,0)</f>
        <v>2.9262992029543964E-13</v>
      </c>
      <c r="BF136" s="13">
        <f t="shared" si="145"/>
        <v>3.8796387982050903E-12</v>
      </c>
      <c r="BG136" s="20">
        <f t="shared" si="115"/>
        <v>7.2667013513884219E-12</v>
      </c>
      <c r="BH136" s="59">
        <f t="shared" si="116"/>
        <v>288.80555945626151</v>
      </c>
      <c r="BI136" s="59">
        <f ca="1">AVERAGE(OFFSET($BH$3,0,0,'Données projet'!$E$11+1,1))-AVERAGE(OFFSET($H$3,0,0,'Données projet'!$E$11+1,1))</f>
        <v>355.12987360915633</v>
      </c>
      <c r="BJ136" s="59">
        <f t="shared" si="146"/>
        <v>286.78588538798715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165.62200182989707</v>
      </c>
      <c r="BQ136" s="21">
        <f>EXP(-LN(2)/25)*BQ135+(1-EXP(-LN(2)/25))/(LN(2)/25)*Calculateur!BL136*Calculateur!BN136*VLOOKUP('Données projet'!$B$11,Paramètres!$A$1:$I$89,3,0)*0.475*44/12</f>
        <v>61.335805515585172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226.95780734548225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68.765152578978416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68.765152578978416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68.765152578978416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68.765152578978416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68.765152578978416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68.765152578978416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68.765152578978416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1.7000000000000002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6.2333333333333343</v>
      </c>
      <c r="H137" s="67">
        <f t="shared" si="110"/>
        <v>216.48000000000002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68.786574421027893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312.21112796780687</v>
      </c>
      <c r="T137" s="59">
        <f t="shared" si="142"/>
        <v>318.74634178809458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31.941286289465495</v>
      </c>
      <c r="AA137" s="21">
        <f>EXP(-LN(2)/25)*AA136+(1-EXP(-LN(2)/25))/(LN(2)/25)*Calculateur!V137*Calculateur!X137*VLOOKUP('Données projet'!$B$9,Paramètres!$A$1:$I$89,3,0)*0.475*44/12</f>
        <v>11.013070695175875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42.954356984641372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68.786574421027893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395.02663200000057</v>
      </c>
      <c r="AK137" s="13">
        <f t="shared" si="143"/>
        <v>90.767658172605465</v>
      </c>
      <c r="AL137" s="20">
        <f t="shared" si="112"/>
        <v>846.09172205062214</v>
      </c>
      <c r="AM137" s="59">
        <f t="shared" si="113"/>
        <v>1134.9758282610578</v>
      </c>
      <c r="AN137" s="59">
        <f ca="1">AVERAGE(OFFSET($AM$3,0,0,'Données projet'!$E$10+1,1))-AVERAGE(OFFSET($H$3,0,0,'Données projet'!$E$10+1,1))</f>
        <v>608.11285041597125</v>
      </c>
      <c r="AO137" s="59">
        <f t="shared" si="144"/>
        <v>282.40007659049331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66.869801558531918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66.869801558531918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68.786574421027893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6.2527760746888816E-13</v>
      </c>
      <c r="BE137" s="13">
        <f>BD137*VLOOKUP('Données projet'!$B$11,Paramètres!$A$1:$I$89,3,0)*VLOOKUP('Données projet'!$B$11,Paramètres!$A$1:$I$89,5,0)</f>
        <v>2.9262992029543964E-13</v>
      </c>
      <c r="BF137" s="13">
        <f t="shared" si="145"/>
        <v>3.8796387982050903E-12</v>
      </c>
      <c r="BG137" s="20">
        <f t="shared" si="115"/>
        <v>7.2667013513884219E-12</v>
      </c>
      <c r="BH137" s="59">
        <f t="shared" si="116"/>
        <v>288.88410621044289</v>
      </c>
      <c r="BI137" s="59">
        <f ca="1">AVERAGE(OFFSET($BH$3,0,0,'Données projet'!$E$11+1,1))-AVERAGE(OFFSET($H$3,0,0,'Données projet'!$E$11+1,1))</f>
        <v>355.12987360915633</v>
      </c>
      <c r="BJ137" s="59">
        <f t="shared" si="146"/>
        <v>286.78588538798715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162.37425539345907</v>
      </c>
      <c r="BQ137" s="21">
        <f>EXP(-LN(2)/25)*BQ136+(1-EXP(-LN(2)/25))/(LN(2)/25)*Calculateur!BL137*Calculateur!BN137*VLOOKUP('Données projet'!$B$11,Paramètres!$A$1:$I$89,3,0)*0.475*44/12</f>
        <v>59.658574688251669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222.03283008171073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68.786574421027893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68.786574421027893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68.786574421027893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68.786574421027893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68.786574421027893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68.786574421027893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68.786574421027893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1.7000000000000002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6.2333333333333343</v>
      </c>
      <c r="H138" s="67">
        <f t="shared" si="110"/>
        <v>216.48000000000002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68.80762464200987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312.21112796780687</v>
      </c>
      <c r="T138" s="59">
        <f t="shared" si="142"/>
        <v>318.74634178809458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31.314937147590001</v>
      </c>
      <c r="AA138" s="21">
        <f>EXP(-LN(2)/25)*AA137+(1-EXP(-LN(2)/25))/(LN(2)/25)*Calculateur!V138*Calculateur!X138*VLOOKUP('Données projet'!$B$9,Paramètres!$A$1:$I$89,3,0)*0.475*44/12</f>
        <v>10.711917697864074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42.026854845454075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68.80762464200987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352.69013520000055</v>
      </c>
      <c r="AK138" s="13">
        <f t="shared" si="143"/>
        <v>82.116190931394016</v>
      </c>
      <c r="AL138" s="20">
        <f t="shared" si="112"/>
        <v>757.28768467884549</v>
      </c>
      <c r="AM138" s="59">
        <f t="shared" si="113"/>
        <v>1046.2489750328816</v>
      </c>
      <c r="AN138" s="59">
        <f ca="1">AVERAGE(OFFSET($AM$3,0,0,'Données projet'!$E$10+1,1))-AVERAGE(OFFSET($H$3,0,0,'Données projet'!$E$10+1,1))</f>
        <v>608.11285041597125</v>
      </c>
      <c r="AO138" s="59">
        <f t="shared" si="144"/>
        <v>282.40007659049331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65.558525536520719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65.558525536520719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68.80762464200987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6.2527760746888816E-13</v>
      </c>
      <c r="BE138" s="13">
        <f>BD138*VLOOKUP('Données projet'!$B$11,Paramètres!$A$1:$I$89,3,0)*VLOOKUP('Données projet'!$B$11,Paramètres!$A$1:$I$89,5,0)</f>
        <v>2.9262992029543964E-13</v>
      </c>
      <c r="BF138" s="13">
        <f t="shared" si="145"/>
        <v>3.8796387982050903E-12</v>
      </c>
      <c r="BG138" s="20">
        <f t="shared" si="115"/>
        <v>7.2667013513884219E-12</v>
      </c>
      <c r="BH138" s="59">
        <f t="shared" si="116"/>
        <v>288.96129035404346</v>
      </c>
      <c r="BI138" s="59">
        <f ca="1">AVERAGE(OFFSET($BH$3,0,0,'Données projet'!$E$11+1,1))-AVERAGE(OFFSET($H$3,0,0,'Données projet'!$E$11+1,1))</f>
        <v>355.12987360915633</v>
      </c>
      <c r="BJ138" s="59">
        <f t="shared" si="146"/>
        <v>286.78588538798715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159.19019528370987</v>
      </c>
      <c r="BQ138" s="21">
        <f>EXP(-LN(2)/25)*BQ137+(1-EXP(-LN(2)/25))/(LN(2)/25)*Calculateur!BL138*Calculateur!BN138*VLOOKUP('Données projet'!$B$11,Paramètres!$A$1:$I$89,3,0)*0.475*44/12</f>
        <v>58.027207826093338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217.2174031098032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68.80762464200987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68.80762464200987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68.80762464200987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68.80762464200987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68.80762464200987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68.80762464200987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68.80762464200987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1.7000000000000002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6.2333333333333343</v>
      </c>
      <c r="H139" s="67">
        <f t="shared" si="110"/>
        <v>216.48000000000002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68.82830968871906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312.21112796780687</v>
      </c>
      <c r="T139" s="59">
        <f t="shared" si="142"/>
        <v>318.74634178809458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30.700870330351432</v>
      </c>
      <c r="AA139" s="21">
        <f>EXP(-LN(2)/25)*AA138+(1-EXP(-LN(2)/25))/(LN(2)/25)*Calculateur!V139*Calculateur!X139*VLOOKUP('Données projet'!$B$9,Paramètres!$A$1:$I$89,3,0)*0.475*44/12</f>
        <v>10.418999745100711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41.119870075452141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68.82830968871906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360.07239840000057</v>
      </c>
      <c r="AK139" s="13">
        <f t="shared" si="143"/>
        <v>83.633085567444908</v>
      </c>
      <c r="AL139" s="20">
        <f t="shared" si="112"/>
        <v>772.78705124330099</v>
      </c>
      <c r="AM139" s="59">
        <f t="shared" si="113"/>
        <v>1061.8241867686042</v>
      </c>
      <c r="AN139" s="59">
        <f ca="1">AVERAGE(OFFSET($AM$3,0,0,'Données projet'!$E$10+1,1))-AVERAGE(OFFSET($H$3,0,0,'Données projet'!$E$10+1,1))</f>
        <v>608.11285041597125</v>
      </c>
      <c r="AO139" s="59">
        <f t="shared" si="144"/>
        <v>282.40007659049331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64.272962837501765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64.272962837501765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68.82830968871906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6.2527760746888816E-13</v>
      </c>
      <c r="BE139" s="13">
        <f>BD139*VLOOKUP('Données projet'!$B$11,Paramètres!$A$1:$I$89,3,0)*VLOOKUP('Données projet'!$B$11,Paramètres!$A$1:$I$89,5,0)</f>
        <v>2.9262992029543964E-13</v>
      </c>
      <c r="BF139" s="13">
        <f t="shared" si="145"/>
        <v>3.8796387982050903E-12</v>
      </c>
      <c r="BG139" s="20">
        <f t="shared" si="115"/>
        <v>7.2667013513884219E-12</v>
      </c>
      <c r="BH139" s="59">
        <f t="shared" si="116"/>
        <v>289.03713552531048</v>
      </c>
      <c r="BI139" s="59">
        <f ca="1">AVERAGE(OFFSET($BH$3,0,0,'Données projet'!$E$11+1,1))-AVERAGE(OFFSET($H$3,0,0,'Données projet'!$E$11+1,1))</f>
        <v>355.12987360915633</v>
      </c>
      <c r="BJ139" s="59">
        <f t="shared" si="146"/>
        <v>286.78588538798715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156.06857265062797</v>
      </c>
      <c r="BQ139" s="21">
        <f>EXP(-LN(2)/25)*BQ138+(1-EXP(-LN(2)/25))/(LN(2)/25)*Calculateur!BL139*Calculateur!BN139*VLOOKUP('Données projet'!$B$11,Paramètres!$A$1:$I$89,3,0)*0.475*44/12</f>
        <v>56.440450776570579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212.50902342719854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68.82830968871906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68.82830968871906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68.82830968871906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68.82830968871906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68.82830968871906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68.82830968871906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68.82830968871906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1.7000000000000002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6.2333333333333343</v>
      </c>
      <c r="H140" s="67">
        <f t="shared" si="110"/>
        <v>216.48000000000002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68.848635896112668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312.21112796780687</v>
      </c>
      <c r="T140" s="59">
        <f t="shared" si="142"/>
        <v>318.74634178809458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30.098844988855134</v>
      </c>
      <c r="AA140" s="21">
        <f>EXP(-LN(2)/25)*AA139+(1-EXP(-LN(2)/25))/(LN(2)/25)*Calculateur!V140*Calculateur!X140*VLOOKUP('Données projet'!$B$9,Paramètres!$A$1:$I$89,3,0)*0.475*44/12</f>
        <v>10.134091649159549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40.232936638014685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68.848635896112668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367.45466160000058</v>
      </c>
      <c r="AK140" s="13">
        <f t="shared" si="143"/>
        <v>85.146364255773364</v>
      </c>
      <c r="AL140" s="20">
        <f t="shared" si="112"/>
        <v>788.28012003213962</v>
      </c>
      <c r="AM140" s="59">
        <f t="shared" si="113"/>
        <v>1077.3917849845527</v>
      </c>
      <c r="AN140" s="59">
        <f ca="1">AVERAGE(OFFSET($AM$3,0,0,'Données projet'!$E$10+1,1))-AVERAGE(OFFSET($H$3,0,0,'Données projet'!$E$10+1,1))</f>
        <v>608.11285041597125</v>
      </c>
      <c r="AO140" s="59">
        <f t="shared" si="144"/>
        <v>282.40007659049331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63.012609238894747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63.012609238894747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68.848635896112668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6.2527760746888816E-13</v>
      </c>
      <c r="BE140" s="13">
        <f>BD140*VLOOKUP('Données projet'!$B$11,Paramètres!$A$1:$I$89,3,0)*VLOOKUP('Données projet'!$B$11,Paramètres!$A$1:$I$89,5,0)</f>
        <v>2.9262992029543964E-13</v>
      </c>
      <c r="BF140" s="13">
        <f t="shared" si="145"/>
        <v>3.8796387982050903E-12</v>
      </c>
      <c r="BG140" s="20">
        <f t="shared" si="115"/>
        <v>7.2667013513884219E-12</v>
      </c>
      <c r="BH140" s="59">
        <f t="shared" si="116"/>
        <v>289.11166495242043</v>
      </c>
      <c r="BI140" s="59">
        <f ca="1">AVERAGE(OFFSET($BH$3,0,0,'Données projet'!$E$11+1,1))-AVERAGE(OFFSET($H$3,0,0,'Données projet'!$E$11+1,1))</f>
        <v>355.12987360915633</v>
      </c>
      <c r="BJ140" s="59">
        <f t="shared" si="146"/>
        <v>286.78588538798715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153.00816313337901</v>
      </c>
      <c r="BQ140" s="21">
        <f>EXP(-LN(2)/25)*BQ139+(1-EXP(-LN(2)/25))/(LN(2)/25)*Calculateur!BL140*Calculateur!BN140*VLOOKUP('Données projet'!$B$11,Paramètres!$A$1:$I$89,3,0)*0.475*44/12</f>
        <v>54.897083682010944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207.90524681538994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68.848635896112668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68.848635896112668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68.848635896112668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68.848635896112668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68.848635896112668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68.848635896112668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68.848635896112668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1.7000000000000002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6.2333333333333343</v>
      </c>
      <c r="H141" s="67">
        <f t="shared" si="110"/>
        <v>216.48000000000002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68.868609489250616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312.21112796780687</v>
      </c>
      <c r="T141" s="59">
        <f t="shared" si="142"/>
        <v>318.74634178809458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29.508624997106377</v>
      </c>
      <c r="AA141" s="21">
        <f>EXP(-LN(2)/25)*AA140+(1-EXP(-LN(2)/25))/(LN(2)/25)*Calculateur!V141*Calculateur!X141*VLOOKUP('Données projet'!$B$9,Paramètres!$A$1:$I$89,3,0)*0.475*44/12</f>
        <v>9.8569743800845622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39.365599377190939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68.868609489250616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374.83692480000053</v>
      </c>
      <c r="AK141" s="13">
        <f t="shared" si="143"/>
        <v>86.656108013910185</v>
      </c>
      <c r="AL141" s="20">
        <f t="shared" si="112"/>
        <v>803.76703215089447</v>
      </c>
      <c r="AM141" s="59">
        <f t="shared" si="113"/>
        <v>1092.9519336114799</v>
      </c>
      <c r="AN141" s="59">
        <f ca="1">AVERAGE(OFFSET($AM$3,0,0,'Données projet'!$E$10+1,1))-AVERAGE(OFFSET($H$3,0,0,'Données projet'!$E$10+1,1))</f>
        <v>608.11285041597125</v>
      </c>
      <c r="AO141" s="59">
        <f t="shared" si="144"/>
        <v>282.40007659049331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61.776970405616623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61.776970405616623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68.868609489250616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6.2527760746888816E-13</v>
      </c>
      <c r="BE141" s="13">
        <f>BD141*VLOOKUP('Données projet'!$B$11,Paramètres!$A$1:$I$89,3,0)*VLOOKUP('Données projet'!$B$11,Paramètres!$A$1:$I$89,5,0)</f>
        <v>2.9262992029543964E-13</v>
      </c>
      <c r="BF141" s="13">
        <f t="shared" si="145"/>
        <v>3.8796387982050903E-12</v>
      </c>
      <c r="BG141" s="20">
        <f t="shared" si="115"/>
        <v>7.2667013513884219E-12</v>
      </c>
      <c r="BH141" s="59">
        <f t="shared" si="116"/>
        <v>289.18490146059287</v>
      </c>
      <c r="BI141" s="59">
        <f ca="1">AVERAGE(OFFSET($BH$3,0,0,'Données projet'!$E$11+1,1))-AVERAGE(OFFSET($H$3,0,0,'Données projet'!$E$11+1,1))</f>
        <v>355.12987360915633</v>
      </c>
      <c r="BJ141" s="59">
        <f t="shared" si="146"/>
        <v>286.78588538798715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150.00776638009782</v>
      </c>
      <c r="BQ141" s="21">
        <f>EXP(-LN(2)/25)*BQ140+(1-EXP(-LN(2)/25))/(LN(2)/25)*Calculateur!BL141*Calculateur!BN141*VLOOKUP('Données projet'!$B$11,Paramètres!$A$1:$I$89,3,0)*0.475*44/12</f>
        <v>53.395920041814193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203.40368642191203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68.868609489250616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68.868609489250616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68.868609489250616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68.868609489250616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68.868609489250616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68.868609489250616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68.868609489250616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1.7000000000000002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6.2333333333333343</v>
      </c>
      <c r="H142" s="67">
        <f t="shared" si="110"/>
        <v>216.48000000000002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68.888236585201867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312.21112796780687</v>
      </c>
      <c r="T142" s="59">
        <f t="shared" si="142"/>
        <v>318.74634178809458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28.929978859397167</v>
      </c>
      <c r="AA142" s="21">
        <f>EXP(-LN(2)/25)*AA141+(1-EXP(-LN(2)/25))/(LN(2)/25)*Calculateur!V142*Calculateur!X142*VLOOKUP('Données projet'!$B$9,Paramètres!$A$1:$I$89,3,0)*0.475*44/12</f>
        <v>9.5874348973053962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38.517413756702567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68.888236585201867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382.21918800000054</v>
      </c>
      <c r="AK142" s="13">
        <f t="shared" si="143"/>
        <v>88.162394485655341</v>
      </c>
      <c r="AL142" s="20">
        <f t="shared" si="112"/>
        <v>819.24792282918395</v>
      </c>
      <c r="AM142" s="59">
        <f t="shared" si="113"/>
        <v>1108.5047903082575</v>
      </c>
      <c r="AN142" s="59">
        <f ca="1">AVERAGE(OFFSET($AM$3,0,0,'Données projet'!$E$10+1,1))-AVERAGE(OFFSET($H$3,0,0,'Données projet'!$E$10+1,1))</f>
        <v>608.11285041597125</v>
      </c>
      <c r="AO142" s="59">
        <f t="shared" si="144"/>
        <v>282.40007659049331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60.565561696193818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60.565561696193818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68.888236585201867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6.2527760746888816E-13</v>
      </c>
      <c r="BE142" s="13">
        <f>BD142*VLOOKUP('Données projet'!$B$11,Paramètres!$A$1:$I$89,3,0)*VLOOKUP('Données projet'!$B$11,Paramètres!$A$1:$I$89,5,0)</f>
        <v>2.9262992029543964E-13</v>
      </c>
      <c r="BF142" s="13">
        <f t="shared" si="145"/>
        <v>3.8796387982050903E-12</v>
      </c>
      <c r="BG142" s="20">
        <f t="shared" si="115"/>
        <v>7.2667013513884219E-12</v>
      </c>
      <c r="BH142" s="59">
        <f t="shared" si="116"/>
        <v>289.25686747908077</v>
      </c>
      <c r="BI142" s="59">
        <f ca="1">AVERAGE(OFFSET($BH$3,0,0,'Données projet'!$E$11+1,1))-AVERAGE(OFFSET($H$3,0,0,'Données projet'!$E$11+1,1))</f>
        <v>355.12987360915633</v>
      </c>
      <c r="BJ142" s="59">
        <f t="shared" si="146"/>
        <v>286.78588538798715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147.06620557708715</v>
      </c>
      <c r="BQ142" s="21">
        <f>EXP(-LN(2)/25)*BQ141+(1-EXP(-LN(2)/25))/(LN(2)/25)*Calculateur!BL142*Calculateur!BN142*VLOOKUP('Données projet'!$B$11,Paramètres!$A$1:$I$89,3,0)*0.475*44/12</f>
        <v>51.935805800301388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199.00201137738853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68.888236585201867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68.888236585201867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68.888236585201867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68.888236585201867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68.888236585201867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68.888236585201867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68.888236585201867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1.7000000000000002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6.2333333333333343</v>
      </c>
      <c r="H143" s="67">
        <f t="shared" si="110"/>
        <v>216.48000000000002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68.907523194917971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312.21112796780687</v>
      </c>
      <c r="T143" s="59">
        <f t="shared" si="142"/>
        <v>318.74634178809458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28.362679619509141</v>
      </c>
      <c r="AA143" s="21">
        <f>EXP(-LN(2)/25)*AA142+(1-EXP(-LN(2)/25))/(LN(2)/25)*Calculateur!V143*Calculateur!X143*VLOOKUP('Données projet'!$B$9,Paramètres!$A$1:$I$89,3,0)*0.475*44/12</f>
        <v>9.3252659858572908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37.68794560536643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68.907523194917971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389.60145120000055</v>
      </c>
      <c r="AK143" s="13">
        <f t="shared" si="143"/>
        <v>89.665298143968485</v>
      </c>
      <c r="AL143" s="20">
        <f t="shared" si="112"/>
        <v>834.72292177407928</v>
      </c>
      <c r="AM143" s="59">
        <f t="shared" si="113"/>
        <v>1124.0505068221119</v>
      </c>
      <c r="AN143" s="59">
        <f ca="1">AVERAGE(OFFSET($AM$3,0,0,'Données projet'!$E$10+1,1))-AVERAGE(OFFSET($H$3,0,0,'Données projet'!$E$10+1,1))</f>
        <v>608.11285041597125</v>
      </c>
      <c r="AO143" s="59">
        <f t="shared" si="144"/>
        <v>282.40007659049331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59.377907972676439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59.377907972676439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68.907523194917971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6.2527760746888816E-13</v>
      </c>
      <c r="BE143" s="13">
        <f>BD143*VLOOKUP('Données projet'!$B$11,Paramètres!$A$1:$I$89,3,0)*VLOOKUP('Données projet'!$B$11,Paramètres!$A$1:$I$89,5,0)</f>
        <v>2.9262992029543964E-13</v>
      </c>
      <c r="BF143" s="13">
        <f t="shared" si="145"/>
        <v>3.8796387982050903E-12</v>
      </c>
      <c r="BG143" s="20">
        <f t="shared" si="115"/>
        <v>7.2667013513884219E-12</v>
      </c>
      <c r="BH143" s="59">
        <f t="shared" si="116"/>
        <v>289.32758504803985</v>
      </c>
      <c r="BI143" s="59">
        <f ca="1">AVERAGE(OFFSET($BH$3,0,0,'Données projet'!$E$11+1,1))-AVERAGE(OFFSET($H$3,0,0,'Données projet'!$E$11+1,1))</f>
        <v>355.12987360915633</v>
      </c>
      <c r="BJ143" s="59">
        <f t="shared" si="146"/>
        <v>286.78588538798715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144.18232698724859</v>
      </c>
      <c r="BQ143" s="21">
        <f>EXP(-LN(2)/25)*BQ142+(1-EXP(-LN(2)/25))/(LN(2)/25)*Calculateur!BL143*Calculateur!BN143*VLOOKUP('Données projet'!$B$11,Paramètres!$A$1:$I$89,3,0)*0.475*44/12</f>
        <v>50.515618459506818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194.6979454467554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68.907523194917971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68.907523194917971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68.907523194917971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68.907523194917971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68.907523194917971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68.907523194917971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68.907523194917971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1.7000000000000002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6.2333333333333343</v>
      </c>
      <c r="H144" s="67">
        <f t="shared" si="110"/>
        <v>216.48000000000002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68.926475225073915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312.21112796780687</v>
      </c>
      <c r="T144" s="59">
        <f t="shared" si="142"/>
        <v>318.74634178809458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27.806504771696947</v>
      </c>
      <c r="AA144" s="21">
        <f>EXP(-LN(2)/25)*AA143+(1-EXP(-LN(2)/25))/(LN(2)/25)*Calculateur!V144*Calculateur!X144*VLOOKUP('Données projet'!$B$9,Paramètres!$A$1:$I$89,3,0)*0.475*44/12</f>
        <v>9.0702660970795979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36.876770868776546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68.926475225073915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396.98371440000057</v>
      </c>
      <c r="AK144" s="13">
        <f t="shared" si="143"/>
        <v>91.164890478045521</v>
      </c>
      <c r="AL144" s="20">
        <f t="shared" si="112"/>
        <v>850.19215349593026</v>
      </c>
      <c r="AM144" s="59">
        <f t="shared" si="113"/>
        <v>1139.5892293212014</v>
      </c>
      <c r="AN144" s="59">
        <f ca="1">AVERAGE(OFFSET($AM$3,0,0,'Données projet'!$E$10+1,1))-AVERAGE(OFFSET($H$3,0,0,'Données projet'!$E$10+1,1))</f>
        <v>608.11285041597125</v>
      </c>
      <c r="AO144" s="59">
        <f t="shared" si="144"/>
        <v>282.40007659049331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58.213543414279989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58.213543414279989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68.926475225073915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6.2527760746888816E-13</v>
      </c>
      <c r="BE144" s="13">
        <f>BD144*VLOOKUP('Données projet'!$B$11,Paramètres!$A$1:$I$89,3,0)*VLOOKUP('Données projet'!$B$11,Paramètres!$A$1:$I$89,5,0)</f>
        <v>2.9262992029543964E-13</v>
      </c>
      <c r="BF144" s="13">
        <f t="shared" si="145"/>
        <v>3.8796387982050903E-12</v>
      </c>
      <c r="BG144" s="20">
        <f t="shared" si="115"/>
        <v>7.2667013513884219E-12</v>
      </c>
      <c r="BH144" s="59">
        <f t="shared" si="116"/>
        <v>289.39707582527831</v>
      </c>
      <c r="BI144" s="59">
        <f ca="1">AVERAGE(OFFSET($BH$3,0,0,'Données projet'!$E$11+1,1))-AVERAGE(OFFSET($H$3,0,0,'Données projet'!$E$11+1,1))</f>
        <v>355.12987360915633</v>
      </c>
      <c r="BJ144" s="59">
        <f t="shared" si="146"/>
        <v>286.78588538798715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141.35499949756451</v>
      </c>
      <c r="BQ144" s="21">
        <f>EXP(-LN(2)/25)*BQ143+(1-EXP(-LN(2)/25))/(LN(2)/25)*Calculateur!BL144*Calculateur!BN144*VLOOKUP('Données projet'!$B$11,Paramètres!$A$1:$I$89,3,0)*0.475*44/12</f>
        <v>49.134266216230685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190.48926571379519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68.926475225073915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68.926475225073915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68.926475225073915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68.926475225073915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68.926475225073915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68.926475225073915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68.926475225073915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1.7000000000000002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6.2333333333333343</v>
      </c>
      <c r="H145" s="67">
        <f t="shared" si="110"/>
        <v>216.48000000000002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68.945098479877032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312.21112796780687</v>
      </c>
      <c r="T145" s="59">
        <f t="shared" si="142"/>
        <v>318.74634178809458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27.261236173417192</v>
      </c>
      <c r="AA145" s="21">
        <f>EXP(-LN(2)/25)*AA144+(1-EXP(-LN(2)/25))/(LN(2)/25)*Calculateur!V145*Calculateur!X145*VLOOKUP('Données projet'!$B$9,Paramètres!$A$1:$I$89,3,0)*0.475*44/12</f>
        <v>8.8222391936703932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36.083475367087587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68.945098479877032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404.36597760000052</v>
      </c>
      <c r="AK145" s="13">
        <f t="shared" si="143"/>
        <v>92.66124016608812</v>
      </c>
      <c r="AL145" s="20">
        <f t="shared" si="112"/>
        <v>865.655737609271</v>
      </c>
      <c r="AM145" s="59">
        <f t="shared" si="113"/>
        <v>1155.1210987021534</v>
      </c>
      <c r="AN145" s="59">
        <f ca="1">AVERAGE(OFFSET($AM$3,0,0,'Données projet'!$E$10+1,1))-AVERAGE(OFFSET($H$3,0,0,'Données projet'!$E$10+1,1))</f>
        <v>608.11285041597125</v>
      </c>
      <c r="AO145" s="59">
        <f t="shared" si="144"/>
        <v>282.40007659049331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57.072011334681441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57.072011334681441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68.945098479877032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6.2527760746888816E-13</v>
      </c>
      <c r="BE145" s="13">
        <f>BD145*VLOOKUP('Données projet'!$B$11,Paramètres!$A$1:$I$89,3,0)*VLOOKUP('Données projet'!$B$11,Paramètres!$A$1:$I$89,5,0)</f>
        <v>2.9262992029543964E-13</v>
      </c>
      <c r="BF145" s="13">
        <f t="shared" si="145"/>
        <v>3.8796387982050903E-12</v>
      </c>
      <c r="BG145" s="20">
        <f t="shared" si="115"/>
        <v>7.2667013513884219E-12</v>
      </c>
      <c r="BH145" s="59">
        <f t="shared" si="116"/>
        <v>289.46536109288974</v>
      </c>
      <c r="BI145" s="59">
        <f ca="1">AVERAGE(OFFSET($BH$3,0,0,'Données projet'!$E$11+1,1))-AVERAGE(OFFSET($H$3,0,0,'Données projet'!$E$11+1,1))</f>
        <v>355.12987360915633</v>
      </c>
      <c r="BJ145" s="59">
        <f t="shared" si="146"/>
        <v>286.78588538798715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138.58311417545363</v>
      </c>
      <c r="BQ145" s="21">
        <f>EXP(-LN(2)/25)*BQ144+(1-EXP(-LN(2)/25))/(LN(2)/25)*Calculateur!BL145*Calculateur!BN145*VLOOKUP('Données projet'!$B$11,Paramètres!$A$1:$I$89,3,0)*0.475*44/12</f>
        <v>47.790687122689093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186.37380129814272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68.945098479877032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68.945098479877032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68.945098479877032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68.945098479877032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68.945098479877032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68.945098479877032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68.945098479877032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1.7000000000000002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6.2333333333333343</v>
      </c>
      <c r="H146" s="67">
        <f t="shared" si="110"/>
        <v>216.48000000000002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68.963398662844682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312.21112796780687</v>
      </c>
      <c r="T146" s="59">
        <f t="shared" si="142"/>
        <v>318.74634178809458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26.726659959768696</v>
      </c>
      <c r="AA146" s="21">
        <f>EXP(-LN(2)/25)*AA145+(1-EXP(-LN(2)/25))/(LN(2)/25)*Calculateur!V146*Calculateur!X146*VLOOKUP('Données projet'!$B$9,Paramètres!$A$1:$I$89,3,0)*0.475*44/12</f>
        <v>8.58099459897808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35.307654558746776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68.963398662844682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411.74824080000053</v>
      </c>
      <c r="AK146" s="13">
        <f t="shared" si="143"/>
        <v>94.15441323509782</v>
      </c>
      <c r="AL146" s="20">
        <f t="shared" si="112"/>
        <v>881.11378911112968</v>
      </c>
      <c r="AM146" s="59">
        <f t="shared" si="113"/>
        <v>1170.6462508748934</v>
      </c>
      <c r="AN146" s="59">
        <f ca="1">AVERAGE(OFFSET($AM$3,0,0,'Données projet'!$E$10+1,1))-AVERAGE(OFFSET($H$3,0,0,'Données projet'!$E$10+1,1))</f>
        <v>608.11285041597125</v>
      </c>
      <c r="AO146" s="59">
        <f t="shared" si="144"/>
        <v>282.40007659049331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55.952864002898004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55.952864002898004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68.963398662844682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6.2527760746888816E-13</v>
      </c>
      <c r="BE146" s="13">
        <f>BD146*VLOOKUP('Données projet'!$B$11,Paramètres!$A$1:$I$89,3,0)*VLOOKUP('Données projet'!$B$11,Paramètres!$A$1:$I$89,5,0)</f>
        <v>2.9262992029543964E-13</v>
      </c>
      <c r="BF146" s="13">
        <f t="shared" si="145"/>
        <v>3.8796387982050903E-12</v>
      </c>
      <c r="BG146" s="20">
        <f t="shared" si="115"/>
        <v>7.2667013513884219E-12</v>
      </c>
      <c r="BH146" s="59">
        <f t="shared" si="116"/>
        <v>289.5324617637711</v>
      </c>
      <c r="BI146" s="59">
        <f ca="1">AVERAGE(OFFSET($BH$3,0,0,'Données projet'!$E$11+1,1))-AVERAGE(OFFSET($H$3,0,0,'Données projet'!$E$11+1,1))</f>
        <v>355.12987360915633</v>
      </c>
      <c r="BJ146" s="59">
        <f t="shared" si="146"/>
        <v>286.78588538798715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135.86558383382624</v>
      </c>
      <c r="BQ146" s="21">
        <f>EXP(-LN(2)/25)*BQ145+(1-EXP(-LN(2)/25))/(LN(2)/25)*Calculateur!BL146*Calculateur!BN146*VLOOKUP('Données projet'!$B$11,Paramètres!$A$1:$I$89,3,0)*0.475*44/12</f>
        <v>46.483848270116148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182.34943210394238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68.963398662844682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68.963398662844682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68.963398662844682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68.963398662844682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68.963398662844682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68.963398662844682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68.963398662844682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1.7000000000000002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6.2333333333333343</v>
      </c>
      <c r="H147" s="67">
        <f t="shared" si="110"/>
        <v>216.48000000000002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68.981381378550921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312.21112796780687</v>
      </c>
      <c r="T147" s="59">
        <f t="shared" si="142"/>
        <v>318.74634178809458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26.202566459610551</v>
      </c>
      <c r="AA147" s="21">
        <f>EXP(-LN(2)/25)*AA146+(1-EXP(-LN(2)/25))/(LN(2)/25)*Calculateur!V147*Calculateur!X147*VLOOKUP('Données projet'!$B$9,Paramètres!$A$1:$I$89,3,0)*0.475*44/12</f>
        <v>8.3463468504141307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34.54891331002468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68.981381378550921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419.13050400000049</v>
      </c>
      <c r="AK147" s="13">
        <f t="shared" si="143"/>
        <v>95.644473208887277</v>
      </c>
      <c r="AL147" s="20">
        <f t="shared" si="112"/>
        <v>896.56641863881293</v>
      </c>
      <c r="AM147" s="59">
        <f t="shared" si="113"/>
        <v>1186.1648170268329</v>
      </c>
      <c r="AN147" s="59">
        <f ca="1">AVERAGE(OFFSET($AM$3,0,0,'Données projet'!$E$10+1,1))-AVERAGE(OFFSET($H$3,0,0,'Données projet'!$E$10+1,1))</f>
        <v>608.11285041597125</v>
      </c>
      <c r="AO147" s="59">
        <f t="shared" si="144"/>
        <v>282.40007659049331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69.309560312196439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69.309560312196439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68.981381378550921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6.2527760746888816E-13</v>
      </c>
      <c r="BE147" s="13">
        <f>BD147*VLOOKUP('Données projet'!$B$11,Paramètres!$A$1:$I$89,3,0)*VLOOKUP('Données projet'!$B$11,Paramètres!$A$1:$I$89,5,0)</f>
        <v>2.9262992029543964E-13</v>
      </c>
      <c r="BF147" s="13">
        <f t="shared" si="145"/>
        <v>3.8796387982050903E-12</v>
      </c>
      <c r="BG147" s="20">
        <f t="shared" si="115"/>
        <v>7.2667013513884219E-12</v>
      </c>
      <c r="BH147" s="59">
        <f t="shared" si="116"/>
        <v>289.59839838802731</v>
      </c>
      <c r="BI147" s="59">
        <f ca="1">AVERAGE(OFFSET($BH$3,0,0,'Données projet'!$E$11+1,1))-AVERAGE(OFFSET($H$3,0,0,'Données projet'!$E$11+1,1))</f>
        <v>355.12987360915633</v>
      </c>
      <c r="BJ147" s="59">
        <f t="shared" si="146"/>
        <v>286.78588538798715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133.20134260466833</v>
      </c>
      <c r="BQ147" s="21">
        <f>EXP(-LN(2)/25)*BQ146+(1-EXP(-LN(2)/25))/(LN(2)/25)*Calculateur!BL147*Calculateur!BN147*VLOOKUP('Données projet'!$B$11,Paramètres!$A$1:$I$89,3,0)*0.475*44/12</f>
        <v>45.212744994690482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178.41408759935882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68.981381378550921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68.981381378550921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68.981381378550921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68.981381378550921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68.981381378550921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68.981381378550921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68.981381378550921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1.7000000000000002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6.2333333333333343</v>
      </c>
      <c r="H148" s="67">
        <f t="shared" si="110"/>
        <v>216.48000000000002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68.999052134342989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312.21112796780687</v>
      </c>
      <c r="T148" s="59">
        <f t="shared" si="142"/>
        <v>318.74634178809458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25.688750113325039</v>
      </c>
      <c r="AA148" s="21">
        <f>EXP(-LN(2)/25)*AA147+(1-EXP(-LN(2)/25))/(LN(2)/25)*Calculateur!V148*Calculateur!X148*VLOOKUP('Données projet'!$B$9,Paramètres!$A$1:$I$89,3,0)*0.475*44/12</f>
        <v>8.1181155568742511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33.806865670199286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68.999052134342989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375.98511600000052</v>
      </c>
      <c r="AK148" s="13">
        <f t="shared" si="143"/>
        <v>86.890611547517153</v>
      </c>
      <c r="AL148" s="20">
        <f t="shared" si="112"/>
        <v>806.17522547859323</v>
      </c>
      <c r="AM148" s="59">
        <f t="shared" si="113"/>
        <v>1095.838416637851</v>
      </c>
      <c r="AN148" s="59">
        <f ca="1">AVERAGE(OFFSET($AM$3,0,0,'Données projet'!$E$10+1,1))-AVERAGE(OFFSET($H$3,0,0,'Données projet'!$E$10+1,1))</f>
        <v>608.11285041597125</v>
      </c>
      <c r="AO148" s="59">
        <f t="shared" si="144"/>
        <v>282.40007659049331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67.950442109131785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67.950442109131785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68.999052134342989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6.2527760746888816E-13</v>
      </c>
      <c r="BE148" s="13">
        <f>BD148*VLOOKUP('Données projet'!$B$11,Paramètres!$A$1:$I$89,3,0)*VLOOKUP('Données projet'!$B$11,Paramètres!$A$1:$I$89,5,0)</f>
        <v>2.9262992029543964E-13</v>
      </c>
      <c r="BF148" s="13">
        <f t="shared" si="145"/>
        <v>3.8796387982050903E-12</v>
      </c>
      <c r="BG148" s="20">
        <f t="shared" si="115"/>
        <v>7.2667013513884219E-12</v>
      </c>
      <c r="BH148" s="59">
        <f t="shared" si="116"/>
        <v>289.6631911592649</v>
      </c>
      <c r="BI148" s="59">
        <f ca="1">AVERAGE(OFFSET($BH$3,0,0,'Données projet'!$E$11+1,1))-AVERAGE(OFFSET($H$3,0,0,'Données projet'!$E$11+1,1))</f>
        <v>355.12987360915633</v>
      </c>
      <c r="BJ148" s="59">
        <f t="shared" si="146"/>
        <v>286.78588538798715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130.58934552098751</v>
      </c>
      <c r="BQ148" s="21">
        <f>EXP(-LN(2)/25)*BQ147+(1-EXP(-LN(2)/25))/(LN(2)/25)*Calculateur!BL148*Calculateur!BN148*VLOOKUP('Données projet'!$B$11,Paramètres!$A$1:$I$89,3,0)*0.475*44/12</f>
        <v>43.976400105175749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174.56574562616325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68.999052134342989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68.999052134342989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68.999052134342989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68.999052134342989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68.999052134342989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68.999052134342989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68.999052134342989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1.7000000000000002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6.2333333333333343</v>
      </c>
      <c r="H149" s="67">
        <f t="shared" si="110"/>
        <v>216.48000000000002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69.016416342027966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312.21112796780687</v>
      </c>
      <c r="T149" s="59">
        <f t="shared" si="142"/>
        <v>318.74634178809458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25.185009392193159</v>
      </c>
      <c r="AA149" s="21">
        <f>EXP(-LN(2)/25)*AA148+(1-EXP(-LN(2)/25))/(LN(2)/25)*Calculateur!V149*Calculateur!X149*VLOOKUP('Données projet'!$B$9,Paramètres!$A$1:$I$89,3,0)*0.475*44/12</f>
        <v>7.8961252600583816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33.081134652251542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69.016416342027966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383.51757600000053</v>
      </c>
      <c r="AK149" s="13">
        <f t="shared" si="143"/>
        <v>88.426967368766455</v>
      </c>
      <c r="AL149" s="20">
        <f t="shared" si="112"/>
        <v>821.97007970060247</v>
      </c>
      <c r="AM149" s="59">
        <f t="shared" si="113"/>
        <v>1111.6969396213717</v>
      </c>
      <c r="AN149" s="59">
        <f ca="1">AVERAGE(OFFSET($AM$3,0,0,'Données projet'!$E$10+1,1))-AVERAGE(OFFSET($H$3,0,0,'Données projet'!$E$10+1,1))</f>
        <v>608.11285041597125</v>
      </c>
      <c r="AO149" s="59">
        <f t="shared" si="144"/>
        <v>282.40007659049331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66.617975385048979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66.617975385048979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69.016416342027966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6.2527760746888816E-13</v>
      </c>
      <c r="BE149" s="13">
        <f>BD149*VLOOKUP('Données projet'!$B$11,Paramètres!$A$1:$I$89,3,0)*VLOOKUP('Données projet'!$B$11,Paramètres!$A$1:$I$89,5,0)</f>
        <v>2.9262992029543964E-13</v>
      </c>
      <c r="BF149" s="13">
        <f t="shared" si="145"/>
        <v>3.8796387982050903E-12</v>
      </c>
      <c r="BG149" s="20">
        <f t="shared" si="115"/>
        <v>7.2667013513884219E-12</v>
      </c>
      <c r="BH149" s="59">
        <f t="shared" si="116"/>
        <v>289.72685992077646</v>
      </c>
      <c r="BI149" s="59">
        <f ca="1">AVERAGE(OFFSET($BH$3,0,0,'Données projet'!$E$11+1,1))-AVERAGE(OFFSET($H$3,0,0,'Données projet'!$E$11+1,1))</f>
        <v>355.12987360915633</v>
      </c>
      <c r="BJ149" s="59">
        <f t="shared" si="146"/>
        <v>286.78588538798715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128.02856810695675</v>
      </c>
      <c r="BQ149" s="21">
        <f>EXP(-LN(2)/25)*BQ148+(1-EXP(-LN(2)/25))/(LN(2)/25)*Calculateur!BL149*Calculateur!BN149*VLOOKUP('Données projet'!$B$11,Paramètres!$A$1:$I$89,3,0)*0.475*44/12</f>
        <v>42.773863131681345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170.80243123863809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69.016416342027966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69.016416342027966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69.016416342027966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69.016416342027966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69.016416342027966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69.016416342027966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69.016416342027966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1.7000000000000002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6.2333333333333343</v>
      </c>
      <c r="H150" s="67">
        <f t="shared" si="110"/>
        <v>216.48000000000002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69.03347931953013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312.21112796780687</v>
      </c>
      <c r="T150" s="59">
        <f t="shared" si="142"/>
        <v>318.74634178809458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24.691146719351174</v>
      </c>
      <c r="AA150" s="21">
        <f>EXP(-LN(2)/25)*AA149+(1-EXP(-LN(2)/25))/(LN(2)/25)*Calculateur!V150*Calculateur!X150*VLOOKUP('Données projet'!$B$9,Paramètres!$A$1:$I$89,3,0)*0.475*44/12</f>
        <v>7.6802052995829042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32.371352018934076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69.03347931953013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391.05003600000049</v>
      </c>
      <c r="AK150" s="13">
        <f t="shared" si="143"/>
        <v>89.959814624965674</v>
      </c>
      <c r="AL150" s="20">
        <f t="shared" si="112"/>
        <v>837.75882317181595</v>
      </c>
      <c r="AM150" s="59">
        <f t="shared" si="113"/>
        <v>1127.5482473434265</v>
      </c>
      <c r="AN150" s="59">
        <f ca="1">AVERAGE(OFFSET($AM$3,0,0,'Données projet'!$E$10+1,1))-AVERAGE(OFFSET($H$3,0,0,'Données projet'!$E$10+1,1))</f>
        <v>608.11285041597125</v>
      </c>
      <c r="AO150" s="59">
        <f t="shared" si="144"/>
        <v>282.40007659049331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65.311637520700984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65.311637520700984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69.03347931953013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6.2527760746888816E-13</v>
      </c>
      <c r="BE150" s="13">
        <f>BD150*VLOOKUP('Données projet'!$B$11,Paramètres!$A$1:$I$89,3,0)*VLOOKUP('Données projet'!$B$11,Paramètres!$A$1:$I$89,5,0)</f>
        <v>2.9262992029543964E-13</v>
      </c>
      <c r="BF150" s="13">
        <f t="shared" si="145"/>
        <v>3.8796387982050903E-12</v>
      </c>
      <c r="BG150" s="20">
        <f t="shared" si="115"/>
        <v>7.2667013513884219E-12</v>
      </c>
      <c r="BH150" s="59">
        <f t="shared" si="116"/>
        <v>289.78942417161778</v>
      </c>
      <c r="BI150" s="59">
        <f ca="1">AVERAGE(OFFSET($BH$3,0,0,'Données projet'!$E$11+1,1))-AVERAGE(OFFSET($H$3,0,0,'Données projet'!$E$11+1,1))</f>
        <v>355.12987360915633</v>
      </c>
      <c r="BJ150" s="59">
        <f t="shared" si="146"/>
        <v>286.78588538798715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125.51800597609515</v>
      </c>
      <c r="BQ150" s="21">
        <f>EXP(-LN(2)/25)*BQ149+(1-EXP(-LN(2)/25))/(LN(2)/25)*Calculateur!BL150*Calculateur!BN150*VLOOKUP('Données projet'!$B$11,Paramètres!$A$1:$I$89,3,0)*0.475*44/12</f>
        <v>41.604209594965816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167.12221557106096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69.03347931953013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69.03347931953013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69.03347931953013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69.03347931953013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69.03347931953013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69.03347931953013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69.03347931953013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1.7000000000000002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6.2333333333333343</v>
      </c>
      <c r="H151" s="67">
        <f t="shared" si="110"/>
        <v>216.48000000000002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69.050246292519773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312.21112796780687</v>
      </c>
      <c r="T151" s="59">
        <f t="shared" si="142"/>
        <v>318.74634178809458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24.206968392297135</v>
      </c>
      <c r="AA151" s="21">
        <f>EXP(-LN(2)/25)*AA150+(1-EXP(-LN(2)/25))/(LN(2)/25)*Calculateur!V151*Calculateur!X151*VLOOKUP('Données projet'!$B$9,Paramètres!$A$1:$I$89,3,0)*0.475*44/12</f>
        <v>7.470189681781366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31.677158074078502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69.050246292519773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398.5824960000005</v>
      </c>
      <c r="AK151" s="13">
        <f t="shared" si="143"/>
        <v>91.489228690064536</v>
      </c>
      <c r="AL151" s="20">
        <f t="shared" si="112"/>
        <v>853.54158716852999</v>
      </c>
      <c r="AM151" s="59">
        <f t="shared" si="113"/>
        <v>1143.3924902411025</v>
      </c>
      <c r="AN151" s="59">
        <f ca="1">AVERAGE(OFFSET($AM$3,0,0,'Données projet'!$E$10+1,1))-AVERAGE(OFFSET($H$3,0,0,'Données projet'!$E$10+1,1))</f>
        <v>608.11285041597125</v>
      </c>
      <c r="AO151" s="59">
        <f t="shared" si="144"/>
        <v>282.40007659049331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64.030916145085428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64.030916145085428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69.050246292519773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6.2527760746888816E-13</v>
      </c>
      <c r="BE151" s="13">
        <f>BD151*VLOOKUP('Données projet'!$B$11,Paramètres!$A$1:$I$89,3,0)*VLOOKUP('Données projet'!$B$11,Paramètres!$A$1:$I$89,5,0)</f>
        <v>2.9262992029543964E-13</v>
      </c>
      <c r="BF151" s="13">
        <f t="shared" si="145"/>
        <v>3.8796387982050903E-12</v>
      </c>
      <c r="BG151" s="20">
        <f t="shared" si="115"/>
        <v>7.2667013513884219E-12</v>
      </c>
      <c r="BH151" s="59">
        <f t="shared" si="116"/>
        <v>289.8509030725798</v>
      </c>
      <c r="BI151" s="59">
        <f ca="1">AVERAGE(OFFSET($BH$3,0,0,'Données projet'!$E$11+1,1))-AVERAGE(OFFSET($H$3,0,0,'Données projet'!$E$11+1,1))</f>
        <v>355.12987360915633</v>
      </c>
      <c r="BJ151" s="59">
        <f t="shared" si="146"/>
        <v>286.78588538798715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123.05667443732806</v>
      </c>
      <c r="BQ151" s="21">
        <f>EXP(-LN(2)/25)*BQ150+(1-EXP(-LN(2)/25))/(LN(2)/25)*Calculateur!BL151*Calculateur!BN151*VLOOKUP('Données projet'!$B$11,Paramètres!$A$1:$I$89,3,0)*0.475*44/12</f>
        <v>40.466540295721181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163.52321473304923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69.050246292519773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69.050246292519773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69.050246292519773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69.050246292519773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69.050246292519773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69.050246292519773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69.050246292519773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1.7000000000000002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6.2333333333333343</v>
      </c>
      <c r="H152" s="67">
        <f t="shared" si="110"/>
        <v>216.48000000000002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69.066722396013347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312.21112796780687</v>
      </c>
      <c r="T152" s="59">
        <f t="shared" si="142"/>
        <v>318.74634178809458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23.732284506917004</v>
      </c>
      <c r="AA152" s="21">
        <f>EXP(-LN(2)/25)*AA151+(1-EXP(-LN(2)/25))/(LN(2)/25)*Calculateur!V152*Calculateur!X152*VLOOKUP('Données projet'!$B$9,Paramètres!$A$1:$I$89,3,0)*0.475*44/12</f>
        <v>7.2659169520928524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30.998201459009856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69.066722396013347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406.11495600000046</v>
      </c>
      <c r="AK152" s="13">
        <f t="shared" si="143"/>
        <v>93.015281926133852</v>
      </c>
      <c r="AL152" s="20">
        <f t="shared" si="112"/>
        <v>869.31849772135058</v>
      </c>
      <c r="AM152" s="59">
        <f t="shared" si="113"/>
        <v>1159.2298131733996</v>
      </c>
      <c r="AN152" s="59">
        <f ca="1">AVERAGE(OFFSET($AM$3,0,0,'Données projet'!$E$10+1,1))-AVERAGE(OFFSET($H$3,0,0,'Données projet'!$E$10+1,1))</f>
        <v>608.11285041597125</v>
      </c>
      <c r="AO152" s="59">
        <f t="shared" si="144"/>
        <v>282.40007659049331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62.775308934482787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62.775308934482787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69.066722396013347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6.2527760746888816E-13</v>
      </c>
      <c r="BE152" s="13">
        <f>BD152*VLOOKUP('Données projet'!$B$11,Paramètres!$A$1:$I$89,3,0)*VLOOKUP('Données projet'!$B$11,Paramètres!$A$1:$I$89,5,0)</f>
        <v>2.9262992029543964E-13</v>
      </c>
      <c r="BF152" s="13">
        <f t="shared" si="145"/>
        <v>3.8796387982050903E-12</v>
      </c>
      <c r="BG152" s="20">
        <f t="shared" si="115"/>
        <v>7.2667013513884219E-12</v>
      </c>
      <c r="BH152" s="59">
        <f t="shared" si="116"/>
        <v>289.91131545205621</v>
      </c>
      <c r="BI152" s="59">
        <f ca="1">AVERAGE(OFFSET($BH$3,0,0,'Données projet'!$E$11+1,1))-AVERAGE(OFFSET($H$3,0,0,'Données projet'!$E$11+1,1))</f>
        <v>355.12987360915633</v>
      </c>
      <c r="BJ152" s="59">
        <f t="shared" si="146"/>
        <v>286.78588538798715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120.64360810877218</v>
      </c>
      <c r="BQ152" s="21">
        <f>EXP(-LN(2)/25)*BQ151+(1-EXP(-LN(2)/25))/(LN(2)/25)*Calculateur!BL152*Calculateur!BN152*VLOOKUP('Données projet'!$B$11,Paramètres!$A$1:$I$89,3,0)*0.475*44/12</f>
        <v>39.359980623291818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160.003588732064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69.066722396013347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69.066722396013347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69.066722396013347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69.066722396013347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69.066722396013347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69.066722396013347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69.066722396013347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1.7000000000000002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6.2333333333333343</v>
      </c>
      <c r="H153" s="67">
        <f t="shared" si="110"/>
        <v>216.48000000000002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69.082912675946375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312.21112796780687</v>
      </c>
      <c r="T153" s="59">
        <f t="shared" si="142"/>
        <v>318.74634178809458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23.266908883000596</v>
      </c>
      <c r="AA153" s="21">
        <f>EXP(-LN(2)/25)*AA152+(1-EXP(-LN(2)/25))/(LN(2)/25)*Calculateur!V153*Calculateur!X153*VLOOKUP('Données projet'!$B$9,Paramètres!$A$1:$I$89,3,0)*0.475*44/12</f>
        <v>7.0672300709399076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30.334138953940503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69.082912675946375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413.64741600000042</v>
      </c>
      <c r="AK153" s="13">
        <f t="shared" si="143"/>
        <v>94.538043857309361</v>
      </c>
      <c r="AL153" s="20">
        <f t="shared" si="112"/>
        <v>885.0896759181478</v>
      </c>
      <c r="AM153" s="59">
        <f t="shared" si="113"/>
        <v>1175.0603557299512</v>
      </c>
      <c r="AN153" s="59">
        <f ca="1">AVERAGE(OFFSET($AM$3,0,0,'Données projet'!$E$10+1,1))-AVERAGE(OFFSET($H$3,0,0,'Données projet'!$E$10+1,1))</f>
        <v>608.11285041597125</v>
      </c>
      <c r="AO153" s="59">
        <f t="shared" si="144"/>
        <v>282.40007659049331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61.544323415435287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61.544323415435287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69.082912675946375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6.2527760746888816E-13</v>
      </c>
      <c r="BE153" s="13">
        <f>BD153*VLOOKUP('Données projet'!$B$11,Paramètres!$A$1:$I$89,3,0)*VLOOKUP('Données projet'!$B$11,Paramètres!$A$1:$I$89,5,0)</f>
        <v>2.9262992029543964E-13</v>
      </c>
      <c r="BF153" s="13">
        <f t="shared" si="145"/>
        <v>3.8796387982050903E-12</v>
      </c>
      <c r="BG153" s="20">
        <f t="shared" si="115"/>
        <v>7.2667013513884219E-12</v>
      </c>
      <c r="BH153" s="59">
        <f t="shared" si="116"/>
        <v>289.97067981181067</v>
      </c>
      <c r="BI153" s="59">
        <f ca="1">AVERAGE(OFFSET($BH$3,0,0,'Données projet'!$E$11+1,1))-AVERAGE(OFFSET($H$3,0,0,'Données projet'!$E$11+1,1))</f>
        <v>355.12987360915633</v>
      </c>
      <c r="BJ153" s="59">
        <f t="shared" si="146"/>
        <v>286.78588538798715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118.27786053909416</v>
      </c>
      <c r="BQ153" s="21">
        <f>EXP(-LN(2)/25)*BQ152+(1-EXP(-LN(2)/25))/(LN(2)/25)*Calculateur!BL153*Calculateur!BN153*VLOOKUP('Données projet'!$B$11,Paramètres!$A$1:$I$89,3,0)*0.475*44/12</f>
        <v>38.283679883296479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156.56154042239064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69.082912675946375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69.082912675946375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69.082912675946375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69.082912675946375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69.082912675946375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69.082912675946375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69.082912675946375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1.7000000000000002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6.2333333333333343</v>
      </c>
      <c r="H154" s="67">
        <f t="shared" si="110"/>
        <v>216.48000000000002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69.098822090718613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312.21112796780687</v>
      </c>
      <c r="T154" s="59">
        <f t="shared" si="142"/>
        <v>318.74634178809458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22.810658991218087</v>
      </c>
      <c r="AA154" s="21">
        <f>EXP(-LN(2)/25)*AA153+(1-EXP(-LN(2)/25))/(LN(2)/25)*Calculateur!V154*Calculateur!X154*VLOOKUP('Données projet'!$B$9,Paramètres!$A$1:$I$89,3,0)*0.475*44/12</f>
        <v>6.8739762930005792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29.684635284218665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69.098822090718613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421.17987600000043</v>
      </c>
      <c r="AK154" s="13">
        <f t="shared" ref="AK154:AK203" si="164">EXP(-1.0587+0.8836*LN(AJ154)+0.284)</f>
        <v>96.057581330707137</v>
      </c>
      <c r="AL154" s="20">
        <f t="shared" ref="AL154:AL203" si="165">(AJ154+AK154)*0.475*44/12</f>
        <v>900.85523818431557</v>
      </c>
      <c r="AM154" s="59">
        <f t="shared" si="113"/>
        <v>1190.8842525169505</v>
      </c>
      <c r="AN154" s="59">
        <f ca="1">AVERAGE(OFFSET($AM$3,0,0,'Données projet'!$E$10+1,1))-AVERAGE(OFFSET($H$3,0,0,'Données projet'!$E$10+1,1))</f>
        <v>608.11285041597125</v>
      </c>
      <c r="AO154" s="59">
        <f t="shared" si="144"/>
        <v>282.40007659049331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60.33747677158928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60.33747677158928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69.098822090718613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6.2527760746888816E-13</v>
      </c>
      <c r="BE154" s="13">
        <f>BD154*VLOOKUP('Données projet'!$B$11,Paramètres!$A$1:$I$89,3,0)*VLOOKUP('Données projet'!$B$11,Paramètres!$A$1:$I$89,5,0)</f>
        <v>2.9262992029543964E-13</v>
      </c>
      <c r="BF154" s="13">
        <f t="shared" ref="BF154:BF203" si="167">EXP(-1.0587+0.8836*LN(BE154)+0.284)</f>
        <v>3.8796387982050903E-12</v>
      </c>
      <c r="BG154" s="20">
        <f t="shared" ref="BG154:BG203" si="168">(BE154+BF154)*0.475*44/12</f>
        <v>7.2667013513884219E-12</v>
      </c>
      <c r="BH154" s="59">
        <f t="shared" si="116"/>
        <v>290.02901433264219</v>
      </c>
      <c r="BI154" s="59">
        <f ca="1">AVERAGE(OFFSET($BH$3,0,0,'Données projet'!$E$11+1,1))-AVERAGE(OFFSET($H$3,0,0,'Données projet'!$E$11+1,1))</f>
        <v>355.12987360915633</v>
      </c>
      <c r="BJ154" s="59">
        <f t="shared" si="146"/>
        <v>286.78588538798715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115.95850383629399</v>
      </c>
      <c r="BQ154" s="21">
        <f>EXP(-LN(2)/25)*BQ153+(1-EXP(-LN(2)/25))/(LN(2)/25)*Calculateur!BL154*Calculateur!BN154*VLOOKUP('Données projet'!$B$11,Paramètres!$A$1:$I$89,3,0)*0.475*44/12</f>
        <v>37.23681064363651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153.19531447993049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69.098822090718613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69.098822090718613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69.098822090718613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69.098822090718613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69.098822090718613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69.098822090718613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69.098822090718613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1.7000000000000002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6.2333333333333343</v>
      </c>
      <c r="H155" s="67">
        <f t="shared" si="110"/>
        <v>216.48000000000002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69.114455512712667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312.21112796780687</v>
      </c>
      <c r="T155" s="59">
        <f t="shared" si="142"/>
        <v>318.74634178809458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22.363355881528477</v>
      </c>
      <c r="AA155" s="21">
        <f>EXP(-LN(2)/25)*AA154+(1-EXP(-LN(2)/25))/(LN(2)/25)*Calculateur!V155*Calculateur!X155*VLOOKUP('Données projet'!$B$9,Paramètres!$A$1:$I$89,3,0)*0.475*44/12</f>
        <v>6.6860070497817761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29.049362931310252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69.114455512712667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428.71233600000051</v>
      </c>
      <c r="AK155" s="13">
        <f t="shared" si="164"/>
        <v>97.57395866550209</v>
      </c>
      <c r="AL155" s="20">
        <f t="shared" si="165"/>
        <v>916.61529654241701</v>
      </c>
      <c r="AM155" s="59">
        <f t="shared" si="113"/>
        <v>1206.7016334223636</v>
      </c>
      <c r="AN155" s="59">
        <f ca="1">AVERAGE(OFFSET($AM$3,0,0,'Données projet'!$E$10+1,1))-AVERAGE(OFFSET($H$3,0,0,'Données projet'!$E$10+1,1))</f>
        <v>608.11285041597125</v>
      </c>
      <c r="AO155" s="59">
        <f t="shared" si="144"/>
        <v>282.40007659049331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59.154295654325324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59.154295654325324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69.114455512712667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6.2527760746888816E-13</v>
      </c>
      <c r="BE155" s="13">
        <f>BD155*VLOOKUP('Données projet'!$B$11,Paramètres!$A$1:$I$89,3,0)*VLOOKUP('Données projet'!$B$11,Paramètres!$A$1:$I$89,5,0)</f>
        <v>2.9262992029543964E-13</v>
      </c>
      <c r="BF155" s="13">
        <f t="shared" si="167"/>
        <v>3.8796387982050903E-12</v>
      </c>
      <c r="BG155" s="20">
        <f t="shared" si="168"/>
        <v>7.2667013513884219E-12</v>
      </c>
      <c r="BH155" s="59">
        <f t="shared" si="116"/>
        <v>290.08633687995371</v>
      </c>
      <c r="BI155" s="59">
        <f ca="1">AVERAGE(OFFSET($BH$3,0,0,'Données projet'!$E$11+1,1))-AVERAGE(OFFSET($H$3,0,0,'Données projet'!$E$11+1,1))</f>
        <v>355.12987360915633</v>
      </c>
      <c r="BJ155" s="59">
        <f t="shared" si="146"/>
        <v>286.78588538798715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113.68462830376782</v>
      </c>
      <c r="BQ155" s="21">
        <f>EXP(-LN(2)/25)*BQ154+(1-EXP(-LN(2)/25))/(LN(2)/25)*Calculateur!BL155*Calculateur!BN155*VLOOKUP('Données projet'!$B$11,Paramètres!$A$1:$I$89,3,0)*0.475*44/12</f>
        <v>36.2185680983875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149.90319640215532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69.114455512712667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69.114455512712667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69.114455512712667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69.114455512712667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69.114455512712667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69.114455512712667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69.114455512712667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1.7000000000000002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6.2333333333333343</v>
      </c>
      <c r="H156" s="67">
        <f t="shared" si="110"/>
        <v>216.48000000000002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69.129817729786225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312.21112796780687</v>
      </c>
      <c r="T156" s="59">
        <f t="shared" si="142"/>
        <v>318.74634178809458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21.924824112991924</v>
      </c>
      <c r="AA156" s="21">
        <f>EXP(-LN(2)/25)*AA155+(1-EXP(-LN(2)/25))/(LN(2)/25)*Calculateur!V156*Calculateur!X156*VLOOKUP('Données projet'!$B$9,Paramètres!$A$1:$I$89,3,0)*0.475*44/12</f>
        <v>6.5031778354036636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28.42800194839559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69.129817729786225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436.24479600000041</v>
      </c>
      <c r="AK156" s="13">
        <f t="shared" si="164"/>
        <v>99.087237791231857</v>
      </c>
      <c r="AL156" s="20">
        <f t="shared" si="165"/>
        <v>932.36995885306271</v>
      </c>
      <c r="AM156" s="59">
        <f t="shared" si="113"/>
        <v>1222.5126238622788</v>
      </c>
      <c r="AN156" s="59">
        <f ca="1">AVERAGE(OFFSET($AM$3,0,0,'Données projet'!$E$10+1,1))-AVERAGE(OFFSET($H$3,0,0,'Données projet'!$E$10+1,1))</f>
        <v>608.11285041597125</v>
      </c>
      <c r="AO156" s="59">
        <f t="shared" si="144"/>
        <v>282.40007659049331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57.994315997101694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57.994315997101694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69.129817729786225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6.2527760746888816E-13</v>
      </c>
      <c r="BE156" s="13">
        <f>BD156*VLOOKUP('Données projet'!$B$11,Paramètres!$A$1:$I$89,3,0)*VLOOKUP('Données projet'!$B$11,Paramètres!$A$1:$I$89,5,0)</f>
        <v>2.9262992029543964E-13</v>
      </c>
      <c r="BF156" s="13">
        <f t="shared" si="167"/>
        <v>3.8796387982050903E-12</v>
      </c>
      <c r="BG156" s="20">
        <f t="shared" si="168"/>
        <v>7.2667013513884219E-12</v>
      </c>
      <c r="BH156" s="59">
        <f t="shared" si="116"/>
        <v>290.14266500922344</v>
      </c>
      <c r="BI156" s="59">
        <f ca="1">AVERAGE(OFFSET($BH$3,0,0,'Données projet'!$E$11+1,1))-AVERAGE(OFFSET($H$3,0,0,'Données projet'!$E$11+1,1))</f>
        <v>355.12987360915633</v>
      </c>
      <c r="BJ156" s="59">
        <f t="shared" si="146"/>
        <v>286.78588538798715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111.45534208350738</v>
      </c>
      <c r="BQ156" s="21">
        <f>EXP(-LN(2)/25)*BQ155+(1-EXP(-LN(2)/25))/(LN(2)/25)*Calculateur!BL156*Calculateur!BN156*VLOOKUP('Données projet'!$B$11,Paramètres!$A$1:$I$89,3,0)*0.475*44/12</f>
        <v>35.228169449085378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146.68351153259275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69.129817729786225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69.129817729786225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69.129817729786225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69.129817729786225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69.129817729786225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69.129817729786225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69.129817729786225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1.7000000000000002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6.2333333333333343</v>
      </c>
      <c r="H157" s="67">
        <f t="shared" si="110"/>
        <v>216.48000000000002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69.144913446738315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312.21112796780687</v>
      </c>
      <c r="T157" s="59">
        <f t="shared" si="142"/>
        <v>318.74634178809458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21.494891684958404</v>
      </c>
      <c r="AA157" s="21">
        <f>EXP(-LN(2)/25)*AA156+(1-EXP(-LN(2)/25))/(LN(2)/25)*Calculateur!V157*Calculateur!X157*VLOOKUP('Données projet'!$B$9,Paramètres!$A$1:$I$89,3,0)*0.475*44/12</f>
        <v>6.3253480955072909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27.820239780465695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69.144913446738315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443.77725600000048</v>
      </c>
      <c r="AK157" s="13">
        <f t="shared" si="164"/>
        <v>100.59747837627934</v>
      </c>
      <c r="AL157" s="20">
        <f t="shared" si="165"/>
        <v>948.11932903868717</v>
      </c>
      <c r="AM157" s="59">
        <f t="shared" si="113"/>
        <v>1238.317345010061</v>
      </c>
      <c r="AN157" s="59">
        <f ca="1">AVERAGE(OFFSET($AM$3,0,0,'Données projet'!$E$10+1,1))-AVERAGE(OFFSET($H$3,0,0,'Données projet'!$E$10+1,1))</f>
        <v>608.11285041597125</v>
      </c>
      <c r="AO157" s="59">
        <f t="shared" si="144"/>
        <v>282.40007659049331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71.083888549708462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71.083888549708462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69.144913446738315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6.2527760746888816E-13</v>
      </c>
      <c r="BE157" s="13">
        <f>BD157*VLOOKUP('Données projet'!$B$11,Paramètres!$A$1:$I$89,3,0)*VLOOKUP('Données projet'!$B$11,Paramètres!$A$1:$I$89,5,0)</f>
        <v>2.9262992029543964E-13</v>
      </c>
      <c r="BF157" s="13">
        <f t="shared" si="167"/>
        <v>3.8796387982050903E-12</v>
      </c>
      <c r="BG157" s="20">
        <f t="shared" si="168"/>
        <v>7.2667013513884219E-12</v>
      </c>
      <c r="BH157" s="59">
        <f t="shared" si="116"/>
        <v>290.1980159713811</v>
      </c>
      <c r="BI157" s="59">
        <f ca="1">AVERAGE(OFFSET($BH$3,0,0,'Données projet'!$E$11+1,1))-AVERAGE(OFFSET($H$3,0,0,'Données projet'!$E$11+1,1))</f>
        <v>355.12987360915633</v>
      </c>
      <c r="BJ157" s="59">
        <f t="shared" si="146"/>
        <v>286.78588538798715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109.2697708062959</v>
      </c>
      <c r="BQ157" s="21">
        <f>EXP(-LN(2)/25)*BQ156+(1-EXP(-LN(2)/25))/(LN(2)/25)*Calculateur!BL157*Calculateur!BN157*VLOOKUP('Données projet'!$B$11,Paramètres!$A$1:$I$89,3,0)*0.475*44/12</f>
        <v>34.264853302931222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143.53462410922711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69.144913446738315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69.144913446738315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69.144913446738315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69.144913446738315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69.144913446738315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69.144913446738315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69.144913446738315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1.7000000000000002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6.2333333333333343</v>
      </c>
      <c r="H158" s="67">
        <f t="shared" si="110"/>
        <v>216.48000000000002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69.159747286750274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312.21112796780687</v>
      </c>
      <c r="T158" s="59">
        <f t="shared" si="142"/>
        <v>318.74634178809458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21.073389969605735</v>
      </c>
      <c r="AA158" s="21">
        <f>EXP(-LN(2)/25)*AA157+(1-EXP(-LN(2)/25))/(LN(2)/25)*Calculateur!V158*Calculateur!X158*VLOOKUP('Données projet'!$B$9,Paramètres!$A$1:$I$89,3,0)*0.475*44/12</f>
        <v>6.1523811192000446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27.225771088805779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69.159747286750274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401.53485840000047</v>
      </c>
      <c r="AK158" s="13">
        <f t="shared" si="164"/>
        <v>92.087764815279797</v>
      </c>
      <c r="AL158" s="20">
        <f t="shared" si="165"/>
        <v>859.72606876661303</v>
      </c>
      <c r="AM158" s="59">
        <f t="shared" si="113"/>
        <v>1149.9784754846974</v>
      </c>
      <c r="AN158" s="59">
        <f ca="1">AVERAGE(OFFSET($AM$3,0,0,'Données projet'!$E$10+1,1))-AVERAGE(OFFSET($H$3,0,0,'Données projet'!$E$10+1,1))</f>
        <v>608.11285041597125</v>
      </c>
      <c r="AO158" s="59">
        <f t="shared" si="144"/>
        <v>282.40007659049331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69.689976852139552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69.689976852139552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69.159747286750274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6.2527760746888816E-13</v>
      </c>
      <c r="BE158" s="13">
        <f>BD158*VLOOKUP('Données projet'!$B$11,Paramètres!$A$1:$I$89,3,0)*VLOOKUP('Données projet'!$B$11,Paramètres!$A$1:$I$89,5,0)</f>
        <v>2.9262992029543964E-13</v>
      </c>
      <c r="BF158" s="13">
        <f t="shared" si="167"/>
        <v>3.8796387982050903E-12</v>
      </c>
      <c r="BG158" s="20">
        <f t="shared" si="168"/>
        <v>7.2667013513884219E-12</v>
      </c>
      <c r="BH158" s="59">
        <f t="shared" si="116"/>
        <v>290.25240671809161</v>
      </c>
      <c r="BI158" s="59">
        <f ca="1">AVERAGE(OFFSET($BH$3,0,0,'Données projet'!$E$11+1,1))-AVERAGE(OFFSET($H$3,0,0,'Données projet'!$E$11+1,1))</f>
        <v>355.12987360915633</v>
      </c>
      <c r="BJ158" s="59">
        <f t="shared" si="146"/>
        <v>286.78588538798715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107.12705724876368</v>
      </c>
      <c r="BQ158" s="21">
        <f>EXP(-LN(2)/25)*BQ157+(1-EXP(-LN(2)/25))/(LN(2)/25)*Calculateur!BL158*Calculateur!BN158*VLOOKUP('Données projet'!$B$11,Paramètres!$A$1:$I$89,3,0)*0.475*44/12</f>
        <v>33.327879087452246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140.45493633621592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69.159747286750274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69.159747286750274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69.159747286750274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69.159747286750274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69.159747286750274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69.159747286750274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69.159747286750274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1.7000000000000002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6.2333333333333343</v>
      </c>
      <c r="H159" s="67">
        <f t="shared" si="110"/>
        <v>216.48000000000002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69.174323792801516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312.21112796780687</v>
      </c>
      <c r="T159" s="59">
        <f t="shared" si="142"/>
        <v>318.74634178809458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20.66015364580047</v>
      </c>
      <c r="AA159" s="21">
        <f>EXP(-LN(2)/25)*AA158+(1-EXP(-LN(2)/25))/(LN(2)/25)*Calculateur!V159*Calculateur!X159*VLOOKUP('Données projet'!$B$9,Paramètres!$A$1:$I$89,3,0)*0.475*44/12</f>
        <v>5.984143933955858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26.644297579756326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69.174323792801516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409.1740848000004</v>
      </c>
      <c r="AK159" s="13">
        <f t="shared" si="164"/>
        <v>93.634108404325715</v>
      </c>
      <c r="AL159" s="20">
        <f t="shared" si="165"/>
        <v>875.72426983086791</v>
      </c>
      <c r="AM159" s="59">
        <f t="shared" si="113"/>
        <v>1166.0301237378069</v>
      </c>
      <c r="AN159" s="59">
        <f ca="1">AVERAGE(OFFSET($AM$3,0,0,'Données projet'!$E$10+1,1))-AVERAGE(OFFSET($H$3,0,0,'Données projet'!$E$10+1,1))</f>
        <v>608.11285041597125</v>
      </c>
      <c r="AO159" s="59">
        <f t="shared" si="144"/>
        <v>282.40007659049331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68.323398912757781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68.323398912757781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69.174323792801516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6.2527760746888816E-13</v>
      </c>
      <c r="BE159" s="13">
        <f>BD159*VLOOKUP('Données projet'!$B$11,Paramètres!$A$1:$I$89,3,0)*VLOOKUP('Données projet'!$B$11,Paramètres!$A$1:$I$89,5,0)</f>
        <v>2.9262992029543964E-13</v>
      </c>
      <c r="BF159" s="13">
        <f t="shared" si="167"/>
        <v>3.8796387982050903E-12</v>
      </c>
      <c r="BG159" s="20">
        <f t="shared" si="168"/>
        <v>7.2667013513884219E-12</v>
      </c>
      <c r="BH159" s="59">
        <f t="shared" si="116"/>
        <v>290.3058539069462</v>
      </c>
      <c r="BI159" s="59">
        <f ca="1">AVERAGE(OFFSET($BH$3,0,0,'Données projet'!$E$11+1,1))-AVERAGE(OFFSET($H$3,0,0,'Données projet'!$E$11+1,1))</f>
        <v>355.12987360915633</v>
      </c>
      <c r="BJ159" s="59">
        <f t="shared" si="146"/>
        <v>286.78588538798715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105.02636099716845</v>
      </c>
      <c r="BQ159" s="21">
        <f>EXP(-LN(2)/25)*BQ158+(1-EXP(-LN(2)/25))/(LN(2)/25)*Calculateur!BL159*Calculateur!BN159*VLOOKUP('Données projet'!$B$11,Paramètres!$A$1:$I$89,3,0)*0.475*44/12</f>
        <v>32.416526481168873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137.44288747833733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69.174323792801516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69.174323792801516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69.174323792801516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69.174323792801516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69.174323792801516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69.174323792801516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69.174323792801516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1.7000000000000002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6.2333333333333343</v>
      </c>
      <c r="H160" s="67">
        <f t="shared" si="110"/>
        <v>216.48000000000002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69.18864742906095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312.21112796780687</v>
      </c>
      <c r="T160" s="59">
        <f t="shared" si="142"/>
        <v>318.74634178809458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20.255020634255757</v>
      </c>
      <c r="AA160" s="21">
        <f>EXP(-LN(2)/25)*AA159+(1-EXP(-LN(2)/25))/(LN(2)/25)*Calculateur!V160*Calculateur!X160*VLOOKUP('Données projet'!$B$9,Paramètres!$A$1:$I$89,3,0)*0.475*44/12</f>
        <v>5.8205072033893828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26.07552783764514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69.18864742906095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416.81331120000038</v>
      </c>
      <c r="AK160" s="13">
        <f t="shared" si="164"/>
        <v>95.177094964322421</v>
      </c>
      <c r="AL160" s="20">
        <f t="shared" si="165"/>
        <v>891.71662406952885</v>
      </c>
      <c r="AM160" s="59">
        <f t="shared" si="113"/>
        <v>1182.0749979760858</v>
      </c>
      <c r="AN160" s="59">
        <f ca="1">AVERAGE(OFFSET($AM$3,0,0,'Données projet'!$E$10+1,1))-AVERAGE(OFFSET($H$3,0,0,'Données projet'!$E$10+1,1))</f>
        <v>608.11285041597125</v>
      </c>
      <c r="AO160" s="59">
        <f t="shared" si="144"/>
        <v>282.40007659049331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66.983618733237051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66.983618733237051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69.18864742906095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6.2527760746888816E-13</v>
      </c>
      <c r="BE160" s="13">
        <f>BD160*VLOOKUP('Données projet'!$B$11,Paramètres!$A$1:$I$89,3,0)*VLOOKUP('Données projet'!$B$11,Paramètres!$A$1:$I$89,5,0)</f>
        <v>2.9262992029543964E-13</v>
      </c>
      <c r="BF160" s="13">
        <f t="shared" si="167"/>
        <v>3.8796387982050903E-12</v>
      </c>
      <c r="BG160" s="20">
        <f t="shared" si="168"/>
        <v>7.2667013513884219E-12</v>
      </c>
      <c r="BH160" s="59">
        <f t="shared" si="116"/>
        <v>290.35837390656411</v>
      </c>
      <c r="BI160" s="59">
        <f ca="1">AVERAGE(OFFSET($BH$3,0,0,'Données projet'!$E$11+1,1))-AVERAGE(OFFSET($H$3,0,0,'Données projet'!$E$11+1,1))</f>
        <v>355.12987360915633</v>
      </c>
      <c r="BJ160" s="59">
        <f t="shared" si="146"/>
        <v>286.78588538798715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102.96685811776881</v>
      </c>
      <c r="BQ160" s="21">
        <f>EXP(-LN(2)/25)*BQ159+(1-EXP(-LN(2)/25))/(LN(2)/25)*Calculateur!BL160*Calculateur!BN160*VLOOKUP('Données projet'!$B$11,Paramètres!$A$1:$I$89,3,0)*0.475*44/12</f>
        <v>31.530094859830271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134.49695297759908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69.18864742906095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69.18864742906095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69.18864742906095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69.18864742906095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69.18864742906095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69.18864742906095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69.18864742906095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1.7000000000000002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6.2333333333333343</v>
      </c>
      <c r="H161" s="67">
        <f t="shared" si="110"/>
        <v>216.48000000000002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69.20272258225414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312.21112796780687</v>
      </c>
      <c r="T161" s="59">
        <f t="shared" si="142"/>
        <v>318.74634178809458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19.857832033960698</v>
      </c>
      <c r="AA161" s="21">
        <f>EXP(-LN(2)/25)*AA160+(1-EXP(-LN(2)/25))/(LN(2)/25)*Calculateur!V161*Calculateur!X161*VLOOKUP('Données projet'!$B$9,Paramètres!$A$1:$I$89,3,0)*0.475*44/12</f>
        <v>5.6613451278255296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25.519177161786228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69.20272258225414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424.45253760000043</v>
      </c>
      <c r="AK161" s="13">
        <f t="shared" si="164"/>
        <v>96.716793118095666</v>
      </c>
      <c r="AL161" s="20">
        <f t="shared" si="165"/>
        <v>907.70325100068385</v>
      </c>
      <c r="AM161" s="59">
        <f t="shared" si="113"/>
        <v>1198.1132338022824</v>
      </c>
      <c r="AN161" s="59">
        <f ca="1">AVERAGE(OFFSET($AM$3,0,0,'Données projet'!$E$10+1,1))-AVERAGE(OFFSET($H$3,0,0,'Données projet'!$E$10+1,1))</f>
        <v>608.11285041597125</v>
      </c>
      <c r="AO161" s="59">
        <f t="shared" si="144"/>
        <v>282.40007659049331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65.670110825851509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65.670110825851509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69.20272258225414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6.2527760746888816E-13</v>
      </c>
      <c r="BE161" s="13">
        <f>BD161*VLOOKUP('Données projet'!$B$11,Paramètres!$A$1:$I$89,3,0)*VLOOKUP('Données projet'!$B$11,Paramètres!$A$1:$I$89,5,0)</f>
        <v>2.9262992029543964E-13</v>
      </c>
      <c r="BF161" s="13">
        <f t="shared" si="167"/>
        <v>3.8796387982050903E-12</v>
      </c>
      <c r="BG161" s="20">
        <f t="shared" si="168"/>
        <v>7.2667013513884219E-12</v>
      </c>
      <c r="BH161" s="59">
        <f t="shared" si="116"/>
        <v>290.40998280160579</v>
      </c>
      <c r="BI161" s="59">
        <f ca="1">AVERAGE(OFFSET($BH$3,0,0,'Données projet'!$E$11+1,1))-AVERAGE(OFFSET($H$3,0,0,'Données projet'!$E$11+1,1))</f>
        <v>355.12987360915633</v>
      </c>
      <c r="BJ161" s="59">
        <f t="shared" si="146"/>
        <v>286.78588538798715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100.94774083366147</v>
      </c>
      <c r="BQ161" s="21">
        <f>EXP(-LN(2)/25)*BQ160+(1-EXP(-LN(2)/25))/(LN(2)/25)*Calculateur!BL161*Calculateur!BN161*VLOOKUP('Données projet'!$B$11,Paramètres!$A$1:$I$89,3,0)*0.475*44/12</f>
        <v>30.667902757792586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131.61564359145405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69.20272258225414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69.20272258225414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69.20272258225414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69.20272258225414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69.20272258225414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69.20272258225414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69.20272258225414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1.7000000000000002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6.2333333333333343</v>
      </c>
      <c r="H162" s="67">
        <f t="shared" si="110"/>
        <v>216.48000000000002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69.216553563006755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312.21112796780687</v>
      </c>
      <c r="T162" s="59">
        <f t="shared" si="142"/>
        <v>318.74634178809458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19.468432059856301</v>
      </c>
      <c r="AA162" s="21">
        <f>EXP(-LN(2)/25)*AA161+(1-EXP(-LN(2)/25))/(LN(2)/25)*Calculateur!V162*Calculateur!X162*VLOOKUP('Données projet'!$B$9,Paramètres!$A$1:$I$89,3,0)*0.475*44/12</f>
        <v>5.5065353475879393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24.97496740744424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69.216553563006755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432.09176400000035</v>
      </c>
      <c r="AK162" s="13">
        <f t="shared" si="164"/>
        <v>98.253268876899142</v>
      </c>
      <c r="AL162" s="20">
        <f t="shared" si="165"/>
        <v>923.68426559393322</v>
      </c>
      <c r="AM162" s="59">
        <f t="shared" si="113"/>
        <v>1214.1449619916248</v>
      </c>
      <c r="AN162" s="59">
        <f ca="1">AVERAGE(OFFSET($AM$3,0,0,'Données projet'!$E$10+1,1))-AVERAGE(OFFSET($H$3,0,0,'Données projet'!$E$10+1,1))</f>
        <v>608.11285041597125</v>
      </c>
      <c r="AO162" s="59">
        <f t="shared" si="144"/>
        <v>282.40007659049331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64.382360007369087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64.382360007369087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69.216553563006755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6.2527760746888816E-13</v>
      </c>
      <c r="BE162" s="13">
        <f>BD162*VLOOKUP('Données projet'!$B$11,Paramètres!$A$1:$I$89,3,0)*VLOOKUP('Données projet'!$B$11,Paramètres!$A$1:$I$89,5,0)</f>
        <v>2.9262992029543964E-13</v>
      </c>
      <c r="BF162" s="13">
        <f t="shared" si="167"/>
        <v>3.8796387982050903E-12</v>
      </c>
      <c r="BG162" s="20">
        <f t="shared" si="168"/>
        <v>7.2667013513884219E-12</v>
      </c>
      <c r="BH162" s="59">
        <f t="shared" si="116"/>
        <v>290.46069639769871</v>
      </c>
      <c r="BI162" s="59">
        <f ca="1">AVERAGE(OFFSET($BH$3,0,0,'Données projet'!$E$11+1,1))-AVERAGE(OFFSET($H$3,0,0,'Données projet'!$E$11+1,1))</f>
        <v>355.12987360915633</v>
      </c>
      <c r="BJ162" s="59">
        <f t="shared" si="146"/>
        <v>286.78588538798715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98.968217207955547</v>
      </c>
      <c r="BQ162" s="21">
        <f>EXP(-LN(2)/25)*BQ161+(1-EXP(-LN(2)/25))/(LN(2)/25)*Calculateur!BL162*Calculateur!BN162*VLOOKUP('Données projet'!$B$11,Paramètres!$A$1:$I$89,3,0)*0.475*44/12</f>
        <v>29.829287344125834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128.79750455208139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69.216553563006755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69.216553563006755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69.216553563006755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69.216553563006755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69.216553563006755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69.216553563006755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69.216553563006755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1.7000000000000002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6.2333333333333343</v>
      </c>
      <c r="H163" s="67">
        <f t="shared" si="110"/>
        <v>216.48000000000002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69.230144607164746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312.21112796780687</v>
      </c>
      <c r="T163" s="59">
        <f t="shared" si="142"/>
        <v>318.74634178809458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19.086667981733559</v>
      </c>
      <c r="AA163" s="21">
        <f>EXP(-LN(2)/25)*AA162+(1-EXP(-LN(2)/25))/(LN(2)/25)*Calculateur!V163*Calculateur!X163*VLOOKUP('Données projet'!$B$9,Paramètres!$A$1:$I$89,3,0)*0.475*44/12</f>
        <v>5.3559588489320387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24.442626830665596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69.230144607164746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439.73099040000034</v>
      </c>
      <c r="AK163" s="13">
        <f t="shared" si="164"/>
        <v>99.786585784186272</v>
      </c>
      <c r="AL163" s="20">
        <f t="shared" si="165"/>
        <v>939.65977852079175</v>
      </c>
      <c r="AM163" s="59">
        <f t="shared" si="113"/>
        <v>1230.1703087470626</v>
      </c>
      <c r="AN163" s="59">
        <f ca="1">AVERAGE(OFFSET($AM$3,0,0,'Données projet'!$E$10+1,1))-AVERAGE(OFFSET($H$3,0,0,'Données projet'!$E$10+1,1))</f>
        <v>608.11285041597125</v>
      </c>
      <c r="AO163" s="59">
        <f t="shared" si="144"/>
        <v>282.40007659049331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63.119861196986655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63.119861196986655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69.230144607164746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6.2527760746888816E-13</v>
      </c>
      <c r="BE163" s="13">
        <f>BD163*VLOOKUP('Données projet'!$B$11,Paramètres!$A$1:$I$89,3,0)*VLOOKUP('Données projet'!$B$11,Paramètres!$A$1:$I$89,5,0)</f>
        <v>2.9262992029543964E-13</v>
      </c>
      <c r="BF163" s="13">
        <f t="shared" si="167"/>
        <v>3.8796387982050903E-12</v>
      </c>
      <c r="BG163" s="20">
        <f t="shared" si="168"/>
        <v>7.2667013513884219E-12</v>
      </c>
      <c r="BH163" s="59">
        <f t="shared" si="116"/>
        <v>290.51053022627804</v>
      </c>
      <c r="BI163" s="59">
        <f ca="1">AVERAGE(OFFSET($BH$3,0,0,'Données projet'!$E$11+1,1))-AVERAGE(OFFSET($H$3,0,0,'Données projet'!$E$11+1,1))</f>
        <v>355.12987360915633</v>
      </c>
      <c r="BJ163" s="59">
        <f t="shared" si="146"/>
        <v>286.78588538798715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97.027510833159525</v>
      </c>
      <c r="BQ163" s="21">
        <f>EXP(-LN(2)/25)*BQ162+(1-EXP(-LN(2)/25))/(LN(2)/25)*Calculateur!BL163*Calculateur!BN163*VLOOKUP('Données projet'!$B$11,Paramètres!$A$1:$I$89,3,0)*0.475*44/12</f>
        <v>29.013603913046669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126.04111474620619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69.230144607164746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69.230144607164746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69.230144607164746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69.230144607164746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69.230144607164746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69.230144607164746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69.230144607164746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1.7000000000000002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6.2333333333333343</v>
      </c>
      <c r="H164" s="67">
        <f t="shared" si="110"/>
        <v>216.48000000000002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69.243499877091622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312.21112796780687</v>
      </c>
      <c r="T164" s="59">
        <f t="shared" si="142"/>
        <v>318.74634178809458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18.712390064329707</v>
      </c>
      <c r="AA164" s="21">
        <f>EXP(-LN(2)/25)*AA163+(1-EXP(-LN(2)/25))/(LN(2)/25)*Calculateur!V164*Calculateur!X164*VLOOKUP('Données projet'!$B$9,Paramètres!$A$1:$I$89,3,0)*0.475*44/12</f>
        <v>5.2094998725503574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23.921889936880063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69.243499877091622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447.37021680000026</v>
      </c>
      <c r="AK164" s="13">
        <f t="shared" si="164"/>
        <v>101.3168050491076</v>
      </c>
      <c r="AL164" s="20">
        <f t="shared" si="165"/>
        <v>955.62989638719603</v>
      </c>
      <c r="AM164" s="59">
        <f t="shared" si="113"/>
        <v>1246.189395936532</v>
      </c>
      <c r="AN164" s="59">
        <f ca="1">AVERAGE(OFFSET($AM$3,0,0,'Données projet'!$E$10+1,1))-AVERAGE(OFFSET($H$3,0,0,'Données projet'!$E$10+1,1))</f>
        <v>608.11285041597125</v>
      </c>
      <c r="AO164" s="59">
        <f t="shared" si="144"/>
        <v>282.40007659049331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61.882119218227587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61.882119218227587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69.243499877091622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6.2527760746888816E-13</v>
      </c>
      <c r="BE164" s="13">
        <f>BD164*VLOOKUP('Données projet'!$B$11,Paramètres!$A$1:$I$89,3,0)*VLOOKUP('Données projet'!$B$11,Paramètres!$A$1:$I$89,5,0)</f>
        <v>2.9262992029543964E-13</v>
      </c>
      <c r="BF164" s="13">
        <f t="shared" si="167"/>
        <v>3.8796387982050903E-12</v>
      </c>
      <c r="BG164" s="20">
        <f t="shared" si="168"/>
        <v>7.2667013513884219E-12</v>
      </c>
      <c r="BH164" s="59">
        <f t="shared" si="116"/>
        <v>290.55949954934323</v>
      </c>
      <c r="BI164" s="59">
        <f ca="1">AVERAGE(OFFSET($BH$3,0,0,'Données projet'!$E$11+1,1))-AVERAGE(OFFSET($H$3,0,0,'Données projet'!$E$11+1,1))</f>
        <v>355.12987360915633</v>
      </c>
      <c r="BJ164" s="59">
        <f t="shared" si="146"/>
        <v>286.78588538798715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95.124860526659248</v>
      </c>
      <c r="BQ164" s="21">
        <f>EXP(-LN(2)/25)*BQ163+(1-EXP(-LN(2)/25))/(LN(2)/25)*Calculateur!BL164*Calculateur!BN164*VLOOKUP('Données projet'!$B$11,Paramètres!$A$1:$I$89,3,0)*0.475*44/12</f>
        <v>28.220225388285289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123.34508591494453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69.243499877091622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69.243499877091622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69.243499877091622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69.243499877091622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69.243499877091622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69.243499877091622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69.243499877091622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1.7000000000000002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6.2333333333333343</v>
      </c>
      <c r="H165" s="67">
        <f t="shared" si="110"/>
        <v>216.48000000000002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69.256623462943182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312.21112796780687</v>
      </c>
      <c r="T165" s="59">
        <f t="shared" si="142"/>
        <v>318.74634178809458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18.345451508599158</v>
      </c>
      <c r="AA165" s="21">
        <f>EXP(-LN(2)/25)*AA164+(1-EXP(-LN(2)/25))/(LN(2)/25)*Calculateur!V165*Calculateur!X165*VLOOKUP('Données projet'!$B$9,Paramètres!$A$1:$I$89,3,0)*0.475*44/12</f>
        <v>5.0670458245797763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23.412497333178933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69.256623462943182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455.00944320000031</v>
      </c>
      <c r="AK165" s="13">
        <f t="shared" si="164"/>
        <v>102.84398567063174</v>
      </c>
      <c r="AL165" s="20">
        <f t="shared" si="165"/>
        <v>971.59472194968396</v>
      </c>
      <c r="AM165" s="59">
        <f t="shared" si="113"/>
        <v>1262.202341313809</v>
      </c>
      <c r="AN165" s="59">
        <f ca="1">AVERAGE(OFFSET($AM$3,0,0,'Données projet'!$E$10+1,1))-AVERAGE(OFFSET($H$3,0,0,'Données projet'!$E$10+1,1))</f>
        <v>608.11285041597125</v>
      </c>
      <c r="AO165" s="59">
        <f t="shared" si="144"/>
        <v>282.40007659049331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60.66864860472392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60.66864860472392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69.256623462943182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6.2527760746888816E-13</v>
      </c>
      <c r="BE165" s="13">
        <f>BD165*VLOOKUP('Données projet'!$B$11,Paramètres!$A$1:$I$89,3,0)*VLOOKUP('Données projet'!$B$11,Paramètres!$A$1:$I$89,5,0)</f>
        <v>2.9262992029543964E-13</v>
      </c>
      <c r="BF165" s="13">
        <f t="shared" si="167"/>
        <v>3.8796387982050903E-12</v>
      </c>
      <c r="BG165" s="20">
        <f t="shared" si="168"/>
        <v>7.2667013513884219E-12</v>
      </c>
      <c r="BH165" s="59">
        <f t="shared" si="116"/>
        <v>290.60761936413229</v>
      </c>
      <c r="BI165" s="59">
        <f ca="1">AVERAGE(OFFSET($BH$3,0,0,'Données projet'!$E$11+1,1))-AVERAGE(OFFSET($H$3,0,0,'Données projet'!$E$11+1,1))</f>
        <v>355.12987360915633</v>
      </c>
      <c r="BJ165" s="59">
        <f t="shared" si="146"/>
        <v>286.78588538798715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93.259520032167345</v>
      </c>
      <c r="BQ165" s="21">
        <f>EXP(-LN(2)/25)*BQ164+(1-EXP(-LN(2)/25))/(LN(2)/25)*Calculateur!BL165*Calculateur!BN165*VLOOKUP('Données projet'!$B$11,Paramètres!$A$1:$I$89,3,0)*0.475*44/12</f>
        <v>27.448541841005472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120.70806187317282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69.256623462943182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69.256623462943182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69.256623462943182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69.256623462943182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69.256623462943182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69.256623462943182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69.256623462943182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1.7000000000000002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6.2333333333333343</v>
      </c>
      <c r="H166" s="67">
        <f t="shared" si="110"/>
        <v>216.48000000000002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69.269519383920155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312.21112796780687</v>
      </c>
      <c r="T166" s="59">
        <f t="shared" si="142"/>
        <v>318.74634178809458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17.985708394136065</v>
      </c>
      <c r="AA166" s="21">
        <f>EXP(-LN(2)/25)*AA165+(1-EXP(-LN(2)/25))/(LN(2)/25)*Calculateur!V166*Calculateur!X166*VLOOKUP('Données projet'!$B$9,Paramètres!$A$1:$I$89,3,0)*0.475*44/12</f>
        <v>4.9284871900422829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22.914195584178348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69.269519383920155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462.64866960000029</v>
      </c>
      <c r="AK166" s="13">
        <f t="shared" si="164"/>
        <v>104.36818455309495</v>
      </c>
      <c r="AL166" s="20">
        <f t="shared" si="165"/>
        <v>987.5543543166408</v>
      </c>
      <c r="AM166" s="59">
        <f t="shared" si="113"/>
        <v>1278.209258724348</v>
      </c>
      <c r="AN166" s="59">
        <f ca="1">AVERAGE(OFFSET($AM$3,0,0,'Données projet'!$E$10+1,1))-AVERAGE(OFFSET($H$3,0,0,'Données projet'!$E$10+1,1))</f>
        <v>608.11285041597125</v>
      </c>
      <c r="AO166" s="59">
        <f t="shared" si="144"/>
        <v>282.40007659049331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59.478973409807068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59.478973409807068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69.269519383920155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6.2527760746888816E-13</v>
      </c>
      <c r="BE166" s="13">
        <f>BD166*VLOOKUP('Données projet'!$B$11,Paramètres!$A$1:$I$89,3,0)*VLOOKUP('Données projet'!$B$11,Paramètres!$A$1:$I$89,5,0)</f>
        <v>2.9262992029543964E-13</v>
      </c>
      <c r="BF166" s="13">
        <f t="shared" si="167"/>
        <v>3.8796387982050903E-12</v>
      </c>
      <c r="BG166" s="20">
        <f t="shared" si="168"/>
        <v>7.2667013513884219E-12</v>
      </c>
      <c r="BH166" s="59">
        <f t="shared" si="116"/>
        <v>290.65490440771453</v>
      </c>
      <c r="BI166" s="59">
        <f ca="1">AVERAGE(OFFSET($BH$3,0,0,'Données projet'!$E$11+1,1))-AVERAGE(OFFSET($H$3,0,0,'Données projet'!$E$11+1,1))</f>
        <v>355.12987360915633</v>
      </c>
      <c r="BJ166" s="59">
        <f t="shared" si="146"/>
        <v>286.78588538798715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91.430757727027057</v>
      </c>
      <c r="BQ166" s="21">
        <f>EXP(-LN(2)/25)*BQ165+(1-EXP(-LN(2)/25))/(LN(2)/25)*Calculateur!BL166*Calculateur!BN166*VLOOKUP('Données projet'!$B$11,Paramètres!$A$1:$I$89,3,0)*0.475*44/12</f>
        <v>26.697960020907097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118.12871774793416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69.269519383920155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69.269519383920155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69.269519383920155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69.269519383920155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69.269519383920155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69.269519383920155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69.269519383920155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1.7000000000000002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6.2333333333333343</v>
      </c>
      <c r="H167" s="67">
        <f t="shared" si="110"/>
        <v>216.48000000000002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69.282191589499149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312.21112796780687</v>
      </c>
      <c r="T167" s="59">
        <f t="shared" si="142"/>
        <v>318.74634178809458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17.633019622725961</v>
      </c>
      <c r="AA167" s="21">
        <f>EXP(-LN(2)/25)*AA166+(1-EXP(-LN(2)/25))/(LN(2)/25)*Calculateur!V167*Calculateur!X167*VLOOKUP('Données projet'!$B$9,Paramètres!$A$1:$I$89,3,0)*0.475*44/12</f>
        <v>4.7937174486526999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22.42673707137866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69.282191589499149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470.28789600000022</v>
      </c>
      <c r="AK167" s="13">
        <f t="shared" si="164"/>
        <v>105.88945661390174</v>
      </c>
      <c r="AL167" s="20">
        <f t="shared" si="165"/>
        <v>1003.5088891358791</v>
      </c>
      <c r="AM167" s="59">
        <f t="shared" si="113"/>
        <v>1294.210258297376</v>
      </c>
      <c r="AN167" s="59">
        <f ca="1">AVERAGE(OFFSET($AM$3,0,0,'Données projet'!$E$10+1,1))-AVERAGE(OFFSET($H$3,0,0,'Données projet'!$E$10+1,1))</f>
        <v>608.11285041597125</v>
      </c>
      <c r="AO167" s="59">
        <f t="shared" si="144"/>
        <v>282.40007659049331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73.687796339175065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73.687796339175065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69.282191589499149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6.2527760746888816E-13</v>
      </c>
      <c r="BE167" s="13">
        <f>BD167*VLOOKUP('Données projet'!$B$11,Paramètres!$A$1:$I$89,3,0)*VLOOKUP('Données projet'!$B$11,Paramètres!$A$1:$I$89,5,0)</f>
        <v>2.9262992029543964E-13</v>
      </c>
      <c r="BF167" s="13">
        <f t="shared" si="167"/>
        <v>3.8796387982050903E-12</v>
      </c>
      <c r="BG167" s="20">
        <f t="shared" si="168"/>
        <v>7.2667013513884219E-12</v>
      </c>
      <c r="BH167" s="59">
        <f t="shared" si="116"/>
        <v>290.70136916150415</v>
      </c>
      <c r="BI167" s="59">
        <f ca="1">AVERAGE(OFFSET($BH$3,0,0,'Données projet'!$E$11+1,1))-AVERAGE(OFFSET($H$3,0,0,'Données projet'!$E$11+1,1))</f>
        <v>355.12987360915633</v>
      </c>
      <c r="BJ167" s="59">
        <f t="shared" si="146"/>
        <v>286.78588538798715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89.637856335255705</v>
      </c>
      <c r="BQ167" s="21">
        <f>EXP(-LN(2)/25)*BQ166+(1-EXP(-LN(2)/25))/(LN(2)/25)*Calculateur!BL167*Calculateur!BN167*VLOOKUP('Données projet'!$B$11,Paramètres!$A$1:$I$89,3,0)*0.475*44/12</f>
        <v>25.967902900150694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115.6057592354064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69.282191589499149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69.282191589499149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69.282191589499149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69.282191589499149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69.282191589499149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69.282191589499149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69.282191589499149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1.7000000000000002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6.2333333333333343</v>
      </c>
      <c r="H168" s="67">
        <f t="shared" si="110"/>
        <v>216.48000000000002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69.294643960642134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312.21112796780687</v>
      </c>
      <c r="T168" s="59">
        <f t="shared" si="142"/>
        <v>318.74634178809458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17.287246863004299</v>
      </c>
      <c r="AA168" s="21">
        <f>EXP(-LN(2)/25)*AA167+(1-EXP(-LN(2)/25))/(LN(2)/25)*Calculateur!V168*Calculateur!X168*VLOOKUP('Données projet'!$B$9,Paramètres!$A$1:$I$89,3,0)*0.475*44/12</f>
        <v>4.6626329929286472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21.949879855932945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69.294643960642134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424.11233280000033</v>
      </c>
      <c r="AK168" s="13">
        <f t="shared" si="164"/>
        <v>96.648293340367189</v>
      </c>
      <c r="AL168" s="20">
        <f t="shared" si="165"/>
        <v>906.99142386114011</v>
      </c>
      <c r="AM168" s="59">
        <f t="shared" si="113"/>
        <v>1197.738451716828</v>
      </c>
      <c r="AN168" s="59">
        <f ca="1">AVERAGE(OFFSET($AM$3,0,0,'Données projet'!$E$10+1,1))-AVERAGE(OFFSET($H$3,0,0,'Données projet'!$E$10+1,1))</f>
        <v>608.11285041597125</v>
      </c>
      <c r="AO168" s="59">
        <f t="shared" si="144"/>
        <v>282.40007659049331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72.242823598081642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72.242823598081642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69.294643960642134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6.2527760746888816E-13</v>
      </c>
      <c r="BE168" s="13">
        <f>BD168*VLOOKUP('Données projet'!$B$11,Paramètres!$A$1:$I$89,3,0)*VLOOKUP('Données projet'!$B$11,Paramètres!$A$1:$I$89,5,0)</f>
        <v>2.9262992029543964E-13</v>
      </c>
      <c r="BF168" s="13">
        <f t="shared" si="167"/>
        <v>3.8796387982050903E-12</v>
      </c>
      <c r="BG168" s="20">
        <f t="shared" si="168"/>
        <v>7.2667013513884219E-12</v>
      </c>
      <c r="BH168" s="59">
        <f t="shared" si="116"/>
        <v>290.74702785569508</v>
      </c>
      <c r="BI168" s="59">
        <f ca="1">AVERAGE(OFFSET($BH$3,0,0,'Données projet'!$E$11+1,1))-AVERAGE(OFFSET($H$3,0,0,'Données projet'!$E$11+1,1))</f>
        <v>355.12987360915633</v>
      </c>
      <c r="BJ168" s="59">
        <f t="shared" si="146"/>
        <v>286.78588538798715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87.880112646215125</v>
      </c>
      <c r="BQ168" s="21">
        <f>EXP(-LN(2)/25)*BQ167+(1-EXP(-LN(2)/25))/(LN(2)/25)*Calculateur!BL168*Calculateur!BN168*VLOOKUP('Données projet'!$B$11,Paramètres!$A$1:$I$89,3,0)*0.475*44/12</f>
        <v>25.257809229753409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113.13792187596853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69.294643960642134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69.294643960642134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69.294643960642134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69.294643960642134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69.294643960642134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69.294643960642134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69.294643960642134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1.7000000000000002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6.2333333333333343</v>
      </c>
      <c r="H169" s="67">
        <f t="shared" si="110"/>
        <v>216.48000000000002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69.306880310985136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312.21112796780687</v>
      </c>
      <c r="T169" s="59">
        <f t="shared" si="142"/>
        <v>318.74634178809458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16.948254496200221</v>
      </c>
      <c r="AA169" s="21">
        <f>EXP(-LN(2)/25)*AA168+(1-EXP(-LN(2)/25))/(LN(2)/25)*Calculateur!V169*Calculateur!X169*VLOOKUP('Données projet'!$B$9,Paramètres!$A$1:$I$89,3,0)*0.475*44/12</f>
        <v>4.5351330485398007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21.483387544740022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69.306880310985136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431.84475360000033</v>
      </c>
      <c r="AK169" s="13">
        <f t="shared" si="164"/>
        <v>98.203637489221336</v>
      </c>
      <c r="AL169" s="20">
        <f t="shared" si="165"/>
        <v>923.16761448039449</v>
      </c>
      <c r="AM169" s="59">
        <f t="shared" si="113"/>
        <v>1213.9595089540067</v>
      </c>
      <c r="AN169" s="59">
        <f ca="1">AVERAGE(OFFSET($AM$3,0,0,'Données projet'!$E$10+1,1))-AVERAGE(OFFSET($H$3,0,0,'Données projet'!$E$10+1,1))</f>
        <v>608.11285041597125</v>
      </c>
      <c r="AO169" s="59">
        <f t="shared" si="144"/>
        <v>282.40007659049331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70.826185891094724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70.826185891094724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69.306880310985136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6.2527760746888816E-13</v>
      </c>
      <c r="BE169" s="13">
        <f>BD169*VLOOKUP('Données projet'!$B$11,Paramètres!$A$1:$I$89,3,0)*VLOOKUP('Données projet'!$B$11,Paramètres!$A$1:$I$89,5,0)</f>
        <v>2.9262992029543964E-13</v>
      </c>
      <c r="BF169" s="13">
        <f t="shared" si="167"/>
        <v>3.8796387982050903E-12</v>
      </c>
      <c r="BG169" s="20">
        <f t="shared" si="168"/>
        <v>7.2667013513884219E-12</v>
      </c>
      <c r="BH169" s="59">
        <f t="shared" si="116"/>
        <v>290.79189447361944</v>
      </c>
      <c r="BI169" s="59">
        <f ca="1">AVERAGE(OFFSET($BH$3,0,0,'Données projet'!$E$11+1,1))-AVERAGE(OFFSET($H$3,0,0,'Données projet'!$E$11+1,1))</f>
        <v>355.12987360915633</v>
      </c>
      <c r="BJ169" s="59">
        <f t="shared" si="146"/>
        <v>286.78588538798715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86.156837238798843</v>
      </c>
      <c r="BQ169" s="21">
        <f>EXP(-LN(2)/25)*BQ168+(1-EXP(-LN(2)/25))/(LN(2)/25)*Calculateur!BL169*Calculateur!BN169*VLOOKUP('Données projet'!$B$11,Paramètres!$A$1:$I$89,3,0)*0.475*44/12</f>
        <v>24.567133108115343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110.72397034691419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69.306880310985136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69.306880310985136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69.306880310985136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69.306880310985136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69.306880310985136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69.306880310985136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69.306880310985136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1.7000000000000002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6.2333333333333343</v>
      </c>
      <c r="H170" s="67">
        <f t="shared" si="110"/>
        <v>216.48000000000002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69.318904388006061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312.21112796780687</v>
      </c>
      <c r="T170" s="59">
        <f t="shared" si="142"/>
        <v>318.74634178809458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16.615909562944243</v>
      </c>
      <c r="AA170" s="21">
        <f>EXP(-LN(2)/25)*AA169+(1-EXP(-LN(2)/25))/(LN(2)/25)*Calculateur!V170*Calculateur!X170*VLOOKUP('Données projet'!$B$9,Paramètres!$A$1:$I$89,3,0)*0.475*44/12</f>
        <v>4.4111195968351984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21.027029159779442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69.318904388006061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439.57717440000033</v>
      </c>
      <c r="AK170" s="13">
        <f t="shared" si="164"/>
        <v>99.755743172047673</v>
      </c>
      <c r="AL170" s="20">
        <f t="shared" si="165"/>
        <v>939.33816477131688</v>
      </c>
      <c r="AM170" s="59">
        <f t="shared" si="113"/>
        <v>1230.1741475273391</v>
      </c>
      <c r="AN170" s="59">
        <f ca="1">AVERAGE(OFFSET($AM$3,0,0,'Données projet'!$E$10+1,1))-AVERAGE(OFFSET($H$3,0,0,'Données projet'!$E$10+1,1))</f>
        <v>608.11285041597125</v>
      </c>
      <c r="AO170" s="59">
        <f t="shared" si="144"/>
        <v>282.40007659049331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69.43732758547813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69.43732758547813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69.318904388006061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6.2527760746888816E-13</v>
      </c>
      <c r="BE170" s="13">
        <f>BD170*VLOOKUP('Données projet'!$B$11,Paramètres!$A$1:$I$89,3,0)*VLOOKUP('Données projet'!$B$11,Paramètres!$A$1:$I$89,5,0)</f>
        <v>2.9262992029543964E-13</v>
      </c>
      <c r="BF170" s="13">
        <f t="shared" si="167"/>
        <v>3.8796387982050903E-12</v>
      </c>
      <c r="BG170" s="20">
        <f t="shared" si="168"/>
        <v>7.2667013513884219E-12</v>
      </c>
      <c r="BH170" s="59">
        <f t="shared" si="116"/>
        <v>290.83598275602952</v>
      </c>
      <c r="BI170" s="59">
        <f ca="1">AVERAGE(OFFSET($BH$3,0,0,'Données projet'!$E$11+1,1))-AVERAGE(OFFSET($H$3,0,0,'Données projet'!$E$11+1,1))</f>
        <v>355.12987360915633</v>
      </c>
      <c r="BJ170" s="59">
        <f t="shared" si="146"/>
        <v>286.78588538798715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84.467354211027782</v>
      </c>
      <c r="BQ170" s="21">
        <f>EXP(-LN(2)/25)*BQ169+(1-EXP(-LN(2)/25))/(LN(2)/25)*Calculateur!BL170*Calculateur!BN170*VLOOKUP('Données projet'!$B$11,Paramètres!$A$1:$I$89,3,0)*0.475*44/12</f>
        <v>23.895343561344546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108.36269777237233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69.318904388006061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69.318904388006061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69.318904388006061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69.318904388006061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69.318904388006061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69.318904388006061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69.318904388006061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1.7000000000000002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6.2333333333333343</v>
      </c>
      <c r="H171" s="67">
        <f t="shared" si="110"/>
        <v>216.48000000000002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69.330719874172487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312.21112796780687</v>
      </c>
      <c r="T171" s="59">
        <f t="shared" si="142"/>
        <v>318.74634178809458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16.290081711119022</v>
      </c>
      <c r="AA171" s="21">
        <f>EXP(-LN(2)/25)*AA170+(1-EXP(-LN(2)/25))/(LN(2)/25)*Calculateur!V171*Calculateur!X171*VLOOKUP('Données projet'!$B$9,Paramètres!$A$1:$I$89,3,0)*0.475*44/12</f>
        <v>4.2904972994890418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20.580579010608062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69.330719874172487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447.30959520000027</v>
      </c>
      <c r="AK171" s="13">
        <f t="shared" si="164"/>
        <v>101.30467392781068</v>
      </c>
      <c r="AL171" s="20">
        <f t="shared" si="165"/>
        <v>955.50318539760417</v>
      </c>
      <c r="AM171" s="59">
        <f t="shared" si="113"/>
        <v>1246.3824916029032</v>
      </c>
      <c r="AN171" s="59">
        <f ca="1">AVERAGE(OFFSET($AM$3,0,0,'Données projet'!$E$10+1,1))-AVERAGE(OFFSET($H$3,0,0,'Données projet'!$E$10+1,1))</f>
        <v>608.11285041597125</v>
      </c>
      <c r="AO171" s="59">
        <f t="shared" si="144"/>
        <v>282.40007659049331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68.075703944114764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68.075703944114764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69.330719874172487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6.2527760746888816E-13</v>
      </c>
      <c r="BE171" s="13">
        <f>BD171*VLOOKUP('Données projet'!$B$11,Paramètres!$A$1:$I$89,3,0)*VLOOKUP('Données projet'!$B$11,Paramètres!$A$1:$I$89,5,0)</f>
        <v>2.9262992029543964E-13</v>
      </c>
      <c r="BF171" s="13">
        <f t="shared" si="167"/>
        <v>3.8796387982050903E-12</v>
      </c>
      <c r="BG171" s="20">
        <f t="shared" si="168"/>
        <v>7.2667013513884219E-12</v>
      </c>
      <c r="BH171" s="59">
        <f t="shared" si="116"/>
        <v>290.87930620530636</v>
      </c>
      <c r="BI171" s="59">
        <f ca="1">AVERAGE(OFFSET($BH$3,0,0,'Données projet'!$E$11+1,1))-AVERAGE(OFFSET($H$3,0,0,'Données projet'!$E$11+1,1))</f>
        <v>355.12987360915633</v>
      </c>
      <c r="BJ171" s="59">
        <f t="shared" si="146"/>
        <v>286.78588538798715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82.811000914948423</v>
      </c>
      <c r="BQ171" s="21">
        <f>EXP(-LN(2)/25)*BQ170+(1-EXP(-LN(2)/25))/(LN(2)/25)*Calculateur!BL171*Calculateur!BN171*VLOOKUP('Données projet'!$B$11,Paramètres!$A$1:$I$89,3,0)*0.475*44/12</f>
        <v>23.241924135058074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106.05292505000649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69.330719874172487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69.330719874172487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69.330719874172487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69.330719874172487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69.330719874172487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69.330719874172487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69.330719874172487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1.7000000000000002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6.2333333333333343</v>
      </c>
      <c r="H172" s="67">
        <f t="shared" si="110"/>
        <v>216.48000000000002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69.342330388069399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312.21112796780687</v>
      </c>
      <c r="T172" s="59">
        <f t="shared" si="142"/>
        <v>318.74634178809458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15.970643144732726</v>
      </c>
      <c r="AA172" s="21">
        <f>EXP(-LN(2)/25)*AA171+(1-EXP(-LN(2)/25))/(LN(2)/25)*Calculateur!V172*Calculateur!X172*VLOOKUP('Données projet'!$B$9,Paramètres!$A$1:$I$89,3,0)*0.475*44/12</f>
        <v>4.1731734252070671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20.143816569939794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69.342330388069399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455.04201600000027</v>
      </c>
      <c r="AK172" s="13">
        <f t="shared" si="164"/>
        <v>102.85049097288233</v>
      </c>
      <c r="AL172" s="20">
        <f t="shared" si="165"/>
        <v>971.66278297777069</v>
      </c>
      <c r="AM172" s="59">
        <f t="shared" si="113"/>
        <v>1262.5846610673584</v>
      </c>
      <c r="AN172" s="59">
        <f ca="1">AVERAGE(OFFSET($AM$3,0,0,'Données projet'!$E$10+1,1))-AVERAGE(OFFSET($H$3,0,0,'Données projet'!$E$10+1,1))</f>
        <v>608.11285041597125</v>
      </c>
      <c r="AO172" s="59">
        <f t="shared" si="144"/>
        <v>282.40007659049331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66.740780911850109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66.740780911850109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69.342330388069399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6.2527760746888816E-13</v>
      </c>
      <c r="BE172" s="13">
        <f>BD172*VLOOKUP('Données projet'!$B$11,Paramètres!$A$1:$I$89,3,0)*VLOOKUP('Données projet'!$B$11,Paramètres!$A$1:$I$89,5,0)</f>
        <v>2.9262992029543964E-13</v>
      </c>
      <c r="BF172" s="13">
        <f t="shared" si="167"/>
        <v>3.8796387982050903E-12</v>
      </c>
      <c r="BG172" s="20">
        <f t="shared" si="168"/>
        <v>7.2667013513884219E-12</v>
      </c>
      <c r="BH172" s="59">
        <f t="shared" si="116"/>
        <v>290.92187808959505</v>
      </c>
      <c r="BI172" s="59">
        <f ca="1">AVERAGE(OFFSET($BH$3,0,0,'Données projet'!$E$11+1,1))-AVERAGE(OFFSET($H$3,0,0,'Données projet'!$E$11+1,1))</f>
        <v>355.12987360915633</v>
      </c>
      <c r="BJ172" s="59">
        <f t="shared" si="146"/>
        <v>286.78588538798715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81.187127696729419</v>
      </c>
      <c r="BQ172" s="21">
        <f>EXP(-LN(2)/25)*BQ171+(1-EXP(-LN(2)/25))/(LN(2)/25)*Calculateur!BL172*Calculateur!BN172*VLOOKUP('Données projet'!$B$11,Paramètres!$A$1:$I$89,3,0)*0.475*44/12</f>
        <v>22.606372497345241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103.79350019407465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69.342330388069399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69.342330388069399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69.342330388069399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69.342330388069399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69.342330388069399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69.342330388069399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69.342330388069399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1.7000000000000002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6.2333333333333343</v>
      </c>
      <c r="H173" s="67">
        <f t="shared" si="110"/>
        <v>216.48000000000002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69.353739485507418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312.21112796780687</v>
      </c>
      <c r="T173" s="59">
        <f t="shared" si="142"/>
        <v>318.74634178809458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15.657468573794979</v>
      </c>
      <c r="AA173" s="21">
        <f>EXP(-LN(2)/25)*AA172+(1-EXP(-LN(2)/25))/(LN(2)/25)*Calculateur!V173*Calculateur!X173*VLOOKUP('Données projet'!$B$9,Paramètres!$A$1:$I$89,3,0)*0.475*44/12</f>
        <v>4.0590577784371273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19.716526352232108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69.353739485507418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462.77443680000027</v>
      </c>
      <c r="AK173" s="13">
        <f t="shared" si="164"/>
        <v>104.39325332394039</v>
      </c>
      <c r="AL173" s="20">
        <f t="shared" si="165"/>
        <v>987.81706029919678</v>
      </c>
      <c r="AM173" s="59">
        <f t="shared" si="113"/>
        <v>1278.7807717460573</v>
      </c>
      <c r="AN173" s="59">
        <f ca="1">AVERAGE(OFFSET($AM$3,0,0,'Données projet'!$E$10+1,1))-AVERAGE(OFFSET($H$3,0,0,'Données projet'!$E$10+1,1))</f>
        <v>608.11285041597125</v>
      </c>
      <c r="AO173" s="59">
        <f t="shared" si="144"/>
        <v>282.40007659049331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65.432034906025521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65.432034906025521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69.353739485507418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6.2527760746888816E-13</v>
      </c>
      <c r="BE173" s="13">
        <f>BD173*VLOOKUP('Données projet'!$B$11,Paramètres!$A$1:$I$89,3,0)*VLOOKUP('Données projet'!$B$11,Paramètres!$A$1:$I$89,5,0)</f>
        <v>2.9262992029543964E-13</v>
      </c>
      <c r="BF173" s="13">
        <f t="shared" si="167"/>
        <v>3.8796387982050903E-12</v>
      </c>
      <c r="BG173" s="20">
        <f t="shared" si="168"/>
        <v>7.2667013513884219E-12</v>
      </c>
      <c r="BH173" s="59">
        <f t="shared" si="116"/>
        <v>290.96371144686782</v>
      </c>
      <c r="BI173" s="59">
        <f ca="1">AVERAGE(OFFSET($BH$3,0,0,'Données projet'!$E$11+1,1))-AVERAGE(OFFSET($H$3,0,0,'Données projet'!$E$11+1,1))</f>
        <v>355.12987360915633</v>
      </c>
      <c r="BJ173" s="59">
        <f t="shared" si="146"/>
        <v>286.78588538798715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79.595097641854835</v>
      </c>
      <c r="BQ173" s="21">
        <f>EXP(-LN(2)/25)*BQ172+(1-EXP(-LN(2)/25))/(LN(2)/25)*Calculateur!BL173*Calculateur!BN173*VLOOKUP('Données projet'!$B$11,Paramètres!$A$1:$I$89,3,0)*0.475*44/12</f>
        <v>21.988200052587874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101.58329769444271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69.353739485507418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69.353739485507418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69.353739485507418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69.353739485507418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69.353739485507418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69.353739485507418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69.353739485507418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1.7000000000000002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6.2333333333333343</v>
      </c>
      <c r="H174" s="67">
        <f t="shared" si="110"/>
        <v>216.48000000000002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69.364950660611797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312.21112796780687</v>
      </c>
      <c r="T174" s="59">
        <f t="shared" si="142"/>
        <v>318.74634178809458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15.350435165175695</v>
      </c>
      <c r="AA174" s="21">
        <f>EXP(-LN(2)/25)*AA173+(1-EXP(-LN(2)/25))/(LN(2)/25)*Calculateur!V174*Calculateur!X174*VLOOKUP('Données projet'!$B$9,Paramètres!$A$1:$I$89,3,0)*0.475*44/12</f>
        <v>3.9480626300291926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19.298497795204888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69.364950660611797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470.50685760000033</v>
      </c>
      <c r="AK174" s="13">
        <f t="shared" si="164"/>
        <v>105.93301791241842</v>
      </c>
      <c r="AL174" s="20">
        <f t="shared" si="165"/>
        <v>1003.9661165174626</v>
      </c>
      <c r="AM174" s="59">
        <f t="shared" si="113"/>
        <v>1294.9709356063727</v>
      </c>
      <c r="AN174" s="59">
        <f ca="1">AVERAGE(OFFSET($AM$3,0,0,'Données projet'!$E$10+1,1))-AVERAGE(OFFSET($H$3,0,0,'Données projet'!$E$10+1,1))</f>
        <v>608.11285041597125</v>
      </c>
      <c r="AO174" s="59">
        <f t="shared" si="144"/>
        <v>282.40007659049331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64.148952611118901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64.148952611118901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69.364950660611797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6.2527760746888816E-13</v>
      </c>
      <c r="BE174" s="13">
        <f>BD174*VLOOKUP('Données projet'!$B$11,Paramètres!$A$1:$I$89,3,0)*VLOOKUP('Données projet'!$B$11,Paramètres!$A$1:$I$89,5,0)</f>
        <v>2.9262992029543964E-13</v>
      </c>
      <c r="BF174" s="13">
        <f t="shared" si="167"/>
        <v>3.8796387982050903E-12</v>
      </c>
      <c r="BG174" s="20">
        <f t="shared" si="168"/>
        <v>7.2667013513884219E-12</v>
      </c>
      <c r="BH174" s="59">
        <f t="shared" si="116"/>
        <v>291.0048190889172</v>
      </c>
      <c r="BI174" s="59">
        <f ca="1">AVERAGE(OFFSET($BH$3,0,0,'Données projet'!$E$11+1,1))-AVERAGE(OFFSET($H$3,0,0,'Données projet'!$E$11+1,1))</f>
        <v>355.12987360915633</v>
      </c>
      <c r="BJ174" s="59">
        <f t="shared" si="146"/>
        <v>286.78588538798715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78.034286325313886</v>
      </c>
      <c r="BQ174" s="21">
        <f>EXP(-LN(2)/25)*BQ173+(1-EXP(-LN(2)/25))/(LN(2)/25)*Calculateur!BL174*Calculateur!BN174*VLOOKUP('Données projet'!$B$11,Paramètres!$A$1:$I$89,3,0)*0.475*44/12</f>
        <v>21.386931565840673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99.421217891154555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69.364950660611797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69.364950660611797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69.364950660611797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69.364950660611797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69.364950660611797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69.364950660611797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69.364950660611797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1.7000000000000002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6.2333333333333343</v>
      </c>
      <c r="H175" s="67">
        <f t="shared" si="110"/>
        <v>216.48000000000002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69.375967346892551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312.21112796780687</v>
      </c>
      <c r="T175" s="59">
        <f t="shared" si="142"/>
        <v>318.74634178809458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15.049422494427546</v>
      </c>
      <c r="AA175" s="21">
        <f>EXP(-LN(2)/25)*AA174+(1-EXP(-LN(2)/25))/(LN(2)/25)*Calculateur!V175*Calculateur!X175*VLOOKUP('Données projet'!$B$9,Paramètres!$A$1:$I$89,3,0)*0.475*44/12</f>
        <v>3.8401026497914539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18.889525144219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69.375967346892551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478.23927840000039</v>
      </c>
      <c r="AK175" s="13">
        <f t="shared" si="164"/>
        <v>107.46983969122122</v>
      </c>
      <c r="AL175" s="20">
        <f t="shared" si="165"/>
        <v>1020.110047342211</v>
      </c>
      <c r="AM175" s="59">
        <f t="shared" si="113"/>
        <v>1311.1552609474838</v>
      </c>
      <c r="AN175" s="59">
        <f ca="1">AVERAGE(OFFSET($AM$3,0,0,'Données projet'!$E$10+1,1))-AVERAGE(OFFSET($H$3,0,0,'Données projet'!$E$10+1,1))</f>
        <v>608.11285041597125</v>
      </c>
      <c r="AO175" s="59">
        <f t="shared" si="144"/>
        <v>282.40007659049331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62.891030777412482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62.891030777412482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69.375967346892551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6.2527760746888816E-13</v>
      </c>
      <c r="BE175" s="13">
        <f>BD175*VLOOKUP('Données projet'!$B$11,Paramètres!$A$1:$I$89,3,0)*VLOOKUP('Données projet'!$B$11,Paramètres!$A$1:$I$89,5,0)</f>
        <v>2.9262992029543964E-13</v>
      </c>
      <c r="BF175" s="13">
        <f t="shared" si="167"/>
        <v>3.8796387982050903E-12</v>
      </c>
      <c r="BG175" s="20">
        <f t="shared" si="168"/>
        <v>7.2667013513884219E-12</v>
      </c>
      <c r="BH175" s="59">
        <f t="shared" si="116"/>
        <v>291.04521360527997</v>
      </c>
      <c r="BI175" s="59">
        <f ca="1">AVERAGE(OFFSET($BH$3,0,0,'Données projet'!$E$11+1,1))-AVERAGE(OFFSET($H$3,0,0,'Données projet'!$E$11+1,1))</f>
        <v>355.12987360915633</v>
      </c>
      <c r="BJ175" s="59">
        <f t="shared" si="146"/>
        <v>286.78588538798715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76.504081566689408</v>
      </c>
      <c r="BQ175" s="21">
        <f>EXP(-LN(2)/25)*BQ174+(1-EXP(-LN(2)/25))/(LN(2)/25)*Calculateur!BL175*Calculateur!BN175*VLOOKUP('Données projet'!$B$11,Paramètres!$A$1:$I$89,3,0)*0.475*44/12</f>
        <v>20.802104797482908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97.306186364172319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69.375967346892551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69.375967346892551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69.375967346892551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69.375967346892551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69.375967346892551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69.375967346892551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69.375967346892551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1.7000000000000002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6.2333333333333343</v>
      </c>
      <c r="H176" s="67">
        <f t="shared" si="110"/>
        <v>216.48000000000002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69.386792918295953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312.21112796780687</v>
      </c>
      <c r="T176" s="59">
        <f t="shared" si="142"/>
        <v>318.74634178809458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14.754312498553169</v>
      </c>
      <c r="AA176" s="21">
        <f>EXP(-LN(2)/25)*AA175+(1-EXP(-LN(2)/25))/(LN(2)/25)*Calculateur!V176*Calculateur!X176*VLOOKUP('Données projet'!$B$9,Paramètres!$A$1:$I$89,3,0)*0.475*44/12</f>
        <v>3.7350948408906848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18.489407339443854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69.386792918295953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485.97169920000039</v>
      </c>
      <c r="AK176" s="13">
        <f t="shared" si="164"/>
        <v>109.00377173434057</v>
      </c>
      <c r="AL176" s="20">
        <f t="shared" si="165"/>
        <v>1036.2489452106438</v>
      </c>
      <c r="AM176" s="59">
        <f t="shared" si="113"/>
        <v>1327.333852577729</v>
      </c>
      <c r="AN176" s="59">
        <f ca="1">AVERAGE(OFFSET($AM$3,0,0,'Données projet'!$E$10+1,1))-AVERAGE(OFFSET($H$3,0,0,'Données projet'!$E$10+1,1))</f>
        <v>608.11285041597125</v>
      </c>
      <c r="AO176" s="59">
        <f t="shared" si="144"/>
        <v>282.40007659049331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61.657776023608484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61.657776023608484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69.386792918295953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6.2527760746888816E-13</v>
      </c>
      <c r="BE176" s="13">
        <f>BD176*VLOOKUP('Données projet'!$B$11,Paramètres!$A$1:$I$89,3,0)*VLOOKUP('Données projet'!$B$11,Paramètres!$A$1:$I$89,5,0)</f>
        <v>2.9262992029543964E-13</v>
      </c>
      <c r="BF176" s="13">
        <f t="shared" si="167"/>
        <v>3.8796387982050903E-12</v>
      </c>
      <c r="BG176" s="20">
        <f t="shared" si="168"/>
        <v>7.2667013513884219E-12</v>
      </c>
      <c r="BH176" s="59">
        <f t="shared" si="116"/>
        <v>291.08490736709246</v>
      </c>
      <c r="BI176" s="59">
        <f ca="1">AVERAGE(OFFSET($BH$3,0,0,'Données projet'!$E$11+1,1))-AVERAGE(OFFSET($H$3,0,0,'Données projet'!$E$11+1,1))</f>
        <v>355.12987360915633</v>
      </c>
      <c r="BJ176" s="59">
        <f t="shared" si="146"/>
        <v>286.78588538798715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75.003883190048811</v>
      </c>
      <c r="BQ176" s="21">
        <f>EXP(-LN(2)/25)*BQ175+(1-EXP(-LN(2)/25))/(LN(2)/25)*Calculateur!BL176*Calculateur!BN176*VLOOKUP('Données projet'!$B$11,Paramètres!$A$1:$I$89,3,0)*0.475*44/12</f>
        <v>20.233270147860591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95.237153337909405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69.386792918295953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69.386792918295953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69.386792918295953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69.386792918295953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69.386792918295953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69.386792918295953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69.386792918295953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1.7000000000000002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6.2333333333333343</v>
      </c>
      <c r="H177" s="67">
        <f t="shared" si="110"/>
        <v>216.48000000000002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69.397430690237869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312.21112796780687</v>
      </c>
      <c r="T177" s="59">
        <f t="shared" si="142"/>
        <v>318.74634178809458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14.464989429698564</v>
      </c>
      <c r="AA177" s="21">
        <f>EXP(-LN(2)/25)*AA176+(1-EXP(-LN(2)/25))/(LN(2)/25)*Calculateur!V177*Calculateur!X177*VLOOKUP('Données projet'!$B$9,Paramètres!$A$1:$I$89,3,0)*0.475*44/12</f>
        <v>3.632958476046428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18.097947905744991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69.397430690237869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493.7041200000005</v>
      </c>
      <c r="AK177" s="13">
        <f t="shared" si="164"/>
        <v>110.53486532995269</v>
      </c>
      <c r="AL177" s="20">
        <f t="shared" si="165"/>
        <v>1052.3828994496685</v>
      </c>
      <c r="AM177" s="59">
        <f t="shared" si="113"/>
        <v>1343.5068119805405</v>
      </c>
      <c r="AN177" s="59">
        <f ca="1">AVERAGE(OFFSET($AM$3,0,0,'Données projet'!$E$10+1,1))-AVERAGE(OFFSET($H$3,0,0,'Données projet'!$E$10+1,1))</f>
        <v>608.11285041597125</v>
      </c>
      <c r="AO177" s="59">
        <f t="shared" si="144"/>
        <v>282.40007659049331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115.87208689768337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115.87208689768337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69.397430690237869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6.2527760746888816E-13</v>
      </c>
      <c r="BE177" s="13">
        <f>BD177*VLOOKUP('Données projet'!$B$11,Paramètres!$A$1:$I$89,3,0)*VLOOKUP('Données projet'!$B$11,Paramètres!$A$1:$I$89,5,0)</f>
        <v>2.9262992029543964E-13</v>
      </c>
      <c r="BF177" s="13">
        <f t="shared" si="167"/>
        <v>3.8796387982050903E-12</v>
      </c>
      <c r="BG177" s="20">
        <f t="shared" si="168"/>
        <v>7.2667013513884219E-12</v>
      </c>
      <c r="BH177" s="59">
        <f t="shared" si="116"/>
        <v>291.12391253087947</v>
      </c>
      <c r="BI177" s="59">
        <f ca="1">AVERAGE(OFFSET($BH$3,0,0,'Données projet'!$E$11+1,1))-AVERAGE(OFFSET($H$3,0,0,'Données projet'!$E$11+1,1))</f>
        <v>355.12987360915633</v>
      </c>
      <c r="BJ177" s="59">
        <f t="shared" si="146"/>
        <v>286.78588538798715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73.533102788543474</v>
      </c>
      <c r="BQ177" s="21">
        <f>EXP(-LN(2)/25)*BQ176+(1-EXP(-LN(2)/25))/(LN(2)/25)*Calculateur!BL177*Calculateur!BN177*VLOOKUP('Données projet'!$B$11,Paramètres!$A$1:$I$89,3,0)*0.475*44/12</f>
        <v>19.679990311645909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93.213093100189383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69.397430690237869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69.397430690237869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69.397430690237869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69.397430690237869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69.397430690237869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69.397430690237869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69.397430690237869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1.7000000000000002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6.2333333333333343</v>
      </c>
      <c r="H178" s="67">
        <f t="shared" si="110"/>
        <v>216.48000000000002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69.407883920619071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312.21112796780687</v>
      </c>
      <c r="T178" s="59">
        <f t="shared" si="142"/>
        <v>318.74634178809458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14.181339809754551</v>
      </c>
      <c r="AA178" s="21">
        <f>EXP(-LN(2)/25)*AA177+(1-EXP(-LN(2)/25))/(LN(2)/25)*Calculateur!V178*Calculateur!X178*VLOOKUP('Données projet'!$B$9,Paramètres!$A$1:$I$89,3,0)*0.475*44/12</f>
        <v>3.5336150354699556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17.714954845224508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69.407883920619071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304.2540800000005</v>
      </c>
      <c r="AK178" s="13">
        <f t="shared" si="164"/>
        <v>72.067549889405967</v>
      </c>
      <c r="AL178" s="20">
        <f t="shared" si="165"/>
        <v>655.42683872404962</v>
      </c>
      <c r="AM178" s="59">
        <f t="shared" si="113"/>
        <v>946.58907976631963</v>
      </c>
      <c r="AN178" s="59">
        <f ca="1">AVERAGE(OFFSET($AM$3,0,0,'Données projet'!$E$10+1,1))-AVERAGE(OFFSET($H$3,0,0,'Données projet'!$E$10+1,1))</f>
        <v>608.11285041597125</v>
      </c>
      <c r="AO178" s="59">
        <f t="shared" si="144"/>
        <v>282.40007659049331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113.59990594861424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113.59990594861424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69.407883920619071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6.2527760746888816E-13</v>
      </c>
      <c r="BE178" s="13">
        <f>BD178*VLOOKUP('Données projet'!$B$11,Paramètres!$A$1:$I$89,3,0)*VLOOKUP('Données projet'!$B$11,Paramètres!$A$1:$I$89,5,0)</f>
        <v>2.9262992029543964E-13</v>
      </c>
      <c r="BF178" s="13">
        <f t="shared" si="167"/>
        <v>3.8796387982050903E-12</v>
      </c>
      <c r="BG178" s="20">
        <f t="shared" si="168"/>
        <v>7.2667013513884219E-12</v>
      </c>
      <c r="BH178" s="59">
        <f t="shared" si="116"/>
        <v>291.16224104227723</v>
      </c>
      <c r="BI178" s="59">
        <f ca="1">AVERAGE(OFFSET($BH$3,0,0,'Données projet'!$E$11+1,1))-AVERAGE(OFFSET($H$3,0,0,'Données projet'!$E$11+1,1))</f>
        <v>355.12987360915633</v>
      </c>
      <c r="BJ178" s="59">
        <f t="shared" si="146"/>
        <v>286.78588538798715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72.091163493624194</v>
      </c>
      <c r="BQ178" s="21">
        <f>EXP(-LN(2)/25)*BQ177+(1-EXP(-LN(2)/25))/(LN(2)/25)*Calculateur!BL178*Calculateur!BN178*VLOOKUP('Données projet'!$B$11,Paramètres!$A$1:$I$89,3,0)*0.475*44/12</f>
        <v>19.141839941648239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91.233003435272437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69.407883920619071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69.407883920619071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69.407883920619071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69.407883920619071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69.407883920619071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69.407883920619071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69.407883920619071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1.7000000000000002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6.2333333333333343</v>
      </c>
      <c r="H179" s="67">
        <f t="shared" si="110"/>
        <v>216.48000000000002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69.418155810823094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312.21112796780687</v>
      </c>
      <c r="T179" s="59">
        <f t="shared" si="142"/>
        <v>318.74634178809458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13.903252385848456</v>
      </c>
      <c r="AA179" s="21">
        <f>EXP(-LN(2)/25)*AA178+(1-EXP(-LN(2)/25))/(LN(2)/25)*Calculateur!V179*Calculateur!X179*VLOOKUP('Données projet'!$B$9,Paramètres!$A$1:$I$89,3,0)*0.475*44/12</f>
        <v>3.4369881465002909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17.340240532348748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69.418155810823094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309.12793600000049</v>
      </c>
      <c r="AK179" s="13">
        <f t="shared" si="164"/>
        <v>73.086678650713282</v>
      </c>
      <c r="AL179" s="20">
        <f t="shared" si="165"/>
        <v>665.6904538499931</v>
      </c>
      <c r="AM179" s="59">
        <f t="shared" si="113"/>
        <v>956.89035848967774</v>
      </c>
      <c r="AN179" s="59">
        <f ca="1">AVERAGE(OFFSET($AM$3,0,0,'Données projet'!$E$10+1,1))-AVERAGE(OFFSET($H$3,0,0,'Données projet'!$E$10+1,1))</f>
        <v>608.11285041597125</v>
      </c>
      <c r="AO179" s="59">
        <f t="shared" si="144"/>
        <v>282.40007659049331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111.37228108206281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111.37228108206281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69.418155810823094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6.2527760746888816E-13</v>
      </c>
      <c r="BE179" s="13">
        <f>BD179*VLOOKUP('Données projet'!$B$11,Paramètres!$A$1:$I$89,3,0)*VLOOKUP('Données projet'!$B$11,Paramètres!$A$1:$I$89,5,0)</f>
        <v>2.9262992029543964E-13</v>
      </c>
      <c r="BF179" s="13">
        <f t="shared" si="167"/>
        <v>3.8796387982050903E-12</v>
      </c>
      <c r="BG179" s="20">
        <f t="shared" si="168"/>
        <v>7.2667013513884219E-12</v>
      </c>
      <c r="BH179" s="59">
        <f t="shared" si="116"/>
        <v>291.19990463969197</v>
      </c>
      <c r="BI179" s="59">
        <f ca="1">AVERAGE(OFFSET($BH$3,0,0,'Données projet'!$E$11+1,1))-AVERAGE(OFFSET($H$3,0,0,'Données projet'!$E$11+1,1))</f>
        <v>355.12987360915633</v>
      </c>
      <c r="BJ179" s="59">
        <f t="shared" si="146"/>
        <v>286.78588538798715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70.677499748782154</v>
      </c>
      <c r="BQ179" s="21">
        <f>EXP(-LN(2)/25)*BQ178+(1-EXP(-LN(2)/25))/(LN(2)/25)*Calculateur!BL179*Calculateur!BN179*VLOOKUP('Données projet'!$B$11,Paramètres!$A$1:$I$89,3,0)*0.475*44/12</f>
        <v>18.618405321818255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89.295905070600412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69.418155810823094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69.418155810823094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69.418155810823094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69.418155810823094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69.418155810823094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69.418155810823094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69.418155810823094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1.7000000000000002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6.2333333333333343</v>
      </c>
      <c r="H180" s="67">
        <f t="shared" si="110"/>
        <v>216.48000000000002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69.428249506696588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312.21112796780687</v>
      </c>
      <c r="T180" s="59">
        <f t="shared" si="142"/>
        <v>318.74634178809458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13.630618086708578</v>
      </c>
      <c r="AA180" s="21">
        <f>EXP(-LN(2)/25)*AA179+(1-EXP(-LN(2)/25))/(LN(2)/25)*Calculateur!V180*Calculateur!X180*VLOOKUP('Données projet'!$B$9,Paramètres!$A$1:$I$89,3,0)*0.475*44/12</f>
        <v>3.3430035248908894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16.973621611599469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69.428249506696588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314.00179200000048</v>
      </c>
      <c r="AK180" s="13">
        <f t="shared" si="164"/>
        <v>74.103938722927282</v>
      </c>
      <c r="AL180" s="20">
        <f t="shared" si="165"/>
        <v>675.95081434243241</v>
      </c>
      <c r="AM180" s="59">
        <f t="shared" si="113"/>
        <v>967.18772920031984</v>
      </c>
      <c r="AN180" s="59">
        <f ca="1">AVERAGE(OFFSET($AM$3,0,0,'Données projet'!$E$10+1,1))-AVERAGE(OFFSET($H$3,0,0,'Données projet'!$E$10+1,1))</f>
        <v>608.11285041597125</v>
      </c>
      <c r="AO180" s="59">
        <f t="shared" si="144"/>
        <v>282.40007659049331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138.91418204963006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138.91418204963006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69.428249506696588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6.2527760746888816E-13</v>
      </c>
      <c r="BE180" s="13">
        <f>BD180*VLOOKUP('Données projet'!$B$11,Paramètres!$A$1:$I$89,3,0)*VLOOKUP('Données projet'!$B$11,Paramètres!$A$1:$I$89,5,0)</f>
        <v>2.9262992029543964E-13</v>
      </c>
      <c r="BF180" s="13">
        <f t="shared" si="167"/>
        <v>3.8796387982050903E-12</v>
      </c>
      <c r="BG180" s="20">
        <f t="shared" si="168"/>
        <v>7.2667013513884219E-12</v>
      </c>
      <c r="BH180" s="59">
        <f t="shared" si="116"/>
        <v>291.23691485789476</v>
      </c>
      <c r="BI180" s="59">
        <f ca="1">AVERAGE(OFFSET($BH$3,0,0,'Données projet'!$E$11+1,1))-AVERAGE(OFFSET($H$3,0,0,'Données projet'!$E$11+1,1))</f>
        <v>355.12987360915633</v>
      </c>
      <c r="BJ180" s="59">
        <f t="shared" si="146"/>
        <v>286.78588538798715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69.291557087726716</v>
      </c>
      <c r="BQ180" s="21">
        <f>EXP(-LN(2)/25)*BQ179+(1-EXP(-LN(2)/25))/(LN(2)/25)*Calculateur!BL180*Calculateur!BN180*VLOOKUP('Données projet'!$B$11,Paramètres!$A$1:$I$89,3,0)*0.475*44/12</f>
        <v>18.10928404919375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87.400841136920462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69.428249506696588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69.428249506696588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69.428249506696588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69.428249506696588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69.428249506696588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69.428249506696588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69.428249506696588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1.7000000000000002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6.2333333333333343</v>
      </c>
      <c r="H181" s="67">
        <f t="shared" si="110"/>
        <v>216.48000000000002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69.438168099512794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312.21112796780687</v>
      </c>
      <c r="T181" s="59">
        <f t="shared" si="142"/>
        <v>318.74634178809458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13.36332997988433</v>
      </c>
      <c r="AA181" s="21">
        <f>EXP(-LN(2)/25)*AA180+(1-EXP(-LN(2)/25))/(LN(2)/25)*Calculateur!V181*Calculateur!X181*VLOOKUP('Données projet'!$B$9,Paramètres!$A$1:$I$89,3,0)*0.475*44/12</f>
        <v>3.2515889177018331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16.614918897586165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69.438168099512794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212.72451200000049</v>
      </c>
      <c r="AK181" s="13">
        <f t="shared" si="164"/>
        <v>52.530512718953382</v>
      </c>
      <c r="AL181" s="20">
        <f t="shared" si="165"/>
        <v>461.98583471884461</v>
      </c>
      <c r="AM181" s="59">
        <f t="shared" si="113"/>
        <v>753.25911775039151</v>
      </c>
      <c r="AN181" s="59">
        <f ca="1">AVERAGE(OFFSET($AM$3,0,0,'Données projet'!$E$10+1,1))-AVERAGE(OFFSET($H$3,0,0,'Données projet'!$E$10+1,1))</f>
        <v>608.11285041597125</v>
      </c>
      <c r="AO181" s="59">
        <f t="shared" si="144"/>
        <v>282.40007659049331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136.19015966892155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136.19015966892155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69.438168099512794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6.2527760746888816E-13</v>
      </c>
      <c r="BE181" s="13">
        <f>BD181*VLOOKUP('Données projet'!$B$11,Paramètres!$A$1:$I$89,3,0)*VLOOKUP('Données projet'!$B$11,Paramètres!$A$1:$I$89,5,0)</f>
        <v>2.9262992029543964E-13</v>
      </c>
      <c r="BF181" s="13">
        <f t="shared" si="167"/>
        <v>3.8796387982050903E-12</v>
      </c>
      <c r="BG181" s="20">
        <f t="shared" si="168"/>
        <v>7.2667013513884219E-12</v>
      </c>
      <c r="BH181" s="59">
        <f t="shared" si="116"/>
        <v>291.27328303155417</v>
      </c>
      <c r="BI181" s="59">
        <f ca="1">AVERAGE(OFFSET($BH$3,0,0,'Données projet'!$E$11+1,1))-AVERAGE(OFFSET($H$3,0,0,'Données projet'!$E$11+1,1))</f>
        <v>355.12987360915633</v>
      </c>
      <c r="BJ181" s="59">
        <f t="shared" si="146"/>
        <v>286.78588538798715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67.932791916913033</v>
      </c>
      <c r="BQ181" s="21">
        <f>EXP(-LN(2)/25)*BQ180+(1-EXP(-LN(2)/25))/(LN(2)/25)*Calculateur!BL181*Calculateur!BN181*VLOOKUP('Données projet'!$B$11,Paramètres!$A$1:$I$89,3,0)*0.475*44/12</f>
        <v>17.614084724542689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85.546876641455725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69.438168099512794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69.438168099512794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69.438168099512794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69.438168099512794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69.438168099512794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69.438168099512794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69.438168099512794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1.7000000000000002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6.2333333333333343</v>
      </c>
      <c r="H182" s="67">
        <f t="shared" si="110"/>
        <v>216.48000000000002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69.447914626918291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312.21112796780687</v>
      </c>
      <c r="T182" s="59">
        <f t="shared" si="142"/>
        <v>318.74634178809458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13.10128322980526</v>
      </c>
      <c r="AA182" s="21">
        <f>EXP(-LN(2)/25)*AA181+(1-EXP(-LN(2)/25))/(LN(2)/25)*Calculateur!V182*Calculateur!X182*VLOOKUP('Données projet'!$B$9,Paramètres!$A$1:$I$89,3,0)*0.475*44/12</f>
        <v>3.1626740477536468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16.263957277558905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69.447914626918291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215.67114400000045</v>
      </c>
      <c r="AK182" s="13">
        <f t="shared" si="164"/>
        <v>53.172944836363733</v>
      </c>
      <c r="AL182" s="20">
        <f t="shared" si="165"/>
        <v>468.23678805666754</v>
      </c>
      <c r="AM182" s="59">
        <f t="shared" si="113"/>
        <v>759.54580835536797</v>
      </c>
      <c r="AN182" s="59">
        <f ca="1">AVERAGE(OFFSET($AM$3,0,0,'Données projet'!$E$10+1,1))-AVERAGE(OFFSET($H$3,0,0,'Données projet'!$E$10+1,1))</f>
        <v>608.11285041597125</v>
      </c>
      <c r="AO182" s="59">
        <f t="shared" si="144"/>
        <v>282.40007659049331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133.51955370560913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133.51955370560913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69.447914626918291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6.2527760746888816E-13</v>
      </c>
      <c r="BE182" s="13">
        <f>BD182*VLOOKUP('Données projet'!$B$11,Paramètres!$A$1:$I$89,3,0)*VLOOKUP('Données projet'!$B$11,Paramètres!$A$1:$I$89,5,0)</f>
        <v>2.9262992029543964E-13</v>
      </c>
      <c r="BF182" s="13">
        <f t="shared" si="167"/>
        <v>3.8796387982050903E-12</v>
      </c>
      <c r="BG182" s="20">
        <f t="shared" si="168"/>
        <v>7.2667013513884219E-12</v>
      </c>
      <c r="BH182" s="59">
        <f t="shared" si="116"/>
        <v>291.30902029870771</v>
      </c>
      <c r="BI182" s="59">
        <f ca="1">AVERAGE(OFFSET($BH$3,0,0,'Données projet'!$E$11+1,1))-AVERAGE(OFFSET($H$3,0,0,'Données projet'!$E$11+1,1))</f>
        <v>355.12987360915633</v>
      </c>
      <c r="BJ182" s="59">
        <f t="shared" si="146"/>
        <v>286.78588538798715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66.600671302334078</v>
      </c>
      <c r="BQ182" s="21">
        <f>EXP(-LN(2)/25)*BQ181+(1-EXP(-LN(2)/25))/(LN(2)/25)*Calculateur!BL182*Calculateur!BN182*VLOOKUP('Données projet'!$B$11,Paramètres!$A$1:$I$89,3,0)*0.475*44/12</f>
        <v>17.132426651465611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83.733097953799685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69.447914626918291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69.447914626918291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69.447914626918291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69.447914626918291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69.447914626918291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69.447914626918291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69.447914626918291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1.7000000000000002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6.2333333333333343</v>
      </c>
      <c r="H183" s="67">
        <f t="shared" si="110"/>
        <v>216.48000000000002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69.457492073863278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312.21112796780687</v>
      </c>
      <c r="T183" s="59">
        <f t="shared" si="142"/>
        <v>318.74634178809458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12.844375056662503</v>
      </c>
      <c r="AA183" s="21">
        <f>EXP(-LN(2)/25)*AA182+(1-EXP(-LN(2)/25))/(LN(2)/25)*Calculateur!V183*Calculateur!X183*VLOOKUP('Données projet'!$B$9,Paramètres!$A$1:$I$89,3,0)*0.475*44/12</f>
        <v>3.0761905596000236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15.920565616262527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69.457492073863278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218.61777600000045</v>
      </c>
      <c r="AK183" s="13">
        <f t="shared" si="164"/>
        <v>53.814356054061541</v>
      </c>
      <c r="AL183" s="20">
        <f t="shared" si="165"/>
        <v>474.48596332749122</v>
      </c>
      <c r="AM183" s="59">
        <f t="shared" si="113"/>
        <v>765.8301009316566</v>
      </c>
      <c r="AN183" s="59">
        <f ca="1">AVERAGE(OFFSET($AM$3,0,0,'Données projet'!$E$10+1,1))-AVERAGE(OFFSET($H$3,0,0,'Données projet'!$E$10+1,1))</f>
        <v>608.11285041597125</v>
      </c>
      <c r="AO183" s="59">
        <f t="shared" si="144"/>
        <v>282.40007659049331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150.95768056842175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150.95768056842175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69.457492073863278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6.2527760746888816E-13</v>
      </c>
      <c r="BE183" s="13">
        <f>BD183*VLOOKUP('Données projet'!$B$11,Paramètres!$A$1:$I$89,3,0)*VLOOKUP('Données projet'!$B$11,Paramètres!$A$1:$I$89,5,0)</f>
        <v>2.9262992029543964E-13</v>
      </c>
      <c r="BF183" s="13">
        <f t="shared" si="167"/>
        <v>3.8796387982050903E-12</v>
      </c>
      <c r="BG183" s="20">
        <f t="shared" si="168"/>
        <v>7.2667013513884219E-12</v>
      </c>
      <c r="BH183" s="59">
        <f t="shared" si="116"/>
        <v>291.34413760417266</v>
      </c>
      <c r="BI183" s="59">
        <f ca="1">AVERAGE(OFFSET($BH$3,0,0,'Données projet'!$E$11+1,1))-AVERAGE(OFFSET($H$3,0,0,'Données projet'!$E$11+1,1))</f>
        <v>355.12987360915633</v>
      </c>
      <c r="BJ183" s="59">
        <f t="shared" si="146"/>
        <v>286.78588538798715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65.294672760493668</v>
      </c>
      <c r="BQ183" s="21">
        <f>EXP(-LN(2)/25)*BQ182+(1-EXP(-LN(2)/25))/(LN(2)/25)*Calculateur!BL183*Calculateur!BN183*VLOOKUP('Données projet'!$B$11,Paramètres!$A$1:$I$89,3,0)*0.475*44/12</f>
        <v>16.663939543726123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81.958612304219798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69.457492073863278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69.457492073863278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69.457492073863278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69.457492073863278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69.457492073863278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69.457492073863278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69.457492073863278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1.7000000000000002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6.2333333333333343</v>
      </c>
      <c r="H184" s="67">
        <f t="shared" si="110"/>
        <v>216.48000000000002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69.46690337351572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312.21112796780687</v>
      </c>
      <c r="T184" s="59">
        <f t="shared" si="142"/>
        <v>318.74634178809458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12.592504696096563</v>
      </c>
      <c r="AA184" s="21">
        <f>EXP(-LN(2)/25)*AA183+(1-EXP(-LN(2)/25))/(LN(2)/25)*Calculateur!V184*Calculateur!X184*VLOOKUP('Données projet'!$B$9,Paramètres!$A$1:$I$89,3,0)*0.475*44/12</f>
        <v>2.9920719669779303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15.584576663074493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69.46690337351572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150.06409600000046</v>
      </c>
      <c r="AK184" s="13">
        <f t="shared" si="164"/>
        <v>38.593151304664545</v>
      </c>
      <c r="AL184" s="20">
        <f t="shared" si="165"/>
        <v>328.57803905562486</v>
      </c>
      <c r="AM184" s="59">
        <f t="shared" si="113"/>
        <v>619.95668475851585</v>
      </c>
      <c r="AN184" s="59">
        <f ca="1">AVERAGE(OFFSET($AM$3,0,0,'Données projet'!$E$10+1,1))-AVERAGE(OFFSET($H$3,0,0,'Données projet'!$E$10+1,1))</f>
        <v>608.11285041597125</v>
      </c>
      <c r="AO184" s="59">
        <f t="shared" si="144"/>
        <v>282.40007659049331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147.99749252756848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147.99749252756848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69.46690337351572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6.2527760746888816E-13</v>
      </c>
      <c r="BE184" s="13">
        <f>BD184*VLOOKUP('Données projet'!$B$11,Paramètres!$A$1:$I$89,3,0)*VLOOKUP('Données projet'!$B$11,Paramètres!$A$1:$I$89,5,0)</f>
        <v>2.9262992029543964E-13</v>
      </c>
      <c r="BF184" s="13">
        <f t="shared" si="167"/>
        <v>3.8796387982050903E-12</v>
      </c>
      <c r="BG184" s="20">
        <f t="shared" si="168"/>
        <v>7.2667013513884219E-12</v>
      </c>
      <c r="BH184" s="59">
        <f t="shared" si="116"/>
        <v>291.37864570289827</v>
      </c>
      <c r="BI184" s="59">
        <f ca="1">AVERAGE(OFFSET($BH$3,0,0,'Données projet'!$E$11+1,1))-AVERAGE(OFFSET($H$3,0,0,'Données projet'!$E$11+1,1))</f>
        <v>355.12987360915633</v>
      </c>
      <c r="BJ184" s="59">
        <f t="shared" si="146"/>
        <v>286.78588538798715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64.014284053478292</v>
      </c>
      <c r="BQ184" s="21">
        <f>EXP(-LN(2)/25)*BQ183+(1-EXP(-LN(2)/25))/(LN(2)/25)*Calculateur!BL184*Calculateur!BN184*VLOOKUP('Données projet'!$B$11,Paramètres!$A$1:$I$89,3,0)*0.475*44/12</f>
        <v>16.208263240584436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80.222547294062736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69.46690337351572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69.46690337351572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69.46690337351572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69.46690337351572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69.46690337351572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69.46690337351572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69.46690337351572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1.7000000000000002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6.2333333333333343</v>
      </c>
      <c r="H185" s="67">
        <f t="shared" si="110"/>
        <v>216.48000000000002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69.476151408159723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312.21112796780687</v>
      </c>
      <c r="T185" s="59">
        <f t="shared" si="142"/>
        <v>318.74634178809458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12.345573359675571</v>
      </c>
      <c r="AA185" s="21">
        <f>EXP(-LN(2)/25)*AA184+(1-EXP(-LN(2)/25))/(LN(2)/25)*Calculateur!V185*Calculateur!X185*VLOOKUP('Données projet'!$B$9,Paramètres!$A$1:$I$89,3,0)*0.475*44/12</f>
        <v>2.9102536016946927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15.255826961370264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69.476151408159723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151.83147200000045</v>
      </c>
      <c r="AK185" s="13">
        <f t="shared" si="164"/>
        <v>38.994499777620597</v>
      </c>
      <c r="AL185" s="20">
        <f t="shared" si="165"/>
        <v>332.35523417935661</v>
      </c>
      <c r="AM185" s="59">
        <f t="shared" si="113"/>
        <v>623.76778934260892</v>
      </c>
      <c r="AN185" s="59">
        <f ca="1">AVERAGE(OFFSET($AM$3,0,0,'Données projet'!$E$10+1,1))-AVERAGE(OFFSET($H$3,0,0,'Données projet'!$E$10+1,1))</f>
        <v>608.11285041597125</v>
      </c>
      <c r="AO185" s="59">
        <f t="shared" si="144"/>
        <v>282.40007659049331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145.09535196865994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145.09535196865994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69.476151408159723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6.2527760746888816E-13</v>
      </c>
      <c r="BE185" s="13">
        <f>BD185*VLOOKUP('Données projet'!$B$11,Paramètres!$A$1:$I$89,3,0)*VLOOKUP('Données projet'!$B$11,Paramètres!$A$1:$I$89,5,0)</f>
        <v>2.9262992029543964E-13</v>
      </c>
      <c r="BF185" s="13">
        <f t="shared" si="167"/>
        <v>3.8796387982050903E-12</v>
      </c>
      <c r="BG185" s="20">
        <f t="shared" si="168"/>
        <v>7.2667013513884219E-12</v>
      </c>
      <c r="BH185" s="59">
        <f t="shared" si="116"/>
        <v>291.41255516325958</v>
      </c>
      <c r="BI185" s="59">
        <f ca="1">AVERAGE(OFFSET($BH$3,0,0,'Données projet'!$E$11+1,1))-AVERAGE(OFFSET($H$3,0,0,'Données projet'!$E$11+1,1))</f>
        <v>355.12987360915633</v>
      </c>
      <c r="BJ185" s="59">
        <f t="shared" si="146"/>
        <v>286.78588538798715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62.759002988047499</v>
      </c>
      <c r="BQ185" s="21">
        <f>EXP(-LN(2)/25)*BQ184+(1-EXP(-LN(2)/25))/(LN(2)/25)*Calculateur!BL185*Calculateur!BN185*VLOOKUP('Données projet'!$B$11,Paramètres!$A$1:$I$89,3,0)*0.475*44/12</f>
        <v>15.765047429915136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78.524050417962627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69.476151408159723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69.476151408159723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69.476151408159723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69.476151408159723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69.476151408159723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69.476151408159723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69.476151408159723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1.7000000000000002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6.2333333333333343</v>
      </c>
      <c r="H186" s="67">
        <f t="shared" si="110"/>
        <v>216.48000000000002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69.485239010078146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312.21112796780687</v>
      </c>
      <c r="T186" s="59">
        <f t="shared" si="142"/>
        <v>318.74634178809458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12.103484196148552</v>
      </c>
      <c r="AA186" s="21">
        <f>EXP(-LN(2)/25)*AA185+(1-EXP(-LN(2)/25))/(LN(2)/25)*Calculateur!V186*Calculateur!X186*VLOOKUP('Données projet'!$B$9,Paramètres!$A$1:$I$89,3,0)*0.475*44/12</f>
        <v>2.8306725639127661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14.934156760061317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69.485239010078146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153.5988480000004</v>
      </c>
      <c r="AK186" s="13">
        <f t="shared" si="164"/>
        <v>39.395304802658316</v>
      </c>
      <c r="AL186" s="20">
        <f t="shared" si="165"/>
        <v>336.13148279796388</v>
      </c>
      <c r="AM186" s="59">
        <f t="shared" si="113"/>
        <v>627.57735916825038</v>
      </c>
      <c r="AN186" s="59">
        <f ca="1">AVERAGE(OFFSET($AM$3,0,0,'Données projet'!$E$10+1,1))-AVERAGE(OFFSET($H$3,0,0,'Données projet'!$E$10+1,1))</f>
        <v>608.11285041597125</v>
      </c>
      <c r="AO186" s="59">
        <f t="shared" si="144"/>
        <v>282.40007659049331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186.05825662893167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186.05825662893167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69.485239010078146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6.2527760746888816E-13</v>
      </c>
      <c r="BE186" s="13">
        <f>BD186*VLOOKUP('Données projet'!$B$11,Paramètres!$A$1:$I$89,3,0)*VLOOKUP('Données projet'!$B$11,Paramètres!$A$1:$I$89,5,0)</f>
        <v>2.9262992029543964E-13</v>
      </c>
      <c r="BF186" s="13">
        <f t="shared" si="167"/>
        <v>3.8796387982050903E-12</v>
      </c>
      <c r="BG186" s="20">
        <f t="shared" si="168"/>
        <v>7.2667013513884219E-12</v>
      </c>
      <c r="BH186" s="59">
        <f t="shared" si="116"/>
        <v>291.44587637029377</v>
      </c>
      <c r="BI186" s="59">
        <f ca="1">AVERAGE(OFFSET($BH$3,0,0,'Données projet'!$E$11+1,1))-AVERAGE(OFFSET($H$3,0,0,'Données projet'!$E$11+1,1))</f>
        <v>355.12987360915633</v>
      </c>
      <c r="BJ186" s="59">
        <f t="shared" si="146"/>
        <v>286.78588538798715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61.52833721866395</v>
      </c>
      <c r="BQ186" s="21">
        <f>EXP(-LN(2)/25)*BQ185+(1-EXP(-LN(2)/25))/(LN(2)/25)*Calculateur!BL186*Calculateur!BN186*VLOOKUP('Données projet'!$B$11,Paramètres!$A$1:$I$89,3,0)*0.475*44/12</f>
        <v>15.333951378896293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76.862288597560237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69.485239010078146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69.485239010078146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69.485239010078146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69.485239010078146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69.485239010078146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69.485239010078146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69.485239010078146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1.7000000000000002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6.2333333333333343</v>
      </c>
      <c r="H187" s="67">
        <f t="shared" si="110"/>
        <v>216.48000000000002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69.494168962420133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312.21112796780687</v>
      </c>
      <c r="T187" s="59">
        <f t="shared" si="142"/>
        <v>318.74634178809458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11.866142253458486</v>
      </c>
      <c r="AA187" s="21">
        <f>EXP(-LN(2)/25)*AA186+(1-EXP(-LN(2)/25))/(LN(2)/25)*Calculateur!V187*Calculateur!X187*VLOOKUP('Données projet'!$B$9,Paramètres!$A$1:$I$89,3,0)*0.475*44/12</f>
        <v>2.753267673793971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14.619409927252457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69.494168962420133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4.3717136577470225E-13</v>
      </c>
      <c r="AK187" s="13">
        <f t="shared" si="164"/>
        <v>5.5313598682231701E-12</v>
      </c>
      <c r="AL187" s="20">
        <f t="shared" si="165"/>
        <v>1.039519189921296E-11</v>
      </c>
      <c r="AM187" s="59">
        <f t="shared" si="113"/>
        <v>291.47861952888422</v>
      </c>
      <c r="AN187" s="59">
        <f ca="1">AVERAGE(OFFSET($AM$3,0,0,'Données projet'!$E$10+1,1))-AVERAGE(OFFSET($H$3,0,0,'Données projet'!$E$10+1,1))</f>
        <v>608.11285041597125</v>
      </c>
      <c r="AO187" s="59">
        <f t="shared" si="144"/>
        <v>282.40007659049331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182.40976770076921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182.40976770076921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69.494168962420133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6.2527760746888816E-13</v>
      </c>
      <c r="BE187" s="13">
        <f>BD187*VLOOKUP('Données projet'!$B$11,Paramètres!$A$1:$I$89,3,0)*VLOOKUP('Données projet'!$B$11,Paramètres!$A$1:$I$89,5,0)</f>
        <v>2.9262992029543964E-13</v>
      </c>
      <c r="BF187" s="13">
        <f t="shared" si="167"/>
        <v>3.8796387982050903E-12</v>
      </c>
      <c r="BG187" s="20">
        <f t="shared" si="168"/>
        <v>7.2667013513884219E-12</v>
      </c>
      <c r="BH187" s="59">
        <f t="shared" si="116"/>
        <v>291.4786195288811</v>
      </c>
      <c r="BI187" s="59">
        <f ca="1">AVERAGE(OFFSET($BH$3,0,0,'Données projet'!$E$11+1,1))-AVERAGE(OFFSET($H$3,0,0,'Données projet'!$E$11+1,1))</f>
        <v>355.12987360915633</v>
      </c>
      <c r="BJ187" s="59">
        <f t="shared" si="146"/>
        <v>286.78588538798715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60.321804054386014</v>
      </c>
      <c r="BQ187" s="21">
        <f>EXP(-LN(2)/25)*BQ186+(1-EXP(-LN(2)/25))/(LN(2)/25)*Calculateur!BL187*Calculateur!BN187*VLOOKUP('Données projet'!$B$11,Paramètres!$A$1:$I$89,3,0)*0.475*44/12</f>
        <v>14.914643672062917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75.23644772644893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69.494168962420133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69.494168962420133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69.494168962420133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69.494168962420133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69.494168962420133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69.494168962420133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69.494168962420133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1.7000000000000002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6.2333333333333343</v>
      </c>
      <c r="H188" s="67">
        <f t="shared" si="110"/>
        <v>216.48000000000002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69.502944000053361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312.21112796780687</v>
      </c>
      <c r="T188" s="59">
        <f t="shared" si="142"/>
        <v>318.74634178809458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11.633454441500284</v>
      </c>
      <c r="AA188" s="21">
        <f>EXP(-LN(2)/25)*AA187+(1-EXP(-LN(2)/25))/(LN(2)/25)*Calculateur!V188*Calculateur!X188*VLOOKUP('Données projet'!$B$9,Paramètres!$A$1:$I$89,3,0)*0.475*44/12</f>
        <v>2.6779794244660207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14.311433865966304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69.502944000053361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4.3717136577470225E-13</v>
      </c>
      <c r="AK188" s="13">
        <f t="shared" si="164"/>
        <v>5.5313598682231701E-12</v>
      </c>
      <c r="AL188" s="20">
        <f t="shared" si="165"/>
        <v>1.039519189921296E-11</v>
      </c>
      <c r="AM188" s="59">
        <f t="shared" si="113"/>
        <v>291.5107946668727</v>
      </c>
      <c r="AN188" s="59">
        <f ca="1">AVERAGE(OFFSET($AM$3,0,0,'Données projet'!$E$10+1,1))-AVERAGE(OFFSET($H$3,0,0,'Données projet'!$E$10+1,1))</f>
        <v>608.11285041597125</v>
      </c>
      <c r="AO188" s="59">
        <f t="shared" si="144"/>
        <v>282.40007659049331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178.83282341512952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178.83282341512952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69.502944000053361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6.2527760746888816E-13</v>
      </c>
      <c r="BE188" s="13">
        <f>BD188*VLOOKUP('Données projet'!$B$11,Paramètres!$A$1:$I$89,3,0)*VLOOKUP('Données projet'!$B$11,Paramètres!$A$1:$I$89,5,0)</f>
        <v>2.9262992029543964E-13</v>
      </c>
      <c r="BF188" s="13">
        <f t="shared" si="167"/>
        <v>3.8796387982050903E-12</v>
      </c>
      <c r="BG188" s="20">
        <f t="shared" si="168"/>
        <v>7.2667013513884219E-12</v>
      </c>
      <c r="BH188" s="59">
        <f t="shared" si="116"/>
        <v>291.51079466686957</v>
      </c>
      <c r="BI188" s="59">
        <f ca="1">AVERAGE(OFFSET($BH$3,0,0,'Données projet'!$E$11+1,1))-AVERAGE(OFFSET($H$3,0,0,'Données projet'!$E$11+1,1))</f>
        <v>355.12987360915633</v>
      </c>
      <c r="BJ188" s="59">
        <f t="shared" si="146"/>
        <v>286.78588538798715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59.138930269547004</v>
      </c>
      <c r="BQ188" s="21">
        <f>EXP(-LN(2)/25)*BQ187+(1-EXP(-LN(2)/25))/(LN(2)/25)*Calculateur!BL188*Calculateur!BN188*VLOOKUP('Données projet'!$B$11,Paramètres!$A$1:$I$89,3,0)*0.475*44/12</f>
        <v>14.506801956523335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73.645732226070336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69.502944000053361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69.502944000053361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69.502944000053361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69.502944000053361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69.502944000053361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69.502944000053361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69.502944000053361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1.7000000000000002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6.2333333333333343</v>
      </c>
      <c r="H189" s="67">
        <f t="shared" si="110"/>
        <v>216.48000000000002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69.511566810401689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312.21112796780687</v>
      </c>
      <c r="T189" s="59">
        <f t="shared" si="142"/>
        <v>318.74634178809458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11.405329495609029</v>
      </c>
      <c r="AA189" s="21">
        <f>EXP(-LN(2)/25)*AA188+(1-EXP(-LN(2)/25))/(LN(2)/25)*Calculateur!V189*Calculateur!X189*VLOOKUP('Données projet'!$B$9,Paramètres!$A$1:$I$89,3,0)*0.475*44/12</f>
        <v>2.60474993627518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14.010079431884209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69.511566810401689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4.3717136577470225E-13</v>
      </c>
      <c r="AK189" s="13">
        <f t="shared" si="164"/>
        <v>5.5313598682231701E-12</v>
      </c>
      <c r="AL189" s="20">
        <f t="shared" si="165"/>
        <v>1.039519189921296E-11</v>
      </c>
      <c r="AM189" s="59">
        <f t="shared" si="113"/>
        <v>291.54241163814993</v>
      </c>
      <c r="AN189" s="59">
        <f ca="1">AVERAGE(OFFSET($AM$3,0,0,'Données projet'!$E$10+1,1))-AVERAGE(OFFSET($H$3,0,0,'Données projet'!$E$10+1,1))</f>
        <v>608.11285041597125</v>
      </c>
      <c r="AO189" s="59">
        <f t="shared" si="144"/>
        <v>282.40007659049331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175.32602082521063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175.32602082521063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69.511566810401689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6.2527760746888816E-13</v>
      </c>
      <c r="BE189" s="13">
        <f>BD189*VLOOKUP('Données projet'!$B$11,Paramètres!$A$1:$I$89,3,0)*VLOOKUP('Données projet'!$B$11,Paramètres!$A$1:$I$89,5,0)</f>
        <v>2.9262992029543964E-13</v>
      </c>
      <c r="BF189" s="13">
        <f t="shared" si="167"/>
        <v>3.8796387982050903E-12</v>
      </c>
      <c r="BG189" s="20">
        <f t="shared" si="168"/>
        <v>7.2667013513884219E-12</v>
      </c>
      <c r="BH189" s="59">
        <f t="shared" si="116"/>
        <v>291.5424116381468</v>
      </c>
      <c r="BI189" s="59">
        <f ca="1">AVERAGE(OFFSET($BH$3,0,0,'Données projet'!$E$11+1,1))-AVERAGE(OFFSET($H$3,0,0,'Données projet'!$E$11+1,1))</f>
        <v>355.12987360915633</v>
      </c>
      <c r="BJ189" s="59">
        <f t="shared" si="146"/>
        <v>286.78588538798715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57.979251918146915</v>
      </c>
      <c r="BQ189" s="21">
        <f>EXP(-LN(2)/25)*BQ188+(1-EXP(-LN(2)/25))/(LN(2)/25)*Calculateur!BL189*Calculateur!BN189*VLOOKUP('Données projet'!$B$11,Paramètres!$A$1:$I$89,3,0)*0.475*44/12</f>
        <v>14.110112694142645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72.089364612289557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69.511566810401689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69.511566810401689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69.511566810401689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69.511566810401689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69.511566810401689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69.511566810401689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69.511566810401689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1.7000000000000002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6.2333333333333343</v>
      </c>
      <c r="H190" s="67">
        <f t="shared" si="110"/>
        <v>216.48000000000002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69.520040034268192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312.21112796780687</v>
      </c>
      <c r="T190" s="59">
        <f t="shared" si="142"/>
        <v>318.74634178809458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11.181677940764224</v>
      </c>
      <c r="AA190" s="21">
        <f>EXP(-LN(2)/25)*AA189+(1-EXP(-LN(2)/25))/(LN(2)/25)*Calculateur!V190*Calculateur!X190*VLOOKUP('Données projet'!$B$9,Paramètres!$A$1:$I$89,3,0)*0.475*44/12</f>
        <v>2.5335229122898895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13.715200853054114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69.520040034268192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4.3717136577470225E-13</v>
      </c>
      <c r="AK190" s="13">
        <f t="shared" si="164"/>
        <v>5.5313598682231701E-12</v>
      </c>
      <c r="AL190" s="20">
        <f t="shared" si="165"/>
        <v>1.039519189921296E-11</v>
      </c>
      <c r="AM190" s="59">
        <f t="shared" si="113"/>
        <v>291.57348012566047</v>
      </c>
      <c r="AN190" s="59">
        <f ca="1">AVERAGE(OFFSET($AM$3,0,0,'Données projet'!$E$10+1,1))-AVERAGE(OFFSET($H$3,0,0,'Données projet'!$E$10+1,1))</f>
        <v>608.11285041597125</v>
      </c>
      <c r="AO190" s="59">
        <f t="shared" si="144"/>
        <v>282.40007659049331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171.88798449514167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171.88798449514167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69.520040034268192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6.2527760746888816E-13</v>
      </c>
      <c r="BE190" s="13">
        <f>BD190*VLOOKUP('Données projet'!$B$11,Paramètres!$A$1:$I$89,3,0)*VLOOKUP('Données projet'!$B$11,Paramètres!$A$1:$I$89,5,0)</f>
        <v>2.9262992029543964E-13</v>
      </c>
      <c r="BF190" s="13">
        <f t="shared" si="167"/>
        <v>3.8796387982050903E-12</v>
      </c>
      <c r="BG190" s="20">
        <f t="shared" si="168"/>
        <v>7.2667013513884219E-12</v>
      </c>
      <c r="BH190" s="59">
        <f t="shared" si="116"/>
        <v>291.57348012565734</v>
      </c>
      <c r="BI190" s="59">
        <f ca="1">AVERAGE(OFFSET($BH$3,0,0,'Données projet'!$E$11+1,1))-AVERAGE(OFFSET($H$3,0,0,'Données projet'!$E$11+1,1))</f>
        <v>355.12987360915633</v>
      </c>
      <c r="BJ190" s="59">
        <f t="shared" si="146"/>
        <v>286.78588538798715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56.842314151883834</v>
      </c>
      <c r="BQ190" s="21">
        <f>EXP(-LN(2)/25)*BQ189+(1-EXP(-LN(2)/25))/(LN(2)/25)*Calculateur!BL190*Calculateur!BN190*VLOOKUP('Données projet'!$B$11,Paramètres!$A$1:$I$89,3,0)*0.475*44/12</f>
        <v>13.724270920502736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70.566585072386573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69.520040034268192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69.520040034268192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69.520040034268192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69.520040034268192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69.520040034268192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69.520040034268192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69.520040034268192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1.7000000000000002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6.2333333333333343</v>
      </c>
      <c r="H191" s="67">
        <f t="shared" si="110"/>
        <v>216.48000000000002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69.528366266643914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312.21112796780687</v>
      </c>
      <c r="T191" s="59">
        <f t="shared" si="142"/>
        <v>318.74634178809458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10.962412056495948</v>
      </c>
      <c r="AA191" s="21">
        <f>EXP(-LN(2)/25)*AA190+(1-EXP(-LN(2)/25))/(LN(2)/25)*Calculateur!V191*Calculateur!X191*VLOOKUP('Données projet'!$B$9,Paramètres!$A$1:$I$89,3,0)*0.475*44/12</f>
        <v>2.4642435950211428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13.426655651517091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69.528366266643914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4.3717136577470225E-13</v>
      </c>
      <c r="AK191" s="13">
        <f t="shared" si="164"/>
        <v>5.5313598682231701E-12</v>
      </c>
      <c r="AL191" s="20">
        <f t="shared" si="165"/>
        <v>1.039519189921296E-11</v>
      </c>
      <c r="AM191" s="59">
        <f t="shared" si="113"/>
        <v>291.60400964437144</v>
      </c>
      <c r="AN191" s="59">
        <f ca="1">AVERAGE(OFFSET($AM$3,0,0,'Données projet'!$E$10+1,1))-AVERAGE(OFFSET($H$3,0,0,'Données projet'!$E$10+1,1))</f>
        <v>608.11285041597125</v>
      </c>
      <c r="AO191" s="59">
        <f t="shared" si="144"/>
        <v>282.40007659049331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168.51736596051026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168.51736596051026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69.528366266643914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6.2527760746888816E-13</v>
      </c>
      <c r="BE191" s="13">
        <f>BD191*VLOOKUP('Données projet'!$B$11,Paramètres!$A$1:$I$89,3,0)*VLOOKUP('Données projet'!$B$11,Paramètres!$A$1:$I$89,5,0)</f>
        <v>2.9262992029543964E-13</v>
      </c>
      <c r="BF191" s="13">
        <f t="shared" si="167"/>
        <v>3.8796387982050903E-12</v>
      </c>
      <c r="BG191" s="20">
        <f t="shared" si="168"/>
        <v>7.2667013513884219E-12</v>
      </c>
      <c r="BH191" s="59">
        <f t="shared" si="116"/>
        <v>291.60400964436832</v>
      </c>
      <c r="BI191" s="59">
        <f ca="1">AVERAGE(OFFSET($BH$3,0,0,'Données projet'!$E$11+1,1))-AVERAGE(OFFSET($H$3,0,0,'Données projet'!$E$11+1,1))</f>
        <v>355.12987360915633</v>
      </c>
      <c r="BJ191" s="59">
        <f t="shared" si="146"/>
        <v>286.78588538798715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55.727671041753609</v>
      </c>
      <c r="BQ191" s="21">
        <f>EXP(-LN(2)/25)*BQ190+(1-EXP(-LN(2)/25))/(LN(2)/25)*Calculateur!BL191*Calculateur!BN191*VLOOKUP('Données projet'!$B$11,Paramètres!$A$1:$I$89,3,0)*0.475*44/12</f>
        <v>13.348980010453548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69.076651052207154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69.528366266643914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69.528366266643914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69.528366266643914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69.528366266643914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69.528366266643914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69.528366266643914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69.528366266643914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1.7000000000000002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6.2333333333333343</v>
      </c>
      <c r="H192" s="67">
        <f t="shared" si="110"/>
        <v>216.48000000000002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69.536548057502571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312.21112796780687</v>
      </c>
      <c r="T192" s="59">
        <f t="shared" si="142"/>
        <v>318.74634178809458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10.747445842479189</v>
      </c>
      <c r="AA192" s="21">
        <f>EXP(-LN(2)/25)*AA191+(1-EXP(-LN(2)/25))/(LN(2)/25)*Calculateur!V192*Calculateur!X192*VLOOKUP('Données projet'!$B$9,Paramètres!$A$1:$I$89,3,0)*0.475*44/12</f>
        <v>2.3968587243263513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13.144304566805541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69.536548057502571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4.3717136577470225E-13</v>
      </c>
      <c r="AK192" s="13">
        <f t="shared" si="164"/>
        <v>5.5313598682231701E-12</v>
      </c>
      <c r="AL192" s="20">
        <f t="shared" si="165"/>
        <v>1.039519189921296E-11</v>
      </c>
      <c r="AM192" s="59">
        <f t="shared" si="113"/>
        <v>291.63400954418648</v>
      </c>
      <c r="AN192" s="59">
        <f ca="1">AVERAGE(OFFSET($AM$3,0,0,'Données projet'!$E$10+1,1))-AVERAGE(OFFSET($H$3,0,0,'Données projet'!$E$10+1,1))</f>
        <v>608.11285041597125</v>
      </c>
      <c r="AO192" s="59">
        <f t="shared" si="144"/>
        <v>282.40007659049331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165.21284319946867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165.21284319946867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69.536548057502571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6.2527760746888816E-13</v>
      </c>
      <c r="BE192" s="13">
        <f>BD192*VLOOKUP('Données projet'!$B$11,Paramètres!$A$1:$I$89,3,0)*VLOOKUP('Données projet'!$B$11,Paramètres!$A$1:$I$89,5,0)</f>
        <v>2.9262992029543964E-13</v>
      </c>
      <c r="BF192" s="13">
        <f t="shared" si="167"/>
        <v>3.8796387982050903E-12</v>
      </c>
      <c r="BG192" s="20">
        <f t="shared" si="168"/>
        <v>7.2667013513884219E-12</v>
      </c>
      <c r="BH192" s="59">
        <f t="shared" si="116"/>
        <v>291.63400954418336</v>
      </c>
      <c r="BI192" s="59">
        <f ca="1">AVERAGE(OFFSET($BH$3,0,0,'Données projet'!$E$11+1,1))-AVERAGE(OFFSET($H$3,0,0,'Données projet'!$E$11+1,1))</f>
        <v>355.12987360915633</v>
      </c>
      <c r="BJ192" s="59">
        <f t="shared" si="146"/>
        <v>286.78588538798715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54.634885403147869</v>
      </c>
      <c r="BQ192" s="21">
        <f>EXP(-LN(2)/25)*BQ191+(1-EXP(-LN(2)/25))/(LN(2)/25)*Calculateur!BL192*Calculateur!BN192*VLOOKUP('Données projet'!$B$11,Paramètres!$A$1:$I$89,3,0)*0.475*44/12</f>
        <v>12.983951450075347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67.618836853223215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69.536548057502571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69.536548057502571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69.536548057502571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69.536548057502571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69.536548057502571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69.536548057502571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69.536548057502571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1.7000000000000002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6.2333333333333343</v>
      </c>
      <c r="H193" s="67">
        <f t="shared" si="110"/>
        <v>216.48000000000002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69.544587912581591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312.21112796780687</v>
      </c>
      <c r="T193" s="59">
        <f t="shared" si="142"/>
        <v>318.74634178809458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10.536694984802855</v>
      </c>
      <c r="AA193" s="21">
        <f>EXP(-LN(2)/25)*AA192+(1-EXP(-LN(2)/25))/(LN(2)/25)*Calculateur!V193*Calculateur!X193*VLOOKUP('Données projet'!$B$9,Paramètres!$A$1:$I$89,3,0)*0.475*44/12</f>
        <v>2.3313164964643249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12.86801148126718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69.544587912581591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4.3717136577470225E-13</v>
      </c>
      <c r="AK193" s="13">
        <f t="shared" si="164"/>
        <v>5.5313598682231701E-12</v>
      </c>
      <c r="AL193" s="20">
        <f t="shared" si="165"/>
        <v>1.039519189921296E-11</v>
      </c>
      <c r="AM193" s="59">
        <f t="shared" si="113"/>
        <v>291.66348901280958</v>
      </c>
      <c r="AN193" s="59">
        <f ca="1">AVERAGE(OFFSET($AM$3,0,0,'Données projet'!$E$10+1,1))-AVERAGE(OFFSET($H$3,0,0,'Données projet'!$E$10+1,1))</f>
        <v>608.11285041597125</v>
      </c>
      <c r="AO193" s="59">
        <f t="shared" si="144"/>
        <v>282.40007659049331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161.97312011421124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161.97312011421124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69.544587912581591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6.2527760746888816E-13</v>
      </c>
      <c r="BE193" s="13">
        <f>BD193*VLOOKUP('Données projet'!$B$11,Paramètres!$A$1:$I$89,3,0)*VLOOKUP('Données projet'!$B$11,Paramètres!$A$1:$I$89,5,0)</f>
        <v>2.9262992029543964E-13</v>
      </c>
      <c r="BF193" s="13">
        <f t="shared" si="167"/>
        <v>3.8796387982050903E-12</v>
      </c>
      <c r="BG193" s="20">
        <f t="shared" si="168"/>
        <v>7.2667013513884219E-12</v>
      </c>
      <c r="BH193" s="59">
        <f t="shared" si="116"/>
        <v>291.66348901280645</v>
      </c>
      <c r="BI193" s="59">
        <f ca="1">AVERAGE(OFFSET($BH$3,0,0,'Données projet'!$E$11+1,1))-AVERAGE(OFFSET($H$3,0,0,'Données projet'!$E$11+1,1))</f>
        <v>355.12987360915633</v>
      </c>
      <c r="BJ193" s="59">
        <f t="shared" si="146"/>
        <v>286.78588538798715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53.563528624381767</v>
      </c>
      <c r="BQ193" s="21">
        <f>EXP(-LN(2)/25)*BQ192+(1-EXP(-LN(2)/25))/(LN(2)/25)*Calculateur!BL193*Calculateur!BN193*VLOOKUP('Données projet'!$B$11,Paramètres!$A$1:$I$89,3,0)*0.475*44/12</f>
        <v>12.628904614876705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66.192433239258477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69.544587912581591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69.544587912581591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69.544587912581591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69.544587912581591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69.544587912581591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69.544587912581591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69.544587912581591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1.7000000000000002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6.2333333333333343</v>
      </c>
      <c r="H194" s="67">
        <f t="shared" si="110"/>
        <v>216.48000000000002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69.552488294149398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312.21112796780687</v>
      </c>
      <c r="T194" s="59">
        <f t="shared" si="142"/>
        <v>318.74634178809458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10.330076822900223</v>
      </c>
      <c r="AA194" s="21">
        <f>EXP(-LN(2)/25)*AA193+(1-EXP(-LN(2)/25))/(LN(2)/25)*Calculateur!V194*Calculateur!X194*VLOOKUP('Données projet'!$B$9,Paramètres!$A$1:$I$89,3,0)*0.475*44/12</f>
        <v>2.2675665242699017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12.597643347170123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69.552488294149398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4.3717136577470225E-13</v>
      </c>
      <c r="AK194" s="13">
        <f t="shared" si="164"/>
        <v>5.5313598682231701E-12</v>
      </c>
      <c r="AL194" s="20">
        <f t="shared" si="165"/>
        <v>1.039519189921296E-11</v>
      </c>
      <c r="AM194" s="59">
        <f t="shared" si="113"/>
        <v>291.69245707855816</v>
      </c>
      <c r="AN194" s="59">
        <f ca="1">AVERAGE(OFFSET($AM$3,0,0,'Données projet'!$E$10+1,1))-AVERAGE(OFFSET($H$3,0,0,'Données projet'!$E$10+1,1))</f>
        <v>608.11285041597125</v>
      </c>
      <c r="AO194" s="59">
        <f t="shared" si="144"/>
        <v>282.40007659049331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158.79692602261974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158.79692602261974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69.552488294149398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6.2527760746888816E-13</v>
      </c>
      <c r="BE194" s="13">
        <f>BD194*VLOOKUP('Données projet'!$B$11,Paramètres!$A$1:$I$89,3,0)*VLOOKUP('Données projet'!$B$11,Paramètres!$A$1:$I$89,5,0)</f>
        <v>2.9262992029543964E-13</v>
      </c>
      <c r="BF194" s="13">
        <f t="shared" si="167"/>
        <v>3.8796387982050903E-12</v>
      </c>
      <c r="BG194" s="20">
        <f t="shared" si="168"/>
        <v>7.2667013513884219E-12</v>
      </c>
      <c r="BH194" s="59">
        <f t="shared" si="116"/>
        <v>291.69245707855504</v>
      </c>
      <c r="BI194" s="59">
        <f ca="1">AVERAGE(OFFSET($BH$3,0,0,'Données projet'!$E$11+1,1))-AVERAGE(OFFSET($H$3,0,0,'Données projet'!$E$11+1,1))</f>
        <v>355.12987360915633</v>
      </c>
      <c r="BJ194" s="59">
        <f t="shared" si="146"/>
        <v>286.78588538798715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52.513180498584155</v>
      </c>
      <c r="BQ194" s="21">
        <f>EXP(-LN(2)/25)*BQ193+(1-EXP(-LN(2)/25))/(LN(2)/25)*Calculateur!BL194*Calculateur!BN194*VLOOKUP('Données projet'!$B$11,Paramètres!$A$1:$I$89,3,0)*0.475*44/12</f>
        <v>12.283566554057671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64.79674705264182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69.552488294149398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69.552488294149398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69.552488294149398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69.552488294149398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69.552488294149398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69.552488294149398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69.552488294149398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1.7000000000000002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6.2333333333333343</v>
      </c>
      <c r="H195" s="67">
        <f t="shared" si="110"/>
        <v>216.48000000000002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69.560251621759619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312.21112796780687</v>
      </c>
      <c r="T195" s="59">
        <f t="shared" si="142"/>
        <v>318.74634178809458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10.127510317127866</v>
      </c>
      <c r="AA195" s="21">
        <f>EXP(-LN(2)/25)*AA194+(1-EXP(-LN(2)/25))/(LN(2)/25)*Calculateur!V195*Calculateur!X195*VLOOKUP('Données projet'!$B$9,Paramètres!$A$1:$I$89,3,0)*0.475*44/12</f>
        <v>2.2055597984176005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12.333070115545468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69.560251621759619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4.3717136577470225E-13</v>
      </c>
      <c r="AK195" s="13">
        <f t="shared" si="164"/>
        <v>5.5313598682231701E-12</v>
      </c>
      <c r="AL195" s="20">
        <f t="shared" si="165"/>
        <v>1.039519189921296E-11</v>
      </c>
      <c r="AM195" s="59">
        <f t="shared" si="113"/>
        <v>291.72092261312901</v>
      </c>
      <c r="AN195" s="59">
        <f ca="1">AVERAGE(OFFSET($AM$3,0,0,'Données projet'!$E$10+1,1))-AVERAGE(OFFSET($H$3,0,0,'Données projet'!$E$10+1,1))</f>
        <v>608.11285041597125</v>
      </c>
      <c r="AO195" s="59">
        <f t="shared" si="144"/>
        <v>282.40007659049331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155.68301515987724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155.68301515987724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69.560251621759619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6.2527760746888816E-13</v>
      </c>
      <c r="BE195" s="13">
        <f>BD195*VLOOKUP('Données projet'!$B$11,Paramètres!$A$1:$I$89,3,0)*VLOOKUP('Données projet'!$B$11,Paramètres!$A$1:$I$89,5,0)</f>
        <v>2.9262992029543964E-13</v>
      </c>
      <c r="BF195" s="13">
        <f t="shared" si="167"/>
        <v>3.8796387982050903E-12</v>
      </c>
      <c r="BG195" s="20">
        <f t="shared" si="168"/>
        <v>7.2667013513884219E-12</v>
      </c>
      <c r="BH195" s="59">
        <f t="shared" si="116"/>
        <v>291.72092261312588</v>
      </c>
      <c r="BI195" s="59">
        <f ca="1">AVERAGE(OFFSET($BH$3,0,0,'Données projet'!$E$11+1,1))-AVERAGE(OFFSET($H$3,0,0,'Données projet'!$E$11+1,1))</f>
        <v>355.12987360915633</v>
      </c>
      <c r="BJ195" s="59">
        <f t="shared" si="146"/>
        <v>286.78588538798715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51.48342905888434</v>
      </c>
      <c r="BQ195" s="21">
        <f>EXP(-LN(2)/25)*BQ194+(1-EXP(-LN(2)/25))/(LN(2)/25)*Calculateur!BL195*Calculateur!BN195*VLOOKUP('Données projet'!$B$11,Paramètres!$A$1:$I$89,3,0)*0.475*44/12</f>
        <v>11.947671780672273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63.431100839556613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69.560251621759619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69.560251621759619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69.560251621759619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69.560251621759619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69.560251621759619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69.560251621759619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69.560251621759619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1.7000000000000002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6.2333333333333343</v>
      </c>
      <c r="H196" s="67">
        <f t="shared" ref="H196:H203" si="192">(B196+E196+F196)*44/12+(C196+D196)*0.475*44/12</f>
        <v>216.48000000000002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69.567880272991999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312.21112796780687</v>
      </c>
      <c r="T196" s="59">
        <f t="shared" si="142"/>
        <v>318.74634178809458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9.9289160169803363</v>
      </c>
      <c r="AA196" s="21">
        <f>EXP(-LN(2)/25)*AA195+(1-EXP(-LN(2)/25))/(LN(2)/25)*Calculateur!V196*Calculateur!X196*VLOOKUP('Données projet'!$B$9,Paramètres!$A$1:$I$89,3,0)*0.475*44/12</f>
        <v>2.1452486497445222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12.074164666724858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69.567880272991999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4.3717136577470225E-13</v>
      </c>
      <c r="AK196" s="13">
        <f t="shared" si="164"/>
        <v>5.5313598682231701E-12</v>
      </c>
      <c r="AL196" s="20">
        <f t="shared" si="165"/>
        <v>1.039519189921296E-11</v>
      </c>
      <c r="AM196" s="59">
        <f t="shared" ref="AM196:AM203" si="193">AL196+(AD196+AE196)*44/12</f>
        <v>291.7488943343144</v>
      </c>
      <c r="AN196" s="59">
        <f ca="1">AVERAGE(OFFSET($AM$3,0,0,'Données projet'!$E$10+1,1))-AVERAGE(OFFSET($H$3,0,0,'Données projet'!$E$10+1,1))</f>
        <v>608.11285041597125</v>
      </c>
      <c r="AO196" s="59">
        <f t="shared" si="144"/>
        <v>282.40007659049331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152.63016618985506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152.63016618985506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69.567880272991999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6.2527760746888816E-13</v>
      </c>
      <c r="BE196" s="13">
        <f>BD196*VLOOKUP('Données projet'!$B$11,Paramètres!$A$1:$I$89,3,0)*VLOOKUP('Données projet'!$B$11,Paramètres!$A$1:$I$89,5,0)</f>
        <v>2.9262992029543964E-13</v>
      </c>
      <c r="BF196" s="13">
        <f t="shared" si="167"/>
        <v>3.8796387982050903E-12</v>
      </c>
      <c r="BG196" s="20">
        <f t="shared" si="168"/>
        <v>7.2667013513884219E-12</v>
      </c>
      <c r="BH196" s="59">
        <f t="shared" ref="BH196:BH203" si="194">BG196+(AY196+AZ196)*44/12</f>
        <v>291.74889433431127</v>
      </c>
      <c r="BI196" s="59">
        <f ca="1">AVERAGE(OFFSET($BH$3,0,0,'Données projet'!$E$11+1,1))-AVERAGE(OFFSET($H$3,0,0,'Données projet'!$E$11+1,1))</f>
        <v>355.12987360915633</v>
      </c>
      <c r="BJ196" s="59">
        <f t="shared" si="146"/>
        <v>286.78588538798715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50.473870416830678</v>
      </c>
      <c r="BQ196" s="21">
        <f>EXP(-LN(2)/25)*BQ195+(1-EXP(-LN(2)/25))/(LN(2)/25)*Calculateur!BL196*Calculateur!BN196*VLOOKUP('Données projet'!$B$11,Paramètres!$A$1:$I$89,3,0)*0.475*44/12</f>
        <v>11.620962067529037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62.094832484359713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69.567880272991999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69.567880272991999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69.567880272991999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69.567880272991999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69.567880272991999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69.567880272991999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69.567880272991999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1.7000000000000002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6.2333333333333343</v>
      </c>
      <c r="H197" s="67">
        <f t="shared" si="192"/>
        <v>216.48000000000002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69.575376584180603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312.21112796780687</v>
      </c>
      <c r="T197" s="59">
        <f t="shared" ref="T197:T203" si="204">$T$3</f>
        <v>318.74634178809458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9.7342160299281382</v>
      </c>
      <c r="AA197" s="21">
        <f>EXP(-LN(2)/25)*AA196+(1-EXP(-LN(2)/25))/(LN(2)/25)*Calculateur!V197*Calculateur!X197*VLOOKUP('Données projet'!$B$9,Paramètres!$A$1:$I$89,3,0)*0.475*44/12</f>
        <v>2.0865867126035349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11.820802742531672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69.575376584180603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4.3717136577470225E-13</v>
      </c>
      <c r="AK197" s="13">
        <f t="shared" si="164"/>
        <v>5.5313598682231701E-12</v>
      </c>
      <c r="AL197" s="20">
        <f t="shared" si="165"/>
        <v>1.039519189921296E-11</v>
      </c>
      <c r="AM197" s="59">
        <f t="shared" si="193"/>
        <v>291.77638080867263</v>
      </c>
      <c r="AN197" s="59">
        <f ca="1">AVERAGE(OFFSET($AM$3,0,0,'Données projet'!$E$10+1,1))-AVERAGE(OFFSET($H$3,0,0,'Données projet'!$E$10+1,1))</f>
        <v>608.11285041597125</v>
      </c>
      <c r="AO197" s="59">
        <f t="shared" ref="AO197:AO203" si="205">$AO$3</f>
        <v>282.40007659049331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149.637181726081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149.637181726081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69.575376584180603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6.2527760746888816E-13</v>
      </c>
      <c r="BE197" s="13">
        <f>BD197*VLOOKUP('Données projet'!$B$11,Paramètres!$A$1:$I$89,3,0)*VLOOKUP('Données projet'!$B$11,Paramètres!$A$1:$I$89,5,0)</f>
        <v>2.9262992029543964E-13</v>
      </c>
      <c r="BF197" s="13">
        <f t="shared" si="167"/>
        <v>3.8796387982050903E-12</v>
      </c>
      <c r="BG197" s="20">
        <f t="shared" si="168"/>
        <v>7.2667013513884219E-12</v>
      </c>
      <c r="BH197" s="59">
        <f t="shared" si="194"/>
        <v>291.7763808086695</v>
      </c>
      <c r="BI197" s="59">
        <f ca="1">AVERAGE(OFFSET($BH$3,0,0,'Données projet'!$E$11+1,1))-AVERAGE(OFFSET($H$3,0,0,'Données projet'!$E$11+1,1))</f>
        <v>355.12987360915633</v>
      </c>
      <c r="BJ197" s="59">
        <f t="shared" ref="BJ197:BJ203" si="206">$BJ$3</f>
        <v>286.78588538798715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49.484108603977717</v>
      </c>
      <c r="BQ197" s="21">
        <f>EXP(-LN(2)/25)*BQ196+(1-EXP(-LN(2)/25))/(LN(2)/25)*Calculateur!BL197*Calculateur!BN197*VLOOKUP('Données projet'!$B$11,Paramètres!$A$1:$I$89,3,0)*0.475*44/12</f>
        <v>11.30318624867262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60.787294852650334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69.575376584180603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69.575376584180603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69.575376584180603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69.575376584180603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69.575376584180603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69.575376584180603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69.575376584180603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1.7000000000000002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6.2333333333333343</v>
      </c>
      <c r="H198" s="67">
        <f t="shared" si="192"/>
        <v>216.48000000000002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69.582742851129325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312.21112796780687</v>
      </c>
      <c r="T198" s="59">
        <f t="shared" si="204"/>
        <v>318.74634178809458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9.5433339908667669</v>
      </c>
      <c r="AA198" s="21">
        <f>EXP(-LN(2)/25)*AA197+(1-EXP(-LN(2)/25))/(LN(2)/25)*Calculateur!V198*Calculateur!X198*VLOOKUP('Données projet'!$B$9,Paramètres!$A$1:$I$89,3,0)*0.475*44/12</f>
        <v>2.029528889218565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11.572862880085331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69.582742851129325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4.3717136577470225E-13</v>
      </c>
      <c r="AK198" s="13">
        <f t="shared" si="164"/>
        <v>5.5313598682231701E-12</v>
      </c>
      <c r="AL198" s="20">
        <f t="shared" si="165"/>
        <v>1.039519189921296E-11</v>
      </c>
      <c r="AM198" s="59">
        <f t="shared" si="193"/>
        <v>291.80339045415127</v>
      </c>
      <c r="AN198" s="59">
        <f ca="1">AVERAGE(OFFSET($AM$3,0,0,'Données projet'!$E$10+1,1))-AVERAGE(OFFSET($H$3,0,0,'Données projet'!$E$10+1,1))</f>
        <v>608.11285041597125</v>
      </c>
      <c r="AO198" s="59">
        <f t="shared" si="205"/>
        <v>282.40007659049331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146.70288786210128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146.70288786210128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69.582742851129325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6.2527760746888816E-13</v>
      </c>
      <c r="BE198" s="13">
        <f>BD198*VLOOKUP('Données projet'!$B$11,Paramètres!$A$1:$I$89,3,0)*VLOOKUP('Données projet'!$B$11,Paramètres!$A$1:$I$89,5,0)</f>
        <v>2.9262992029543964E-13</v>
      </c>
      <c r="BF198" s="13">
        <f t="shared" si="167"/>
        <v>3.8796387982050903E-12</v>
      </c>
      <c r="BG198" s="20">
        <f t="shared" si="168"/>
        <v>7.2667013513884219E-12</v>
      </c>
      <c r="BH198" s="59">
        <f t="shared" si="194"/>
        <v>291.80339045414814</v>
      </c>
      <c r="BI198" s="59">
        <f ca="1">AVERAGE(OFFSET($BH$3,0,0,'Données projet'!$E$11+1,1))-AVERAGE(OFFSET($H$3,0,0,'Données projet'!$E$11+1,1))</f>
        <v>355.12987360915633</v>
      </c>
      <c r="BJ198" s="59">
        <f t="shared" si="206"/>
        <v>286.78588538798715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48.513755416579706</v>
      </c>
      <c r="BQ198" s="21">
        <f>EXP(-LN(2)/25)*BQ197+(1-EXP(-LN(2)/25))/(LN(2)/25)*Calculateur!BL198*Calculateur!BN198*VLOOKUP('Données projet'!$B$11,Paramètres!$A$1:$I$89,3,0)*0.475*44/12</f>
        <v>10.994100026293937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59.507855442873641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69.582742851129325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69.582742851129325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69.582742851129325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69.582742851129325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69.582742851129325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69.582742851129325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69.582742851129325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1.7000000000000002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6.2333333333333343</v>
      </c>
      <c r="H199" s="67">
        <f t="shared" si="192"/>
        <v>216.48000000000002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69.589981329815004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312.21112796780687</v>
      </c>
      <c r="T199" s="59">
        <f t="shared" si="204"/>
        <v>318.74634178809458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9.3561950321648428</v>
      </c>
      <c r="AA199" s="21">
        <f>EXP(-LN(2)/25)*AA198+(1-EXP(-LN(2)/25))/(LN(2)/25)*Calculateur!V199*Calculateur!X199*VLOOKUP('Données projet'!$B$9,Paramètres!$A$1:$I$89,3,0)*0.475*44/12</f>
        <v>1.9740313150145976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11.33022634717944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69.589981329815004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4.3717136577470225E-13</v>
      </c>
      <c r="AK199" s="13">
        <f t="shared" si="164"/>
        <v>5.5313598682231701E-12</v>
      </c>
      <c r="AL199" s="20">
        <f t="shared" si="165"/>
        <v>1.039519189921296E-11</v>
      </c>
      <c r="AM199" s="59">
        <f t="shared" si="193"/>
        <v>291.82993154266541</v>
      </c>
      <c r="AN199" s="59">
        <f ca="1">AVERAGE(OFFSET($AM$3,0,0,'Données projet'!$E$10+1,1))-AVERAGE(OFFSET($H$3,0,0,'Données projet'!$E$10+1,1))</f>
        <v>608.11285041597125</v>
      </c>
      <c r="AO199" s="59">
        <f t="shared" si="205"/>
        <v>282.40007659049331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143.82613371105165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143.82613371105165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69.589981329815004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6.2527760746888816E-13</v>
      </c>
      <c r="BE199" s="13">
        <f>BD199*VLOOKUP('Données projet'!$B$11,Paramètres!$A$1:$I$89,3,0)*VLOOKUP('Données projet'!$B$11,Paramètres!$A$1:$I$89,5,0)</f>
        <v>2.9262992029543964E-13</v>
      </c>
      <c r="BF199" s="13">
        <f t="shared" si="167"/>
        <v>3.8796387982050903E-12</v>
      </c>
      <c r="BG199" s="20">
        <f t="shared" si="168"/>
        <v>7.2667013513884219E-12</v>
      </c>
      <c r="BH199" s="59">
        <f t="shared" si="194"/>
        <v>291.82993154266228</v>
      </c>
      <c r="BI199" s="59">
        <f ca="1">AVERAGE(OFFSET($BH$3,0,0,'Données projet'!$E$11+1,1))-AVERAGE(OFFSET($H$3,0,0,'Données projet'!$E$11+1,1))</f>
        <v>355.12987360915633</v>
      </c>
      <c r="BJ199" s="59">
        <f t="shared" si="206"/>
        <v>286.78588538798715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47.562430263329567</v>
      </c>
      <c r="BQ199" s="21">
        <f>EXP(-LN(2)/25)*BQ198+(1-EXP(-LN(2)/25))/(LN(2)/25)*Calculateur!BL199*Calculateur!BN199*VLOOKUP('Données projet'!$B$11,Paramètres!$A$1:$I$89,3,0)*0.475*44/12</f>
        <v>10.693465782920336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58.255896046249902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69.589981329815004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69.589981329815004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69.589981329815004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69.589981329815004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69.589981329815004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69.589981329815004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69.589981329815004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1.7000000000000002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6.2333333333333343</v>
      </c>
      <c r="H200" s="67">
        <f t="shared" si="192"/>
        <v>216.48000000000002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69.597094237078295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312.21112796780687</v>
      </c>
      <c r="T200" s="59">
        <f t="shared" si="204"/>
        <v>318.74634178809458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9.1727257542995684</v>
      </c>
      <c r="AA200" s="21">
        <f>EXP(-LN(2)/25)*AA199+(1-EXP(-LN(2)/25))/(LN(2)/25)*Calculateur!V200*Calculateur!X200*VLOOKUP('Données projet'!$B$9,Paramètres!$A$1:$I$89,3,0)*0.475*44/12</f>
        <v>1.9200513248957283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11.092777079195297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69.597094237078295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4.3717136577470225E-13</v>
      </c>
      <c r="AK200" s="13">
        <f t="shared" si="164"/>
        <v>5.5313598682231701E-12</v>
      </c>
      <c r="AL200" s="20">
        <f t="shared" si="165"/>
        <v>1.039519189921296E-11</v>
      </c>
      <c r="AM200" s="59">
        <f t="shared" si="193"/>
        <v>291.85601220263084</v>
      </c>
      <c r="AN200" s="59">
        <f ca="1">AVERAGE(OFFSET($AM$3,0,0,'Données projet'!$E$10+1,1))-AVERAGE(OFFSET($H$3,0,0,'Données projet'!$E$10+1,1))</f>
        <v>608.11285041597125</v>
      </c>
      <c r="AO200" s="59">
        <f t="shared" si="205"/>
        <v>282.40007659049331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141.00579095425735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141.00579095425735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69.597094237078295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6.2527760746888816E-13</v>
      </c>
      <c r="BE200" s="13">
        <f>BD200*VLOOKUP('Données projet'!$B$11,Paramètres!$A$1:$I$89,3,0)*VLOOKUP('Données projet'!$B$11,Paramètres!$A$1:$I$89,5,0)</f>
        <v>2.9262992029543964E-13</v>
      </c>
      <c r="BF200" s="13">
        <f t="shared" si="167"/>
        <v>3.8796387982050903E-12</v>
      </c>
      <c r="BG200" s="20">
        <f t="shared" si="168"/>
        <v>7.2667013513884219E-12</v>
      </c>
      <c r="BH200" s="59">
        <f t="shared" si="194"/>
        <v>291.85601220262771</v>
      </c>
      <c r="BI200" s="59">
        <f ca="1">AVERAGE(OFFSET($BH$3,0,0,'Données projet'!$E$11+1,1))-AVERAGE(OFFSET($H$3,0,0,'Données projet'!$E$11+1,1))</f>
        <v>355.12987360915633</v>
      </c>
      <c r="BJ200" s="59">
        <f t="shared" si="206"/>
        <v>286.78588538798715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46.629760016083615</v>
      </c>
      <c r="BQ200" s="21">
        <f>EXP(-LN(2)/25)*BQ199+(1-EXP(-LN(2)/25))/(LN(2)/25)*Calculateur!BL200*Calculateur!BN200*VLOOKUP('Données projet'!$B$11,Paramètres!$A$1:$I$89,3,0)*0.475*44/12</f>
        <v>10.401052398741454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57.030812414825071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69.597094237078295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69.597094237078295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69.597094237078295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69.597094237078295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69.597094237078295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69.597094237078295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69.597094237078295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1.7000000000000002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6.2333333333333343</v>
      </c>
      <c r="H201" s="67">
        <f t="shared" si="192"/>
        <v>216.48000000000002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69.604083751302639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312.21112796780687</v>
      </c>
      <c r="T201" s="59">
        <f t="shared" si="204"/>
        <v>318.74634178809458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8.9928541970680218</v>
      </c>
      <c r="AA201" s="21">
        <f>EXP(-LN(2)/25)*AA200+(1-EXP(-LN(2)/25))/(LN(2)/25)*Calculateur!V201*Calculateur!X201*VLOOKUP('Données projet'!$B$9,Paramètres!$A$1:$I$89,3,0)*0.475*44/12</f>
        <v>1.8675474204453437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10.860401617513366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69.604083751302639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4.3717136577470225E-13</v>
      </c>
      <c r="AK201" s="13">
        <f t="shared" si="164"/>
        <v>5.5313598682231701E-12</v>
      </c>
      <c r="AL201" s="20">
        <f t="shared" si="165"/>
        <v>1.039519189921296E-11</v>
      </c>
      <c r="AM201" s="59">
        <f t="shared" si="193"/>
        <v>291.88164042145343</v>
      </c>
      <c r="AN201" s="59">
        <f ca="1">AVERAGE(OFFSET($AM$3,0,0,'Données projet'!$E$10+1,1))-AVERAGE(OFFSET($H$3,0,0,'Données projet'!$E$10+1,1))</f>
        <v>608.11285041597125</v>
      </c>
      <c r="AO201" s="59">
        <f t="shared" si="205"/>
        <v>282.40007659049331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138.24075339868455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138.24075339868455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69.604083751302639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6.2527760746888816E-13</v>
      </c>
      <c r="BE201" s="13">
        <f>BD201*VLOOKUP('Données projet'!$B$11,Paramètres!$A$1:$I$89,3,0)*VLOOKUP('Données projet'!$B$11,Paramètres!$A$1:$I$89,5,0)</f>
        <v>2.9262992029543964E-13</v>
      </c>
      <c r="BF201" s="13">
        <f t="shared" si="167"/>
        <v>3.8796387982050903E-12</v>
      </c>
      <c r="BG201" s="20">
        <f t="shared" si="168"/>
        <v>7.2667013513884219E-12</v>
      </c>
      <c r="BH201" s="59">
        <f t="shared" si="194"/>
        <v>291.8816404214503</v>
      </c>
      <c r="BI201" s="59">
        <f ca="1">AVERAGE(OFFSET($BH$3,0,0,'Données projet'!$E$11+1,1))-AVERAGE(OFFSET($H$3,0,0,'Données projet'!$E$11+1,1))</f>
        <v>355.12987360915633</v>
      </c>
      <c r="BJ201" s="59">
        <f t="shared" si="206"/>
        <v>286.78588538798715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45.715378863513479</v>
      </c>
      <c r="BQ201" s="21">
        <f>EXP(-LN(2)/25)*BQ200+(1-EXP(-LN(2)/25))/(LN(2)/25)*Calculateur!BL201*Calculateur!BN201*VLOOKUP('Données projet'!$B$11,Paramètres!$A$1:$I$89,3,0)*0.475*44/12</f>
        <v>10.116635073930295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55.832013937443776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69.604083751302639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69.604083751302639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69.604083751302639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69.604083751302639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69.604083751302639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69.604083751302639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69.604083751302639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1.7000000000000002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6.2333333333333343</v>
      </c>
      <c r="H202" s="67">
        <f t="shared" si="192"/>
        <v>216.48000000000002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69.610952013081402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312.21112796780687</v>
      </c>
      <c r="T202" s="59">
        <f t="shared" si="204"/>
        <v>318.74634178809458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8.8165098113629696</v>
      </c>
      <c r="AA202" s="21">
        <f>EXP(-LN(2)/25)*AA201+(1-EXP(-LN(2)/25))/(LN(2)/25)*Calculateur!V202*Calculateur!X202*VLOOKUP('Données projet'!$B$9,Paramètres!$A$1:$I$89,3,0)*0.475*44/12</f>
        <v>1.8164792380232153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10.632989049386184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69.610952013081402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4.3717136577470225E-13</v>
      </c>
      <c r="AK202" s="13">
        <f t="shared" si="164"/>
        <v>5.5313598682231701E-12</v>
      </c>
      <c r="AL202" s="20">
        <f t="shared" si="165"/>
        <v>1.039519189921296E-11</v>
      </c>
      <c r="AM202" s="59">
        <f t="shared" si="193"/>
        <v>291.90682404797553</v>
      </c>
      <c r="AN202" s="59">
        <f ca="1">AVERAGE(OFFSET($AM$3,0,0,'Données projet'!$E$10+1,1))-AVERAGE(OFFSET($H$3,0,0,'Données projet'!$E$10+1,1))</f>
        <v>608.11285041597125</v>
      </c>
      <c r="AO202" s="59">
        <f t="shared" si="205"/>
        <v>282.40007659049331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135.52993654307016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135.52993654307016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69.610952013081402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6.2527760746888816E-13</v>
      </c>
      <c r="BE202" s="13">
        <f>BD202*VLOOKUP('Données projet'!$B$11,Paramètres!$A$1:$I$89,3,0)*VLOOKUP('Données projet'!$B$11,Paramètres!$A$1:$I$89,5,0)</f>
        <v>2.9262992029543964E-13</v>
      </c>
      <c r="BF202" s="13">
        <f t="shared" si="167"/>
        <v>3.8796387982050903E-12</v>
      </c>
      <c r="BG202" s="20">
        <f t="shared" si="168"/>
        <v>7.2667013513884219E-12</v>
      </c>
      <c r="BH202" s="59">
        <f t="shared" si="194"/>
        <v>291.90682404797241</v>
      </c>
      <c r="BI202" s="59">
        <f ca="1">AVERAGE(OFFSET($BH$3,0,0,'Données projet'!$E$11+1,1))-AVERAGE(OFFSET($H$3,0,0,'Données projet'!$E$11+1,1))</f>
        <v>355.12987360915633</v>
      </c>
      <c r="BJ202" s="59">
        <f t="shared" si="206"/>
        <v>286.78588538798715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44.81892816762781</v>
      </c>
      <c r="BQ202" s="21">
        <f>EXP(-LN(2)/25)*BQ201+(1-EXP(-LN(2)/25))/(LN(2)/25)*Calculateur!BL202*Calculateur!BN202*VLOOKUP('Données projet'!$B$11,Paramètres!$A$1:$I$89,3,0)*0.475*44/12</f>
        <v>9.8399951558229546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54.658923323450765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69.610952013081402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69.610952013081402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69.610952013081402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69.610952013081402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69.610952013081402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69.610952013081402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69.610952013081402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1.7000000000000002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57.34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6.2333333333333343</v>
      </c>
      <c r="H203" s="67">
        <f t="shared" si="192"/>
        <v>216.48000000000002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69.617701125873452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312.21112796780687</v>
      </c>
      <c r="T203" s="59">
        <f t="shared" si="204"/>
        <v>318.74634178809458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8.6436234315021387</v>
      </c>
      <c r="AA203" s="21">
        <f>EXP(-LN(2)/25)*AA202+(1-EXP(-LN(2)/25))/(LN(2)/25)*Calculateur!V203*Calculateur!X203*VLOOKUP('Données projet'!$B$9,Paramètres!$A$1:$I$89,3,0)*0.475*44/12</f>
        <v>1.7668075177349789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10.410430949237117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69.617701125873452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4.3717136577470225E-13</v>
      </c>
      <c r="AK203" s="13">
        <f t="shared" si="164"/>
        <v>5.5313598682231701E-12</v>
      </c>
      <c r="AL203" s="20">
        <f t="shared" si="165"/>
        <v>1.039519189921296E-11</v>
      </c>
      <c r="AM203" s="59">
        <f t="shared" si="193"/>
        <v>291.93157079487969</v>
      </c>
      <c r="AN203" s="59">
        <f ca="1">AVERAGE(OFFSET($AM$3,0,0,'Données projet'!$E$10+1,1))-AVERAGE(OFFSET($H$3,0,0,'Données projet'!$E$10+1,1))</f>
        <v>608.11285041597125</v>
      </c>
      <c r="AO203" s="59">
        <f t="shared" si="205"/>
        <v>282.40007659049331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132.87227715255935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132.87227715255935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69.617701125873452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6.2527760746888816E-13</v>
      </c>
      <c r="BE203" s="13">
        <f>BD203*VLOOKUP('Données projet'!$B$11,Paramètres!$A$1:$I$89,3,0)*VLOOKUP('Données projet'!$B$11,Paramètres!$A$1:$I$89,5,0)</f>
        <v>2.9262992029543964E-13</v>
      </c>
      <c r="BF203" s="13">
        <f t="shared" si="167"/>
        <v>3.8796387982050903E-12</v>
      </c>
      <c r="BG203" s="20">
        <f t="shared" si="168"/>
        <v>7.2667013513884219E-12</v>
      </c>
      <c r="BH203" s="59">
        <f t="shared" si="194"/>
        <v>291.93157079487656</v>
      </c>
      <c r="BI203" s="59">
        <f ca="1">AVERAGE(OFFSET($BH$3,0,0,'Données projet'!$E$11+1,1))-AVERAGE(OFFSET($H$3,0,0,'Données projet'!$E$11+1,1))</f>
        <v>355.12987360915633</v>
      </c>
      <c r="BJ203" s="59">
        <f t="shared" si="206"/>
        <v>286.78588538798715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43.94005632310752</v>
      </c>
      <c r="BQ203" s="21">
        <f>EXP(-LN(2)/25)*BQ202+(1-EXP(-LN(2)/25))/(LN(2)/25)*Calculateur!BL203*Calculateur!BN203*VLOOKUP('Données projet'!$B$11,Paramètres!$A$1:$I$89,3,0)*0.475*44/12</f>
        <v>9.5709199708241197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53.510976293931641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69.617701125873452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69.617701125873452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69.617701125873452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69.617701125873452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69.617701125873452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69.617701125873452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69.617701125873452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1.3267648858502221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>
        <f>EXP(LN('Données projet'!B88)/'Données projet'!A88)</f>
        <v>1.1241384564293442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25" sqref="N2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6.9680000000000009</v>
      </c>
      <c r="C6" s="147">
        <f ca="1">IF(OR('Données projet'!B9="",'Données projet'!C9="",'Données projet'!C9=0%),0,Calculateur!S3)</f>
        <v>312.21112796780687</v>
      </c>
      <c r="D6" s="147">
        <f>IF(OR('Données projet'!B9="",'Données projet'!C9="",'Données projet'!C9=0%),0,Calculateur!T3)</f>
        <v>318.74634178809458</v>
      </c>
      <c r="E6" s="147">
        <f ca="1">MIN(C6,D6)</f>
        <v>312.21112796780687</v>
      </c>
      <c r="F6" s="147">
        <f ca="1">E6*B6</f>
        <v>2175.4871396796784</v>
      </c>
      <c r="G6" s="147">
        <f ca="1">F6*(100%-'Données projet'!$C$24)*(100%-'Données projet'!$C$25)*(100%-'Données projet'!$C$26)*(100%-'Données projet'!$C$27)</f>
        <v>1762.1445831405395</v>
      </c>
      <c r="H6" s="148">
        <f>IF(OR('Données projet'!B9="",'Données projet'!C9="",'Données projet'!C9=0%),0,AVERAGE(Calculateur!$AC$3:$AC$33)*B6)</f>
        <v>76.409076814097332</v>
      </c>
      <c r="I6" s="149">
        <f>H6*(100%-'Données projet'!$C$24)*(100%-'Données projet'!$C$25)*(100%-'Données projet'!$C$26)*(100%-'Données projet'!$C$27)</f>
        <v>61.891352219418842</v>
      </c>
      <c r="J6" s="150">
        <f>IF(OR('Données projet'!B9="",'Données projet'!C9="",'Données projet'!C9=0%),0,SUM(Calculateur!$V$3:$V$33)*VLOOKUP('Données projet'!$B$9,Paramètres!$A$1:$I$89,9,0)*B6)</f>
        <v>629.61802799999998</v>
      </c>
      <c r="K6" s="151">
        <f>J6*(100%-'Données projet'!$C$24)*(100%-'Données projet'!$C$25)*(100%-'Données projet'!$C$26)*(100%-'Données projet'!$C$27)</f>
        <v>509.99060267999999</v>
      </c>
      <c r="L6" s="152">
        <f ca="1">G6+I6+K6</f>
        <v>2334.0265380399583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1.1440000000000001</v>
      </c>
      <c r="C7" s="147">
        <f ca="1">IF(OR('Données projet'!B10="",'Données projet'!C10="",'Données projet'!C10=0%),0,Calculateur!AN3)</f>
        <v>608.11285041597125</v>
      </c>
      <c r="D7" s="147">
        <f>IF(OR('Données projet'!B10="",'Données projet'!C10="",'Données projet'!C10=0%),0,Calculateur!AO3)</f>
        <v>282.40007659049331</v>
      </c>
      <c r="E7" s="147">
        <f t="shared" ref="E7:E15" ca="1" si="0">MIN(C7,D7)</f>
        <v>282.40007659049331</v>
      </c>
      <c r="F7" s="147">
        <f t="shared" ref="F7:F15" ca="1" si="1">E7*B7</f>
        <v>323.0656876195244</v>
      </c>
      <c r="G7" s="147">
        <f ca="1">F7*(100%-'Données projet'!$C$24)*(100%-'Données projet'!$C$25)*(100%-'Données projet'!$C$26)*(100%-'Données projet'!$C$27)</f>
        <v>261.6832069718148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261.6832069718148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Cèdre de l'Atlas</v>
      </c>
      <c r="B8" s="154">
        <f>'Données projet'!D11</f>
        <v>2.2880000000000003</v>
      </c>
      <c r="C8" s="147">
        <f ca="1">IF(OR('Données projet'!B11="",'Données projet'!C11="",'Données projet'!C11=0%),0,Calculateur!BI3)</f>
        <v>355.12987360915633</v>
      </c>
      <c r="D8" s="147">
        <f>IF(OR('Données projet'!B11="",'Données projet'!C11="",'Données projet'!C11=0%),0,Calculateur!BJ3)</f>
        <v>286.78588538798715</v>
      </c>
      <c r="E8" s="147">
        <f t="shared" ca="1" si="0"/>
        <v>286.78588538798715</v>
      </c>
      <c r="F8" s="147">
        <f t="shared" ca="1" si="1"/>
        <v>656.16610576771473</v>
      </c>
      <c r="G8" s="147">
        <f ca="1">F8*(100%-'Données projet'!$C$24)*(100%-'Données projet'!$C$25)*(100%-'Données projet'!$C$26)*(100%-'Données projet'!$C$27)</f>
        <v>531.49454567184898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531.49454567184898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3154.7189330669175</v>
      </c>
      <c r="G16" s="166">
        <f t="shared" ca="1" si="3"/>
        <v>2555.3223357842035</v>
      </c>
      <c r="H16" s="167">
        <f t="shared" si="3"/>
        <v>76.409076814097332</v>
      </c>
      <c r="I16" s="167">
        <f t="shared" si="3"/>
        <v>61.891352219418842</v>
      </c>
      <c r="J16" s="168">
        <f t="shared" si="3"/>
        <v>629.61802799999998</v>
      </c>
      <c r="K16" s="168">
        <f t="shared" si="3"/>
        <v>509.99060267999999</v>
      </c>
      <c r="L16" s="169">
        <f t="shared" ca="1" si="3"/>
        <v>3127.2042906836223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F106" sqref="F10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-3084.2784081351519</v>
      </c>
      <c r="U10" s="178">
        <f>'Données projet'!D9</f>
        <v>6.9680000000000009</v>
      </c>
      <c r="V10" s="177">
        <f>U10*T10</f>
        <v>-21491.251947885743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-12517.937457676728</v>
      </c>
      <c r="U11" s="178">
        <f>'Données projet'!D10</f>
        <v>1.1440000000000001</v>
      </c>
      <c r="V11" s="177">
        <f t="shared" ref="V11" si="0">U11*T11</f>
        <v>-14320.520451582179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-5987.2196876098287</v>
      </c>
      <c r="U12" s="178">
        <f>'Données projet'!D11</f>
        <v>2.2880000000000003</v>
      </c>
      <c r="V12" s="177">
        <f t="shared" ref="V12:V19" si="1">U12*T12</f>
        <v>-13698.75864525129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7"/>
      <c r="H16" s="190"/>
      <c r="I16" s="191"/>
      <c r="J16" s="202"/>
      <c r="K16" s="208"/>
      <c r="L16" s="294" t="s">
        <v>254</v>
      </c>
      <c r="M16" s="295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1600*(0.56+0.57+0.19)+250+360</f>
        <v>2721.9999999999995</v>
      </c>
      <c r="F17" s="230"/>
      <c r="G17" s="297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7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1238.3</v>
      </c>
      <c r="F19" s="230"/>
      <c r="G19" s="297"/>
      <c r="H19" s="212" t="s">
        <v>178</v>
      </c>
      <c r="I19" s="212" t="s">
        <v>287</v>
      </c>
      <c r="J19" s="93"/>
      <c r="K19" s="173"/>
      <c r="L19" s="294" t="s">
        <v>288</v>
      </c>
      <c r="M19" s="29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7"/>
      <c r="H20" s="190">
        <v>1</v>
      </c>
      <c r="I20" s="191">
        <f>20+(400/SUM(U10:U19)+20)+(200/SUM(U10:U19)+10)</f>
        <v>107.69230769230768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20+200/SUM(U10:U19)+10</f>
        <v>49.230769230769226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17</v>
      </c>
      <c r="B23" s="181">
        <f>'Données projet'!D36</f>
        <v>40.76</v>
      </c>
      <c r="C23" s="193">
        <v>5</v>
      </c>
      <c r="D23" s="182">
        <f>B23*C23</f>
        <v>203.79999999999998</v>
      </c>
      <c r="E23" s="193"/>
      <c r="F23" s="230"/>
      <c r="H23" s="190">
        <v>4</v>
      </c>
      <c r="I23" s="191">
        <v>20</v>
      </c>
      <c r="K23" s="208"/>
      <c r="L23" s="296" t="s">
        <v>260</v>
      </c>
      <c r="M23" s="296"/>
      <c r="N23" s="296"/>
      <c r="O23" s="23"/>
      <c r="P23" s="23"/>
      <c r="Q23" s="234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-59011.218061403008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23</v>
      </c>
      <c r="B24" s="181">
        <f>'Données projet'!D37</f>
        <v>57.75</v>
      </c>
      <c r="C24" s="193">
        <v>8.5</v>
      </c>
      <c r="D24" s="182">
        <f t="shared" ref="D24:D42" si="2">B24*C24</f>
        <v>490.875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20+8%*(SUM(E17:E22)*U10+SUM(E$48:E53)*U11+SUM(E79:E84)*U12+SUM(E110:E115)*U13+SUM(E141:E146)*U14+SUM(E172:E177)*U15+SUM(E203:E208)*U16+SUM(E234:E239)*U17+SUM(E265:E270)*U18+SUM(E296:E301)*U19)/SUM(U10:U19)</f>
        <v>560.20761599999992</v>
      </c>
      <c r="K24" s="208"/>
      <c r="O24" s="23"/>
      <c r="P24" s="23"/>
      <c r="Q24" s="234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29</v>
      </c>
      <c r="B25" s="181">
        <f>'Données projet'!D38</f>
        <v>54.64</v>
      </c>
      <c r="C25" s="193">
        <v>8.5</v>
      </c>
      <c r="D25" s="182">
        <f t="shared" si="2"/>
        <v>464.44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11">
        <f ca="1">T23-T24</f>
        <v>-59011.218061403008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36</v>
      </c>
      <c r="B26" s="181">
        <f>'Données projet'!D39</f>
        <v>76.069999999999993</v>
      </c>
      <c r="C26" s="193">
        <v>15.5</v>
      </c>
      <c r="D26" s="182">
        <f t="shared" si="2"/>
        <v>1179.0849999999998</v>
      </c>
      <c r="E26" s="193"/>
      <c r="F26" s="233"/>
      <c r="G26" s="229"/>
      <c r="H26" s="190">
        <v>7</v>
      </c>
      <c r="I26" s="191">
        <v>20</v>
      </c>
      <c r="K26" s="208"/>
      <c r="L26" s="298" t="s">
        <v>258</v>
      </c>
      <c r="M26" s="299"/>
      <c r="N26" s="299"/>
      <c r="O26" s="299"/>
      <c r="P26" s="300"/>
      <c r="Q26" s="234"/>
      <c r="R26" s="23"/>
      <c r="S26" s="186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44</v>
      </c>
      <c r="B27" s="181">
        <f>'Données projet'!D40</f>
        <v>77.91</v>
      </c>
      <c r="C27" s="193">
        <v>15.5</v>
      </c>
      <c r="D27" s="182">
        <f t="shared" si="2"/>
        <v>1207.605</v>
      </c>
      <c r="E27" s="193"/>
      <c r="F27" s="233"/>
      <c r="G27" s="229"/>
      <c r="H27" s="190">
        <v>8</v>
      </c>
      <c r="I27" s="191">
        <v>20</v>
      </c>
      <c r="K27" s="208"/>
      <c r="L27" s="301"/>
      <c r="M27" s="302"/>
      <c r="N27" s="302"/>
      <c r="O27" s="302"/>
      <c r="P27" s="303"/>
      <c r="Q27" s="234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52</v>
      </c>
      <c r="B28" s="181">
        <f>'Données projet'!D41</f>
        <v>75.37</v>
      </c>
      <c r="C28" s="193">
        <v>29.5</v>
      </c>
      <c r="D28" s="182">
        <f t="shared" si="2"/>
        <v>2223.415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60</v>
      </c>
      <c r="B29" s="181">
        <f>'Données projet'!D42</f>
        <v>436.34</v>
      </c>
      <c r="C29" s="193">
        <v>29.5</v>
      </c>
      <c r="D29" s="182">
        <f t="shared" si="2"/>
        <v>12872.029999999999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70226.990080000003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2048.0000000000005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73774.990080000003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1600*(2.1+0.57+3.6)+250+360</f>
        <v>10642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2426.3000000000002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>
        <v>58</v>
      </c>
      <c r="D54" s="179">
        <f>B54*C54</f>
        <v>2506.1799999999998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>
        <v>58</v>
      </c>
      <c r="D55" s="179">
        <f t="shared" ref="D55:D73" si="4">B55*C55</f>
        <v>2063.64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>
        <v>58</v>
      </c>
      <c r="D56" s="179">
        <f t="shared" si="4"/>
        <v>2605.94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>
        <v>106</v>
      </c>
      <c r="D57" s="179">
        <f t="shared" si="4"/>
        <v>5290.46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>
        <v>106</v>
      </c>
      <c r="D58" s="179">
        <f t="shared" si="4"/>
        <v>5024.3999999999996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>
        <v>106</v>
      </c>
      <c r="D59" s="179">
        <f t="shared" si="4"/>
        <v>6515.82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>
        <v>106</v>
      </c>
      <c r="D60" s="179">
        <f t="shared" si="4"/>
        <v>6556.1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>
        <v>106</v>
      </c>
      <c r="D61" s="179">
        <f t="shared" si="4"/>
        <v>6380.1399999999994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>
        <v>106</v>
      </c>
      <c r="D62" s="179">
        <f t="shared" si="4"/>
        <v>5943.42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>
        <v>106</v>
      </c>
      <c r="D63" s="179">
        <f t="shared" si="4"/>
        <v>5568.18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>
        <v>106</v>
      </c>
      <c r="D64" s="179">
        <f t="shared" si="4"/>
        <v>5824.7000000000007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>
        <v>106</v>
      </c>
      <c r="D65" s="179">
        <f t="shared" si="4"/>
        <v>5937.0599999999995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>
        <v>106</v>
      </c>
      <c r="D66" s="179">
        <f t="shared" si="4"/>
        <v>5843.7800000000007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>
        <v>106</v>
      </c>
      <c r="D67" s="179">
        <f t="shared" si="4"/>
        <v>6315.48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>
        <v>106</v>
      </c>
      <c r="D68" s="179">
        <f t="shared" si="4"/>
        <v>22765.620000000003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>
        <v>106</v>
      </c>
      <c r="D69" s="179">
        <f t="shared" si="4"/>
        <v>12210.14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>
        <v>106</v>
      </c>
      <c r="D70" s="179">
        <f t="shared" si="4"/>
        <v>8238.32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>
        <v>106</v>
      </c>
      <c r="D71" s="179">
        <f t="shared" si="4"/>
        <v>17994.559999999998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1660*(1.68+0.57+0.19)+250+360</f>
        <v>4660.3999999999996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1529.06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51</v>
      </c>
      <c r="B85" s="181">
        <f>'Données projet'!D88</f>
        <v>171.3</v>
      </c>
      <c r="C85" s="191">
        <v>32.5</v>
      </c>
      <c r="D85" s="179">
        <f>B85*C85</f>
        <v>5567.25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61</v>
      </c>
      <c r="B86" s="181">
        <f>'Données projet'!D89</f>
        <v>100.2</v>
      </c>
      <c r="C86" s="191">
        <v>32.5</v>
      </c>
      <c r="D86" s="179">
        <f t="shared" ref="D86:D104" si="6">B86*C86</f>
        <v>3256.5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73</v>
      </c>
      <c r="B87" s="181">
        <f>'Données projet'!D90</f>
        <v>102.1</v>
      </c>
      <c r="C87" s="191">
        <v>43.5</v>
      </c>
      <c r="D87" s="179">
        <f t="shared" si="6"/>
        <v>4441.3499999999995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85</v>
      </c>
      <c r="B88" s="181">
        <f>'Données projet'!D91</f>
        <v>94.69</v>
      </c>
      <c r="C88" s="191">
        <v>43.5</v>
      </c>
      <c r="D88" s="179">
        <f t="shared" si="6"/>
        <v>4119.0150000000003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97</v>
      </c>
      <c r="B89" s="181">
        <f>'Données projet'!D92</f>
        <v>89.6</v>
      </c>
      <c r="C89" s="191">
        <v>43.5</v>
      </c>
      <c r="D89" s="179">
        <f t="shared" si="6"/>
        <v>3897.6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109</v>
      </c>
      <c r="B90" s="181">
        <f>'Données projet'!D93</f>
        <v>91.09</v>
      </c>
      <c r="C90" s="191">
        <v>43.5</v>
      </c>
      <c r="D90" s="179">
        <f t="shared" si="6"/>
        <v>3962.415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121</v>
      </c>
      <c r="B91" s="181">
        <f>'Données projet'!D94</f>
        <v>233.54</v>
      </c>
      <c r="C91" s="191">
        <v>43.5</v>
      </c>
      <c r="D91" s="179">
        <f t="shared" si="6"/>
        <v>10158.99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131</v>
      </c>
      <c r="B92" s="181">
        <f>'Données projet'!D95</f>
        <v>294.08999999999997</v>
      </c>
      <c r="C92" s="191">
        <v>43.5</v>
      </c>
      <c r="D92" s="179">
        <f t="shared" si="6"/>
        <v>12792.914999999999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>
        <v>43.5</v>
      </c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Nathan AMIENS</cp:lastModifiedBy>
  <dcterms:created xsi:type="dcterms:W3CDTF">2021-02-01T08:22:39Z</dcterms:created>
  <dcterms:modified xsi:type="dcterms:W3CDTF">2025-03-28T13:01:16Z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